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6.xml" ContentType="application/vnd.openxmlformats-officedocument.spreadsheetml.table+xml"/>
  <Override PartName="/xl/tables/table4.xml" ContentType="application/vnd.openxmlformats-officedocument.spreadsheetml.table+xml"/>
  <Override PartName="/xl/tables/table23.xml" ContentType="application/vnd.openxmlformats-officedocument.spreadsheetml.table+xml"/>
  <Override PartName="/xl/tables/table5.xml" ContentType="application/vnd.openxmlformats-officedocument.spreadsheetml.table+xml"/>
  <Override PartName="/xl/tables/table24.xml" ContentType="application/vnd.openxmlformats-officedocument.spreadsheetml.table+xml"/>
  <Override PartName="/xl/tables/table21.xml" ContentType="application/vnd.openxmlformats-officedocument.spreadsheetml.table+xml"/>
  <Override PartName="/xl/tables/table19.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30.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xml" ContentType="application/vnd.openxmlformats-officedocument.spreadsheetml.table+xml"/>
  <Override PartName="/xl/tables/table22.xml" ContentType="application/vnd.openxmlformats-officedocument.spreadsheetml.table+xml"/>
  <Override PartName="/xl/tables/table2.xml" ContentType="application/vnd.openxmlformats-officedocument.spreadsheetml.table+xml"/>
  <Override PartName="/xl/tables/table20.xml" ContentType="application/vnd.openxmlformats-officedocument.spreadsheetml.table+xml"/>
  <Override PartName="/xl/tables/table18.xml" ContentType="application/vnd.openxmlformats-officedocument.spreadsheetml.table+xml"/>
  <Override PartName="/xl/tables/table1.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25.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2" name="_xlnm.Print_Area" vbProcedure="false">Roadmap!$A$1:$AI$39</definedName>
    <definedName function="false" hidden="false" localSheetId="1" name="_xlnm.Print_Area" vbProcedure="false">Status!$B$1:$H$85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DuplicateUIDs" vbProcedure="false">Settings!$C$42</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Tasks!$GY$5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v_Days" vbProcedure="false">LeaveDays[Days]</definedName>
    <definedName function="false" hidden="false" name="lv_Key" vbProcedure="false">LeaveDays[_Key]</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MissingUIDs" vbProcedure="false">Settings!$C$43</definedName>
    <definedName function="false" hidden="false" name="NextFreeUID" vbProcedure="false">Settings!$C$40</definedName>
    <definedName function="false" hidden="false" name="OutlineShowLevel" vbProcedure="false">Settings!$C$21</definedName>
    <definedName function="false" hidden="false" name="PlannedFinish" vbProcedure="false">Settings!$C$28</definedName>
    <definedName function="false" hidden="false" name="PlannerModules" vbProcedure="false">""</definedName>
    <definedName function="false" hidden="false" name="PlannerVersion" vbProcedure="false">"2.0"</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ch_Planned" vbProcedure="false">Status!$D$29</definedName>
    <definedName function="false" hidden="false" name="sch_Progress" vbProcedure="false">Status!$D$28</definedName>
    <definedName function="false" hidden="false" name="sch_SPI" vbProcedure="false">Status!$D$30</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TakeBaseline" vbProcedure="false">Settings!$C$41</definedName>
    <definedName function="false" hidden="false" name="TemplateVersion" vbProcedure="false">"1.0"</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line" vbProcedure="false">Tasks[[Baseline Start]:[Baseline Work]]</definedName>
    <definedName function="false" hidden="false" name="tsk_BaseStart" vbProcedure="false">Tasks[Baseline Start]</definedName>
    <definedName function="false" hidden="false" name="tsk_BaseWork" vbProcedure="false">Tasks[Baseline Work]</definedName>
    <definedName function="false" hidden="false" name="tsk_BLSource" vbProcedure="false">Tasks[[BL Source Start]:[BL Source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Tasks[_Days]</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hase" vbProcedure="false">Tasks[_Phase]</definedName>
    <definedName function="false" hidden="false" name="tsk_PhaseKey" vbProcedure="false">Tasks[_PhaseKey]</definedName>
    <definedName function="false" hidden="false" name="tsk_PickList" vbProcedure="false">Tasks[_PickList]</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Tasks[_Predecessors]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Tasks[_Resources]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4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5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3"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1"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Predecessor 1: pick a task (its UID and name) or type its UID. It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G5" authorId="0">
      <text>
        <r>
          <rPr>
            <sz val="10"/>
            <rFont val="Arial"/>
            <family val="2"/>
          </rPr>
          <t xml:space="preserve">Link type: FS (blank: finish to start), SS, FF or SF.</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H5" authorId="0">
      <text>
        <r>
          <rPr>
            <sz val="10"/>
            <rFont val="Arial"/>
            <family val="2"/>
          </rPr>
          <t xml:space="preserve">Lag in working days (negative = lead). Blank = 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I5" authorId="0">
      <text>
        <r>
          <rPr>
            <sz val="10"/>
            <rFont val="Arial"/>
            <family val="2"/>
          </rPr>
          <t xml:space="preserve">Predecessor 2: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J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K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Predecessor 3: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M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N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Predecessor 4: pick a task (its UID and name) or type its UID. It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P5" authorId="0">
      <text>
        <r>
          <rPr>
            <sz val="10"/>
            <rFont val="Arial"/>
            <family val="2"/>
          </rPr>
          <t xml:space="preserve">Link type: FS (blank: finish to start), SS, FF or SF.</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Lag in working days (negative = lead). Blank = 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R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S5" authorId="0">
      <text>
        <r>
          <rPr>
            <sz val="10"/>
            <rFont val="Arial"/>
            <family val="2"/>
          </rPr>
          <t xml:space="preserve">Person 1 on the task: pick a name from Resources.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Share of their time on this task (blank = Settings &gt;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U5" authorId="0">
      <text>
        <r>
          <rPr>
            <sz val="10"/>
            <rFont val="Arial"/>
            <family val="2"/>
          </rPr>
          <t xml:space="preserve">Person 2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Person 3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X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Person 4 on the task: pick a name from Resources.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Share of their time on this task (blank = Settings &gt; DefaultUnits).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A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AB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E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G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AJ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K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AL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M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N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Q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R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T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U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V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W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Y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Z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A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B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C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E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F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G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H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BI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J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K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L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M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BQ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60" authorId="0">
      <text>
        <r>
          <rPr>
            <sz val="10"/>
            <rFont val="Arial"/>
            <family val="2"/>
          </rPr>
          <t xml:space="preserve">Pick the person (Resources).</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C60" authorId="0">
      <text>
        <r>
          <rPr>
            <sz val="10"/>
            <rFont val="Arial"/>
            <family val="2"/>
          </rPr>
          <t xml:space="preserve">Pick the month: one of the month columns above, e.g. Nov-26.</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79</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60" authorId="0">
      <text>
        <r>
          <rPr>
            <sz val="10"/>
            <rFont val="Arial"/>
            <family val="2"/>
          </rPr>
          <t xml:space="preserve">The days off as the month cells write them: what the reports read.</t>
        </r>
      </text>
      <mc:AlternateContent>
        <mc:Choice Requires="v2">
          <commentPr autoFill="true" autoScale="false" colHidden="fals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J5" authorId="0">
      <text>
        <r>
          <rPr>
            <sz val="10"/>
            <rFont val="Arial"/>
            <family val="2"/>
          </rPr>
          <t xml:space="preserve">Days off in Oct-27: "16, 17(0.5)" = 16th all day, 17th half a day.</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60" authorId="0">
      <text>
        <r>
          <rPr>
            <sz val="10"/>
            <rFont val="Arial"/>
            <family val="2"/>
          </rPr>
          <t xml:space="preserve">Person|month: the look-up key (helper).</t>
        </r>
      </text>
      <mc:AlternateContent>
        <mc:Choice Requires="v2">
          <commentPr autoFill="true" autoScale="false" colHidden="true" locked="false" rowHidden="false" textHAlign="justify" textVAlign="top">
            <anchor moveWithCells="false" sizeWithCells="false">
              <xdr:from>
                <xdr:col>1</xdr:col>
                <xdr:colOff>57</xdr:colOff>
                <xdr:row>4</xdr:row>
                <xdr:rowOff>83</xdr:rowOff>
              </xdr:from>
              <xdr:to>
                <xdr:col>2</xdr:col>
                <xdr:colOff>38</xdr:colOff>
                <xdr:row>5</xdr:row>
                <xdr:rowOff>-19</xdr:rowOff>
              </xdr:to>
            </anchor>
          </commentPr>
        </mc:Choice>
        <mc:Fallback/>
      </mc:AlternateContent>
    </comment>
    <comment ref="AK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<sst xmlns="http://schemas.openxmlformats.org/spreadsheetml/2006/main" count="885" uniqueCount="739">
  <si>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</si>
  <si>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</si>
  <si>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</si>
  <si>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</si>
  <si>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</si>
  <si>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</si>
  <si>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</si>
  <si>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</si>
  <si>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</si>
  <si>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</si>
  <si>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</si>
  <si>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</si>
  <si>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</si>
  <si>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</si>
  <si>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</si>
  <si>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(it sets the stages, sprint length and RAG thresholds). Everything else has a sensible default on Settings.  Go to Settings.</t>
  </si>
  <si>
    <t xml:space="preserve">2. People</t>
  </si>
  <si>
    <t xml:space="preserve">List the people (or roles) with their Allocation %. Leave: type 1 (or 0.5) under each day off in the LEAVE BY DAY grid under the people (or type the days in a month column).  Go to Resources.</t>
  </si>
  <si>
    <t xml:space="preserve">3. Tasks</t>
  </si>
  <si>
    <t xml:space="preserve">One row per task: Level (1 = phase, 2 = task ...), Task Name and Duration (3, 3d or 2w). Pick what must come first in Pred1 (a dropdown of the tasks above) and who does it in Res1; + opens links and people 2-4. Dates, the critical path, the Gantt and the reports follow.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</si>
  <si>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</si>
  <si>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</si>
  <si>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</si>
  <si>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</si>
  <si>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</si>
  <si>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</si>
  <si>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Type the status date at the top of Status and follow its steps (progress on Tasks, the Log, the RAG, the commentary). Then the Check sheet, and the snapshot row on TakeSnapshot. A report in about ten minutes.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</si>
  <si>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</si>
  <si>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</si>
  <si>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</si>
  <si>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</si>
  <si>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</si>
  <si>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</si>
  <si>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</si>
  <si>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</si>
  <si>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</si>
  <si>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</si>
  <si>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</si>
  <si>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</si>
  <si>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</si>
  <si>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</si>
  <si>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</si>
  <si>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</si>
  <si>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</si>
  <si>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</si>
  <si>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</si>
  <si>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</si>
  <si>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</si>
  <si>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</si>
  <si>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sheets</t>
  </si>
  <si>
    <t xml:space="preserve">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</si>
  <si>
    <t xml:space="preserve">Leave</t>
  </si>
  <si>
    <t xml:space="preserve">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</si>
  <si>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</si>
  <si>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</si>
  <si>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</si>
  <si>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</si>
  <si>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</si>
  <si>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</si>
  <si>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</si>
  <si>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Duration</t>
  </si>
  <si>
    <t xml:space="preserve">Working days: 3, 3d or 2w (a week = 5 working days); 0 = a milestone. Anything else (e.g. '2days') is refused when typed and flagged in Issues when pasted.</t>
  </si>
  <si>
    <t xml:space="preserve">Printing</t>
  </si>
  <si>
    <t xml:space="preserve">Status, Roadmap, Resource Report and Check are set to print on one page wide, with the template version and page number in the footer.</t>
  </si>
  <si>
    <t xml:space="preserve">Limits</t>
  </si>
  <si>
    <t xml:space="preserve">See README &gt; Limits: the predecessor rule (above its successor), 4 links and 4 people per task, the fixed grid sizes, and what needs a rebuild.</t>
  </si>
  <si>
    <t xml:space="preserve">RULES (same as MS Project)</t>
  </si>
  <si>
    <t xml:space="preserve">ID and UID</t>
  </si>
  <si>
    <t xml:space="preserve">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</si>
  <si>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</si>
  <si>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</si>
  <si>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</si>
  <si>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</si>
  <si>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</si>
  <si>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</si>
  <si>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</si>
  <si>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</si>
  <si>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</si>
  <si>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</si>
  <si>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</si>
  <si>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</si>
  <si>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</si>
  <si>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</si>
  <si>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</si>
  <si>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</si>
  <si>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</si>
  <si>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</si>
  <si>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</si>
  <si>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</si>
  <si>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</si>
  <si>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</si>
  <si>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</si>
  <si>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</si>
  <si>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</si>
  <si>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</si>
  <si>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</si>
  <si>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</si>
  <si>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</si>
  <si>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</si>
  <si>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</si>
  <si>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</si>
  <si>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</si>
  <si>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</si>
  <si>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</si>
  <si>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</si>
  <si>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</si>
  <si>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</si>
  <si>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</si>
  <si>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</si>
  <si>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</si>
  <si>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</si>
  <si>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</si>
  <si>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</si>
  <si>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</si>
  <si>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</si>
  <si>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</si>
  <si>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</si>
  <si>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</si>
  <si>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</si>
  <si>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</si>
  <si>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</si>
  <si>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</si>
  <si>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</si>
  <si>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</si>
  <si>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</si>
  <si>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</si>
  <si>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</si>
  <si>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</si>
  <si>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</si>
  <si>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</si>
  <si>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</si>
  <si>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</si>
  <si>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</si>
  <si>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</si>
  <si>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</si>
  <si>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</si>
  <si>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</si>
  <si>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</si>
  <si>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</si>
  <si>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</si>
  <si>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</si>
  <si>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</si>
  <si>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</si>
  <si>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</si>
  <si>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</si>
  <si>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</si>
  <si>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</si>
  <si>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</si>
  <si>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</si>
  <si>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</si>
  <si>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</si>
  <si>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</si>
  <si>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</si>
  <si>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</si>
  <si>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</si>
  <si>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</si>
  <si>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</si>
  <si>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</si>
  <si>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</si>
  <si>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</si>
  <si>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</si>
  <si>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</si>
  <si>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</si>
  <si>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</si>
  <si>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</si>
  <si>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</si>
  <si>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</si>
  <si>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</si>
  <si>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</si>
  <si>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</si>
  <si>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Total Slack</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</si>
  <si>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</si>
  <si>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</si>
  <si>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</si>
  <si>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</si>
  <si>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</si>
  <si>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</si>
  <si>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</si>
  <si>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</si>
  <si>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</si>
  <si>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</si>
  <si>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</si>
  <si>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</si>
  <si>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</si>
  <si>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</si>
  <si>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</si>
  <si>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</si>
  <si>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</si>
  <si>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</si>
  <si>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</si>
  <si>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</si>
  <si>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</si>
  <si>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</si>
  <si>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</si>
  <si>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</si>
  <si>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</si>
  <si>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</si>
  <si>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</si>
  <si>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</si>
  <si>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</si>
  <si>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</si>
  <si>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</si>
  <si>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</si>
  <si>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</si>
  <si>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</si>
  <si>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</si>
  <si>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</si>
  <si>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</si>
  <si>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</si>
  <si>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</si>
  <si>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</si>
  <si>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</si>
  <si>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</si>
  <si>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</si>
  <si>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</si>
  <si>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</si>
  <si>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</si>
  <si>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</si>
  <si>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</si>
  <si>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</si>
  <si>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</si>
  <si>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</si>
  <si>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</si>
  <si>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</si>
  <si>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</si>
  <si>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</si>
  <si>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</si>
  <si>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</si>
  <si>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</si>
  <si>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</si>
  <si>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</si>
  <si>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</si>
  <si>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</si>
  <si>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</si>
  <si>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</si>
  <si>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</si>
  <si>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</si>
  <si>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</si>
  <si>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</si>
  <si>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</si>
  <si>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</si>
  <si>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</si>
  <si>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</si>
  <si>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</si>
  <si>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</si>
  <si>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</si>
  <si>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</si>
  <si>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</si>
  <si>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</si>
  <si>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</si>
  <si>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</si>
  <si>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</si>
  <si>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</si>
  <si>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</si>
  <si>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</si>
  <si>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</si>
  <si>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</si>
  <si>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</si>
  <si>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</si>
  <si>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</si>
  <si>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</si>
  <si>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</si>
  <si>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</si>
  <si>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</si>
  <si>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</si>
  <si>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</si>
  <si>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</si>
  <si>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</si>
  <si>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</si>
  <si>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</si>
  <si>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</si>
  <si>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</si>
  <si>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</si>
  <si>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</si>
  <si>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</si>
  <si>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</si>
  <si>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</si>
  <si>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</si>
  <si>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</si>
  <si>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</si>
  <si>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</si>
  <si>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</si>
  <si>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</si>
  <si>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</si>
  <si>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</si>
  <si>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</si>
  <si>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</si>
  <si>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</si>
  <si>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</si>
  <si>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</si>
  <si>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</si>
  <si>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</si>
  <si>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</si>
  <si>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</si>
  <si>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</si>
  <si>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</si>
  <si>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</si>
  <si>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</si>
  <si>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</si>
  <si>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</si>
  <si>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</si>
  <si>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</si>
  <si>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</si>
  <si>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</si>
  <si>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</si>
  <si>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</si>
  <si>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</si>
  <si>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</si>
  <si>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</si>
  <si>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</si>
  <si>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</si>
  <si>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</si>
  <si>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</si>
  <si>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</si>
  <si>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</si>
  <si>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</si>
  <si>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</si>
  <si>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</si>
  <si>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</si>
  <si>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</si>
  <si>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</si>
  <si>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</si>
  <si>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</si>
  <si>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</si>
  <si>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</si>
  <si>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</si>
  <si>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</si>
  <si>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</si>
  <si>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</si>
  <si>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</si>
  <si>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</si>
  <si>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</si>
  <si>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</si>
  <si>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</si>
  <si>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</si>
  <si>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</si>
  <si>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</si>
  <si>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</si>
  <si>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</si>
  <si>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</si>
  <si>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</si>
  <si>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</si>
  <si>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</si>
  <si>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</si>
  <si>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</si>
  <si>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</si>
  <si>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</si>
  <si>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</si>
  <si>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</si>
  <si>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</si>
  <si>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</si>
  <si>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</si>
  <si>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</si>
  <si>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</si>
  <si>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</si>
  <si>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</si>
  <si>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</si>
  <si>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</si>
  <si>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</si>
  <si>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</si>
  <si>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</si>
  <si>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</si>
  <si>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</si>
  <si>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</si>
  <si>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</si>
  <si>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</si>
  <si>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</si>
  <si>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</si>
  <si>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</si>
  <si>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</si>
  <si>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</si>
  <si>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</si>
  <si>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</si>
  <si>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</si>
  <si>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</si>
  <si>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</si>
  <si>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</si>
  <si>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</si>
  <si>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</si>
  <si>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</si>
  <si>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</si>
  <si>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</si>
  <si>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</si>
  <si>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Re-baseline every task (BL Source)</t>
  </si>
  <si>
    <t xml:space="preserve">TakeBaseline</t>
  </si>
  <si>
    <t xml:space="preserve">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</si>
  <si>
    <t xml:space="preserve">Tasks sharing a UID (calculated)</t>
  </si>
  <si>
    <t xml:space="preserve">DuplicateUIDs</t>
  </si>
  <si>
    <t xml:space="preserve">Should be 0. Each such task says so in Tasks &gt; Issues; give one of them Settings &gt; NextFreeUID.</t>
  </si>
  <si>
    <t xml:space="preserve">Named tasks without a UID (calculated)</t>
  </si>
  <si>
    <t xml:space="preserve">MissingUIDs</t>
  </si>
  <si>
    <t xml:space="preserve">Should be 0: links can't point at a task without a UID.</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</si>
  <si>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</si>
  <si>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</si>
  <si>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</si>
  <si>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</si>
  <si>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</si>
  <si>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</si>
  <si>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</si>
  <si>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</si>
  <si>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</si>
  <si>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</si>
  <si>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</si>
  <si>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</si>
  <si>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</si>
  <si>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</si>
  <si>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</si>
  <si>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</si>
  <si>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</si>
  <si>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</si>
  <si>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</si>
  <si>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</si>
  <si>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</si>
  <si>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or pick in the blue columns</t>
  </si>
  <si>
    <t xml:space="preserve">PREDECESSORS: pick</t>
  </si>
  <si>
    <t xml:space="preserve">+ links 2-4, text</t>
  </si>
  <si>
    <t xml:space="preserve">RESOURCES: pick</t>
  </si>
  <si>
    <t xml:space="preserve">+ people 2-4, text</t>
  </si>
  <si>
    <t xml:space="preserve">PROGRESS</t>
  </si>
  <si>
    <t xml:space="preserve">SCHEDULING</t>
  </si>
  <si>
    <t xml:space="preserve">DETAIL</t>
  </si>
  <si>
    <t xml:space="preserve">WORK</t>
  </si>
  <si>
    <t xml:space="preserve">AGILE</t>
  </si>
  <si>
    <t xml:space="preserve">BASELINE</t>
  </si>
  <si>
    <t xml:space="preserve">HELPER COLUMNS (hidden)</t>
  </si>
  <si>
    <t xml:space="preserve">ID</t>
  </si>
  <si>
    <t xml:space="preserve">UID</t>
  </si>
  <si>
    <t xml:space="preserve">Level</t>
  </si>
  <si>
    <t xml:space="preserve">Task Name</t>
  </si>
  <si>
    <t xml:space="preserve">Pred1</t>
  </si>
  <si>
    <t xml:space="preserve">Type1</t>
  </si>
  <si>
    <t xml:space="preserve">Lag1</t>
  </si>
  <si>
    <t xml:space="preserve">Pred2</t>
  </si>
  <si>
    <t xml:space="preserve">Type2</t>
  </si>
  <si>
    <t xml:space="preserve">Lag2</t>
  </si>
  <si>
    <t xml:space="preserve">Pred3</t>
  </si>
  <si>
    <t xml:space="preserve">Type3</t>
  </si>
  <si>
    <t xml:space="preserve">Lag3</t>
  </si>
  <si>
    <t xml:space="preserve">Pred4</t>
  </si>
  <si>
    <t xml:space="preserve">Type4</t>
  </si>
  <si>
    <t xml:space="preserve">Lag4</t>
  </si>
  <si>
    <t xml:space="preserve">Res1</t>
  </si>
  <si>
    <t xml:space="preserve">Units1</t>
  </si>
  <si>
    <t xml:space="preserve">Res2</t>
  </si>
  <si>
    <t xml:space="preserve">Units2</t>
  </si>
  <si>
    <t xml:space="preserve">Res3</t>
  </si>
  <si>
    <t xml:space="preserve">Units3</t>
  </si>
  <si>
    <t xml:space="preserve">Res4</t>
  </si>
  <si>
    <t xml:space="preserve">Units4</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</si>
  <si>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</si>
  <si>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</si>
  <si>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</si>
  <si>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</si>
  <si>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</si>
  <si>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</si>
  <si>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</si>
  <si>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</si>
  <si>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</si>
  <si>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</si>
  <si>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</si>
  <si>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</si>
  <si>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</si>
  <si>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</si>
  <si>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</si>
  <si>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</si>
  <si>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</si>
  <si>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</si>
  <si>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</si>
  <si>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</si>
  <si>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</si>
  <si>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</si>
  <si>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</si>
  <si>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</si>
  <si>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</si>
  <si>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</si>
  <si>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</si>
  <si>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</si>
  <si>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</si>
  <si>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</si>
  <si>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</si>
  <si>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</si>
  <si>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</si>
  <si>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</si>
  <si>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</si>
  <si>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</si>
  <si>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</si>
  <si>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</si>
  <si>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</si>
  <si>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</si>
  <si>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</si>
  <si>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</si>
  <si>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</si>
  <si>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</si>
  <si>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</si>
  <si>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</si>
  <si>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</si>
  <si>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</si>
  <si>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</si>
  <si>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</si>
  <si>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</si>
  <si>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</si>
  <si>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</si>
  <si>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</si>
  <si>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</si>
  <si>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</si>
  <si>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</si>
  <si>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</si>
  <si>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</si>
  <si>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</si>
  <si>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</si>
  <si>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</si>
  <si>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</si>
  <si>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</si>
  <si>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</si>
  <si>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</si>
  <si>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</si>
  <si>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</si>
  <si>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</si>
  <si>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</si>
  <si>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</si>
  <si>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</si>
  <si>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</si>
  <si>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</si>
  <si>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</si>
  <si>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</si>
  <si>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</si>
  <si>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</si>
  <si>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</si>
  <si>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</si>
  <si>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</si>
  <si>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</si>
  <si>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</si>
  <si>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</si>
  <si>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</si>
  <si>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</si>
  <si>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</si>
  <si>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</si>
  <si>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</si>
  <si>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</si>
  <si>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</si>
  <si>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</si>
  <si>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</si>
  <si>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</si>
  <si>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</si>
  <si>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</si>
  <si>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</si>
  <si>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</si>
  <si>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</si>
  <si>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</si>
  <si>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</si>
  <si>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</si>
  <si>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</si>
  <si>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</si>
  <si>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</si>
  <si>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</si>
  <si>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</si>
  <si>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</si>
  <si>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</si>
  <si>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</si>
  <si>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</si>
  <si>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</si>
  <si>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</si>
  <si>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</si>
  <si>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</si>
  <si>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</si>
  <si>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</si>
  <si>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</si>
  <si>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</si>
  <si>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</si>
  <si>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</si>
  <si>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</si>
  <si>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</si>
  <si>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</si>
  <si>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</si>
  <si>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</si>
  <si>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</si>
  <si>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</si>
  <si>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</si>
  <si>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</si>
  <si>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</si>
  <si>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</si>
  <si>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</si>
  <si>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</si>
  <si>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</si>
  <si>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</si>
  <si>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</si>
  <si>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</si>
  <si>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</si>
  <si>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</si>
  <si>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</si>
  <si>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</si>
  <si>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</si>
  <si>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</si>
  <si>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</si>
  <si>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</si>
  <si>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</si>
  <si>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</si>
  <si>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</si>
  <si>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</si>
  <si>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</si>
  <si>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</si>
  <si>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</si>
  <si>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_Days</t>
  </si>
  <si>
    <t xml:space="preserve">_Predecessors</t>
  </si>
  <si>
    <t xml:space="preserve">_Resources</t>
  </si>
  <si>
    <t xml:space="preserve">_PickKey</t>
  </si>
  <si>
    <t xml:space="preserve">_PickList</t>
  </si>
  <si>
    <t xml:space="preserve">_SpanDays</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</si>
  <si>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</si>
  <si>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</si>
  <si>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</si>
  <si>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</si>
  <si>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</si>
  <si>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Morgan Patel</t>
  </si>
  <si>
    <t xml:space="preserve">Kickoff complete</t>
  </si>
  <si>
    <t xml:space="preserve">Milestone (Duration 0).</t>
  </si>
  <si>
    <t xml:space="preserve">Requirements &amp; Design</t>
  </si>
  <si>
    <t xml:space="preserve">Requirements gathering</t>
  </si>
  <si>
    <t xml:space="preserve">UX wireframes &amp; prototype</t>
  </si>
  <si>
    <t xml:space="preserve">Casey Kim</t>
  </si>
  <si>
    <t xml:space="preserve">Design sign-off</t>
  </si>
  <si>
    <t xml:space="preserve">Two predecessors - waits for the later one.</t>
  </si>
  <si>
    <t xml:space="preserve">Test &amp; Release</t>
  </si>
  <si>
    <t xml:space="preserve">Taylor Morgan</t>
  </si>
  <si>
    <t xml:space="preserve">System integration testing</t>
  </si>
  <si>
    <t xml:space="preserve">Sam Rivera</t>
  </si>
  <si>
    <t xml:space="preserve">Started a few days late; on track.</t>
  </si>
  <si>
    <t xml:space="preserve">Go-live readiness review</t>
  </si>
  <si>
    <t xml:space="preserve">Three predecessors.</t>
  </si>
  <si>
    <t xml:space="preserve">Go-live</t>
  </si>
  <si>
    <t xml:space="preserve">Milestone with a deadline of 18-Dec.</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</si>
  <si>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</si>
  <si>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</si>
  <si>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</si>
  <si>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</si>
  <si>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</si>
  <si>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</si>
  <si>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</si>
  <si>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</si>
  <si>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</si>
  <si>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</si>
  <si>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</si>
  <si>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</si>
  <si>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</si>
  <si>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</si>
  <si>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</si>
  <si>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</si>
  <si>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</si>
  <si>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</si>
  <si>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</si>
  <si>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</si>
  <si>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</si>
  <si>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</si>
  <si>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</si>
  <si>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</si>
  <si>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</si>
  <si>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</si>
  <si>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</si>
  <si>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</si>
  <si>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</si>
  <si>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</si>
  <si>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</si>
  <si>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</si>
  <si>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</si>
  <si>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</si>
  <si>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</si>
  <si>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</si>
  <si>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</si>
  <si>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</si>
  <si>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</si>
  <si>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</si>
  <si>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</si>
  <si>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</si>
  <si>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</si>
  <si>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</si>
  <si>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</si>
  <si>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</si>
  <si>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</si>
  <si>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</si>
  <si>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</si>
  <si>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</si>
  <si>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</si>
  <si>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</si>
  <si>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</si>
  <si>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</si>
  <si>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</si>
  <si>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</si>
  <si>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</si>
  <si>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</si>
  <si>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</si>
  <si>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</si>
  <si>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</si>
  <si>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Jordan Lee</t>
  </si>
  <si>
    <t xml:space="preserve">JL</t>
  </si>
  <si>
    <t xml:space="preserve">Backend Developer</t>
  </si>
  <si>
    <t xml:space="preserve">jordan@example.com</t>
  </si>
  <si>
    <t xml:space="preserve">SR</t>
  </si>
  <si>
    <t xml:space="preserve">Frontend Developer</t>
  </si>
  <si>
    <t xml:space="preserve">sam@example.com</t>
  </si>
  <si>
    <t xml:space="preserve">2(0.5)</t>
  </si>
  <si>
    <t xml:space="preserve">TM</t>
  </si>
  <si>
    <t xml:space="preserve">QA Engineer</t>
  </si>
  <si>
    <t xml:space="preserve">taylor@example.com</t>
  </si>
  <si>
    <t xml:space="preserve">LEAVE BY DAY: one row per person and month; type 1 (all day) or 0.5 (half a day) under each day off. It adds to the month columns above.</t>
  </si>
  <si>
    <t xml:space="preserve">Resource</t>
  </si>
  <si>
    <t xml:space="preserve">Month</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</si>
  <si>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</si>
  <si>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</si>
  <si>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</si>
  <si>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</si>
  <si>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</si>
  <si>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</si>
  <si>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</si>
  <si>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</si>
  <si>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</si>
  <si>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</si>
  <si>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</si>
  <si>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</si>
  <si>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</si>
  <si>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</si>
  <si>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</si>
  <si>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</si>
  <si>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17</t>
  </si>
  <si>
    <t xml:space="preserve">18</t>
  </si>
  <si>
    <t xml:space="preserve">19</t>
  </si>
  <si>
    <t xml:space="preserve">20</t>
  </si>
  <si>
    <t xml:space="preserve">21</t>
  </si>
  <si>
    <t xml:space="preserve">22</t>
  </si>
  <si>
    <t xml:space="preserve">23</t>
  </si>
  <si>
    <t xml:space="preserve">24</t>
  </si>
  <si>
    <t xml:space="preserve">25</t>
  </si>
  <si>
    <t xml:space="preserve">26</t>
  </si>
  <si>
    <t xml:space="preserve">27</t>
  </si>
  <si>
    <t xml:space="preserve">28</t>
  </si>
  <si>
    <t xml:space="preserve">29</t>
  </si>
  <si>
    <t xml:space="preserve">30</t>
  </si>
  <si>
    <t xml:space="preserve">31</t>
  </si>
  <si>
    <t xml:space="preserve">Days</t>
  </si>
  <si>
    <t xml:space="preserve">_Key</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</si>
</sst>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0%"/>
    <numFmt numFmtId="173" formatCode="#,##0"/>
    <numFmt numFmtId="174" formatCode="General"/>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4">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true">
      <alignment horizontal="general" vertical="bottom" textRotation="0" wrapText="false" indent="0" shrinkToFit="false"/>
      <protection locked="fals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true">
      <alignment horizontal="general" vertical="bottom" textRotation="0" wrapText="false" indent="0" shrinkToFit="false"/>
      <protection locked="fals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true">
      <alignment horizontal="general" vertical="top" textRotation="0" wrapText="true" indent="0" shrinkToFit="false"/>
      <protection locked="fals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true">
      <alignment horizontal="general" vertical="bottom" textRotation="0" wrapText="false" indent="0" shrinkToFit="false"/>
      <protection locked="fals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true">
      <alignment horizontal="general" vertical="bottom" textRotation="0" wrapText="false" indent="0" shrinkToFit="false"/>
      <protection locked="false" hidden="false"/>
    </xf>
    <xf numFmtId="178" fontId="8" fillId="0" borderId="1" xfId="0" applyFont="true" applyBorder="true" applyAlignment="false" applyProtection="true">
      <alignment horizontal="general" vertical="bottom" textRotation="0" wrapText="false" indent="0" shrinkToFit="false"/>
      <protection locked="fals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true">
      <alignment horizontal="general" vertical="bottom" textRotation="0" wrapText="false" indent="0" shrinkToFit="false"/>
      <protection locked="fals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72" fontId="8" fillId="0" borderId="1" xfId="0" applyFont="true" applyBorder="true" applyAlignment="true" applyProtection="true">
      <alignment horizontal="center" vertical="bottom" textRotation="0" wrapText="false" indent="0" shrinkToFit="false"/>
      <protection locked="fals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true">
      <alignment horizontal="center" vertical="bottom" textRotation="0" wrapText="false" indent="0" shrinkToFit="false"/>
      <protection locked="false" hidden="false"/>
    </xf>
    <xf numFmtId="180" fontId="8" fillId="0" borderId="1" xfId="0" applyFont="true" applyBorder="true" applyAlignment="false" applyProtection="true">
      <alignment horizontal="general" vertical="bottom" textRotation="0" wrapText="false" indent="0" shrinkToFit="false"/>
      <protection locked="fals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1" shrinkToFit="false"/>
      <protection locked="fals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548235"/>
          <bgColor rgb="FF000000"/>
        </patternFill>
      </fill>
    </dxf>
    <dxf>
      <fill>
        <patternFill patternType="solid">
          <fgColor rgb="FFFFEB9C"/>
          <bgColor rgb="FF000000"/>
        </patternFill>
      </fill>
    </dxf>
    <dxf>
      <fill>
        <patternFill patternType="solid">
          <fgColor rgb="FF9C5700"/>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Status!$E$25:$E$29</c:f>
              <c:strCache>
                <c:ptCount val="5"/>
                <c:pt idx="0">
                  <c:v>Complete</c:v>
                </c:pt>
                <c:pt idx="1">
                  <c:v>In Progress</c:v>
                </c:pt>
                <c:pt idx="2">
                  <c:v>Behind</c:v>
                </c:pt>
                <c:pt idx="3">
                  <c:v>Late Start</c:v>
                </c:pt>
                <c:pt idx="4">
                  <c:v>Not Started</c:v>
                </c:pt>
              </c:strCache>
            </c:strRef>
          </c:cat>
          <c:val>
            <c:numRef>
              <c:f>Status!$F$25:$F$29</c:f>
              <c:numCache>
                <c:formatCode>General</c:formatCode>
                <c:ptCount val="5"/>
                <c:pt idx="0">
                  <c:v>6</c:v>
                </c:pt>
                <c:pt idx="1">
                  <c:v>0</c:v>
                </c:pt>
                <c:pt idx="2">
                  <c:v>1</c:v>
                </c:pt>
                <c:pt idx="3">
                  <c:v>2</c:v>
                </c:pt>
                <c:pt idx="4">
                  <c:v>0</c:v>
                </c:pt>
              </c:numCache>
            </c:numRef>
          </c:val>
        </c:ser>
        <c:gapWidth val="150"/>
        <c:overlap val="0"/>
        <c:axId val="69637748"/>
        <c:axId val="17223409"/>
      </c:barChart>
      <c:catAx>
        <c:axId val="6963774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223409"/>
        <c:crosses val="autoZero"/>
        <c:auto val="1"/>
        <c:lblAlgn val="ctr"/>
        <c:lblOffset val="100"/>
        <c:noMultiLvlLbl val="0"/>
      </c:catAx>
      <c:valAx>
        <c:axId val="17223409"/>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63774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29</xdr:row>
      <xdr:rowOff>131040</xdr:rowOff>
    </xdr:from>
    <xdr:to>
      <xdr:col>7</xdr:col>
      <xdr:colOff>1641240</xdr:colOff>
      <xdr:row>41</xdr:row>
      <xdr:rowOff>4680</xdr:rowOff>
    </xdr:to>
    <xdr:graphicFrame>
      <xdr:nvGraphicFramePr>
        <xdr:cNvPr id="0" name="Chart 1"/>
        <xdr:cNvGraphicFramePr/>
      </xdr:nvGraphicFramePr>
      <xdr:xfrm>
        <a:off x="7612560" y="628668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1:G76"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55:G60"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5:C155" headerRowCount="1">
  <autoFilter ref="B55:C155"/>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4:D36"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47:G52"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eaveDays" displayName="LeaveDays" ref="B60:AJ100" headerRowCount="1">
  <autoFilter ref="B60:AJ100"/>
  <tableColumns count="35">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_Key">
      <calculatedColumnFormula>LeaveDays[[#This Row],[Resource]]&amp;"|"&amp;LeaveDays[[#This Row],[Month]]</calculatedColumnFormula>
    </tableColumn>
  </tableColumns>
  <tableStyleInfo name="TableStyleLight1" showRowStripes="0"/>
</table>
</file>

<file path=xl/tables/table7.xml><?xml version="1.0" encoding="utf-8"?>
<table xmlns="http://schemas.openxmlformats.org/spreadsheetml/2006/main" id="7" name="ListChangeStatus" displayName="ListChangeStatus" ref="AC4:AC9" headerRowCount="1">
  <tableColumns count="1">
    <tableColumn id="1" name="Change Status"/>
  </tableColumns>
  <tableStyleInfo name="TableStyleLight1" showRowStripes="0"/>
</table>
</file>

<file path=xl/tables/table8.xml><?xml version="1.0" encoding="utf-8"?>
<table xmlns="http://schemas.openxmlformats.org/spreadsheetml/2006/main" id="8" name="ListConstraint" displayName="ListConstraint" ref="M4:M12" headerRowCount="1">
  <tableColumns count="1">
    <tableColumn id="1" name="Constraint"/>
  </tableColumns>
  <tableStyleInfo name="TableStyleLight1" showRowStripes="0"/>
</table>
</file>

<file path=xl/tables/table9.xml><?xml version="1.0" encoding="utf-8"?>
<table xmlns="http://schemas.openxmlformats.org/spreadsheetml/2006/main" id="9" name="ListDecisionStatus" displayName="ListDecisionStatus" ref="AA4:AA8" headerRowCount="1">
  <tableColumns count="1">
    <tableColumn id="1" name="Decision Status"/>
  </tableColumns>
  <tableStyleInfo name="TableStyleLight1" showRowStripes="0"/>
</table>
</file>

<file path=xl/tables/table10.xml><?xml version="1.0" encoding="utf-8"?>
<table xmlns="http://schemas.openxmlformats.org/spreadsheetml/2006/main" id="10" name="ListDepType" displayName="ListDepType" ref="G4:G8" headerRowCount="1">
  <tableColumns count="1">
    <tableColumn id="1" name="Link Type"/>
  </tableColumns>
  <tableStyleInfo name="TableStyleLight1" showRowStripes="0"/>
</table>
</file>

<file path=xl/tables/table11.xml><?xml version="1.0" encoding="utf-8"?>
<table xmlns="http://schemas.openxmlformats.org/spreadsheetml/2006/main" id="11" name="ListLogType" displayName="ListLogType" ref="W4:W10" headerRowCount="1">
  <tableColumns count="1">
    <tableColumn id="1" name="Log Type"/>
  </tableColumns>
  <tableStyleInfo name="TableStyleLight1" showRowStripes="0"/>
</table>
</file>

<file path=xl/tables/table12.xml><?xml version="1.0" encoding="utf-8"?>
<table xmlns="http://schemas.openxmlformats.org/spreadsheetml/2006/main" id="12" name="ListMode" displayName="ListMode" ref="I4:I6" headerRowCount="1">
  <tableColumns count="1">
    <tableColumn id="1" name="Task Mode"/>
  </tableColumns>
  <tableStyleInfo name="TableStyleLight1" showRowStripes="0"/>
</table>
</file>

<file path=xl/tables/table13.xml><?xml version="1.0" encoding="utf-8"?>
<table xmlns="http://schemas.openxmlformats.org/spreadsheetml/2006/main" id="13" name="ListPeriod" displayName="ListPeriod" ref="S4:S8" headerRowCount="1">
  <tableColumns count="1">
    <tableColumn id="1" name="Gantt Days per Column"/>
  </tableColumns>
  <tableStyleInfo name="TableStyleLight1" showRowStripes="0"/>
</table>
</file>

<file path=xl/tables/table14.xml><?xml version="1.0" encoding="utf-8"?>
<table xmlns="http://schemas.openxmlformats.org/spreadsheetml/2006/main" id="14" name="ListRAG" displayName="ListRAG" ref="U4:U7" headerRowCount="1">
  <tableColumns count="1">
    <tableColumn id="1" name="RAG"/>
  </tableColumns>
  <tableStyleInfo name="TableStyleLight1" showRowStripes="0"/>
</table>
</file>

<file path=xl/tables/table15.xml><?xml version="1.0" encoding="utf-8"?>
<table xmlns="http://schemas.openxmlformats.org/spreadsheetml/2006/main" id="15" name="ListRAIDStatus" displayName="ListRAIDStatus" ref="Y4:Y7" headerRowCount="1">
  <tableColumns count="1">
    <tableColumn id="1" name="RAID Status"/>
  </tableColumns>
  <tableStyleInfo name="TableStyleLight1" showRowStripes="0"/>
</table>
</file>

<file path=xl/tables/table16.xml><?xml version="1.0" encoding="utf-8"?>
<table xmlns="http://schemas.openxmlformats.org/spreadsheetml/2006/main" id="16" name="ListResType" displayName="ListResType" ref="Q4:Q7" headerRowCount="1">
  <tableColumns count="1">
    <tableColumn id="1" name="Resource Type"/>
  </tableColumns>
  <tableStyleInfo name="TableStyleLight1" showRowStripes="0"/>
</table>
</file>

<file path=xl/tables/table17.xml><?xml version="1.0" encoding="utf-8"?>
<table xmlns="http://schemas.openxmlformats.org/spreadsheetml/2006/main" id="17" name="ListWorkingWeek" displayName="ListWorkingWeek" ref="K4:K8" headerRowCount="1">
  <tableColumns count="1">
    <tableColumn id="1" name="Working Week"/>
  </tableColumns>
  <tableStyleInfo name="TableStyleLight1" showRowStripes="0"/>
</table>
</file>

<file path=xl/tables/table18.xml><?xml version="1.0" encoding="utf-8"?>
<table xmlns="http://schemas.openxmlformats.org/spreadsheetml/2006/main" id="18" name="ListYesNo" displayName="ListYesNo" ref="O4:O6" headerRowCount="1">
  <tableColumns count="1">
    <tableColumn id="1" name="Yes / No"/>
  </tableColumns>
  <tableStyleInfo name="TableStyleLight1" showRowStripes="0"/>
</table>
</file>

<file path=xl/tables/table19.xml><?xml version="1.0" encoding="utf-8"?>
<table xmlns="http://schemas.openxmlformats.org/spreadsheetml/2006/main" id="19" name="NextMilestones" displayName="NextMilestones" ref="B39:C4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0.xml><?xml version="1.0" encoding="utf-8"?>
<table xmlns="http://schemas.openxmlformats.org/spreadsheetml/2006/main" id="20"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1.xml><?xml version="1.0" encoding="utf-8"?>
<table xmlns="http://schemas.openxmlformats.org/spreadsheetml/2006/main" id="21"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2.xml><?xml version="1.0" encoding="utf-8"?>
<table xmlns="http://schemas.openxmlformats.org/spreadsheetml/2006/main" id="22" name="ResourceTable" displayName="ResourceTable" ref="B5:AX55" headerRowCount="1">
  <autoFilter ref="B5:AX55"/>
  <tableColumns count="49">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_Focus">
      <calculatedColumnFormula>IF(ResourceTable[[#This Row],[Focus %]]="",FocusFactor,N(ResourceTable[[#This Row],[Focus %]]))</calculatedColumnFormula>
    </tableColumn>
    <tableColumn id="14" name="Jan-26"/>
    <tableColumn id="15" name="Feb-26"/>
    <tableColumn id="16" name="Mar-26"/>
    <tableColumn id="17" name="Apr-26"/>
    <tableColumn id="18" name="May-26"/>
    <tableColumn id="19" name="Jun-26"/>
    <tableColumn id="20" name="Jul-26"/>
    <tableColumn id="21" name="Aug-26"/>
    <tableColumn id="22" name="Sep-26"/>
    <tableColumn id="23" name="Oct-26"/>
    <tableColumn id="24" name="Nov-26"/>
    <tableColumn id="25" name="Dec-26"/>
    <tableColumn id="26" name="Jan-27"/>
    <tableColumn id="27" name="Feb-27"/>
    <tableColumn id="28" name="Mar-27"/>
    <tableColumn id="29" name="Apr-27"/>
    <tableColumn id="30" name="May-27"/>
    <tableColumn id="31" name="Jun-27"/>
    <tableColumn id="32" name="Jul-27"/>
    <tableColumn id="33" name="Aug-27"/>
    <tableColumn id="34" name="Sep-27"/>
    <tableColumn id="35" name="Oct-27"/>
    <tableColumn id="36" name="Nov-27"/>
    <tableColumn id="37" name="Dec-27"/>
    <tableColumn id="38" name="Jan-28"/>
    <tableColumn id="39" name="Feb-28"/>
    <tableColumn id="40" name="Mar-28"/>
    <tableColumn id="41" name="Apr-28"/>
    <tableColumn id="42" name="May-28"/>
    <tableColumn id="43" name="Jun-28"/>
    <tableColumn id="44" name="Jul-28"/>
    <tableColumn id="45" name="Aug-28"/>
    <tableColumn id="46" name="Sep-28"/>
    <tableColumn id="47" name="Oct-28"/>
    <tableColumn id="48" name="Nov-28"/>
    <tableColumn id="49" name="Dec-28"/>
  </tableColumns>
  <tableStyleInfo name="TableStyleLight1" showRowStripes="0"/>
</table>
</file>

<file path=xl/tables/table23.xml><?xml version="1.0" encoding="utf-8"?>
<table xmlns="http://schemas.openxmlformats.org/spreadsheetml/2006/main" id="2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4.xml><?xml version="1.0" encoding="utf-8"?>
<table xmlns="http://schemas.openxmlformats.org/spreadsheetml/2006/main" id="24"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5.xml><?xml version="1.0" encoding="utf-8"?>
<table xmlns="http://schemas.openxmlformats.org/spreadsheetml/2006/main" id="25" name="StageTable" displayName="StageTable" ref="B46:C52" headerRowCount="1">
  <tableColumns count="2">
    <tableColumn id="1" name="Stage"/>
    <tableColumn id="2" name="% Complete"/>
  </tableColumns>
  <tableStyleInfo name="TableStyleLight1" showRowStripes="0"/>
</table>
</file>

<file path=xl/tables/table26.xml><?xml version="1.0" encoding="utf-8"?>
<table xmlns="http://schemas.openxmlformats.org/spreadsheetml/2006/main" id="26" name="StartingSoon" displayName="StartingSoon" ref="A63:G68"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7.xml><?xml version="1.0" encoding="utf-8"?>
<table xmlns="http://schemas.openxmlformats.org/spreadsheetml/2006/main" id="27" name="StatusNotes" displayName="StatusNotes" ref="B79:C85" headerRowCount="1">
  <tableColumns count="2">
    <tableColumn id="1" name="Section"/>
    <tableColumn id="2" name="Notes"/>
  </tableColumns>
  <tableStyleInfo name="TableStyleLight1" showRowStripes="0"/>
</table>
</file>

<file path=xl/tables/table28.xml><?xml version="1.0" encoding="utf-8"?>
<table xmlns="http://schemas.openxmlformats.org/spreadsheetml/2006/main" id="28"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StatusSummary" displayName="StatusSummary" ref="E24:F2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30.xml><?xml version="1.0" encoding="utf-8"?>
<table xmlns="http://schemas.openxmlformats.org/spreadsheetml/2006/main" id="30" name="Tasks" displayName="Tasks" ref="A5:GX205" headerRowCount="1">
  <autoFilter ref="A5:GX205"/>
  <tableColumns count="206">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_Level">
      <calculatedColumnFormula>IF(Tasks[[#This Row],[Task Name]]="","",MAX(1,N(Tasks[[#This Row],[Level]])))</calculatedColumnFormula>
    </tableColumn>
    <tableColumn id="74" name="_Row">
      <calculatedColumnFormula>ROW()-ROW(Tasks[[#Headers],[ID]])</calculatedColumnFormula>
    </tableColumn>
    <tableColumn id="75" name="_ParentRow">
      <calculatedColumnFormula>IF(OR(Tasks[[#This Row],[Task Name]]="",Tasks[[#This Row],[_Level]]&lt;=1),0,IFERROR(LOOKUP(2,1/(Tasks[[#Headers],[_Level]]:Tasks[[#This Row],[_Level]]=Tasks[[#This Row],[_Level]]-1),ROW(Tasks[[#Headers],[_Level]]:Tasks[[#This Row],[_Level]])),0))</calculatedColumnFormula>
    </tableColumn>
    <tableColumn id="76" name="_NextLevel">
      <calculatedColumnFormula>IFERROR(N(INDEX(Tasks[_Level],Tasks[[#This Row],[_Row]]+1)),0)</calculatedColumnFormula>
    </tableColumn>
    <tableColumn id="77" name="_IsSummary">
      <calculatedColumnFormula>AND(Tasks[[#This Row],[Task Name]]&lt;&gt;"",Tasks[[#This Row],[_NextLevel]]&gt;Tasks[[#This Row],[_Level]])</calculatedColumnFormula>
    </tableColumn>
    <tableColumn id="78" name="_Descendants">
      <calculatedColumnFormula>IF(Tasks[[#This Row],[_IsSummary]],COUNTIF(Tasks[WBS],Tasks[[#This Row],[WBS]]&amp;".*"),0)</calculatedColumnFormula>
    </tableColumn>
    <tableColumn id="79" name="_IsLeaf">
      <calculatedColumnFormula>IF(AND(Tasks[[#This Row],[Task Name]]&lt;&gt;"",NOT(Tasks[[#This Row],[_IsSummary]])),1,0)</calculatedColumnFormula>
    </tableColumn>
    <tableColumn id="80" name="_Pred1Pos">
      <calculatedColumnFormula>IF(N(Tasks[[#This Row],[_Pred1UID]])=0,0,IFERROR(MATCH(Tasks[[#This Row],[_Pred1UID]],Tasks[UID],0),-1))</calculatedColumnFormula>
    </tableColumn>
    <tableColumn id="81" name="_Pred2Pos">
      <calculatedColumnFormula>IF(N(Tasks[[#This Row],[_Pred2UID]])=0,0,IFERROR(MATCH(Tasks[[#This Row],[_Pred2UID]],Tasks[UID],0),-1))</calculatedColumnFormula>
    </tableColumn>
    <tableColumn id="82" name="_Pred3Pos">
      <calculatedColumnFormula>IF(N(Tasks[[#This Row],[_Pred3UID]])=0,0,IFERROR(MATCH(Tasks[[#This Row],[_Pred3UID]],Tasks[UID],0),-1))</calculatedColumnFormula>
    </tableColumn>
    <tableColumn id="83" name="_Pred4Pos">
      <calculatedColumnFormula>IF(N(Tasks[[#This Row],[_Pred4UID]])=0,0,IFERROR(MATCH(Tasks[[#This Row],[_Pred4UID]],Tasks[UID],0),-1))</calculatedColumnFormula>
    </tableColumn>
    <tableColumn id="84"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5"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86" name="_ConstraintLow">
      <calculatedColumnFormula>IF(OR(Tasks[[#This Row],[_ConstraintCode]]=2,Tasks[[#This Row],[_ConstraintCode]]=3,Tasks[[#This Row],[_ConstraintCode]]=4,Tasks[[#This Row],[_ConstraintCode]]=6),Tasks[[#This Row],[_ConstraintStart]],0)</calculatedColumnFormula>
    </tableColumn>
    <tableColumn id="87" name="_ConstraintHigh">
      <calculatedColumnFormula>IF(OR(Tasks[[#This Row],[_ConstraintCode]]=2,Tasks[[#This Row],[_ConstraintCode]]=3,Tasks[[#This Row],[_ConstraintCode]]=5,Tasks[[#This Row],[_ConstraintCode]]=7),Tasks[[#This Row],[_ConstraintStart]],2958465)</calculatedColumnFormula>
    </tableColumn>
    <tableColumn id="88"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9" name="_LeafCalcFinish">
      <calculatedColumnFormula>IF(NOT(Tasks[[#This Row],[_IsLeaf]]=1),"",IF(N(Tasks[[#This Row],[_Days]])&lt;=0,Tasks[[#This Row],[_LeafCalcStart]],WORKDAY.INTL(Tasks[[#This Row],[_LeafCalcStart]],Tasks[[#This Row],[_Days]]-1,WorkWeek,Holidays)))</calculatedColumnFormula>
    </tableColumn>
    <tableColumn id="90"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1"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2" name="_Pred1Text">
      <calculatedColumnFormula>IF(Tasks[[#This Row],[_Predecessors]]="","",TRIM(MID(SUBSTITUTE(SUBSTITUTE(SUBSTITUTE(UPPER(Tasks[[#This Row],[_Predecessors]]),";",",")," ",""),",",REPT(" ",99)),1,99)))</calculatedColumnFormula>
    </tableColumn>
    <tableColumn id="93"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94"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95"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96" name="_Pred2Text">
      <calculatedColumnFormula>IF(Tasks[[#This Row],[_Pred1Text]]="","",TRIM(MID(SUBSTITUTE(SUBSTITUTE(SUBSTITUTE(UPPER(Tasks[[#This Row],[_Predecessors]]),";",",")," ",""),",",REPT(" ",99)),100,99)))</calculatedColumnFormula>
    </tableColumn>
    <tableColumn id="97"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98"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99"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0" name="_Pred3Text">
      <calculatedColumnFormula>IF(Tasks[[#This Row],[_Pred2Text]]="","",TRIM(MID(SUBSTITUTE(SUBSTITUTE(SUBSTITUTE(UPPER(Tasks[[#This Row],[_Predecessors]]),";",",")," ",""),",",REPT(" ",99)),199,99)))</calculatedColumnFormula>
    </tableColumn>
    <tableColumn id="101"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2"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03"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04" name="_Pred4Text">
      <calculatedColumnFormula>IF(Tasks[[#This Row],[_Pred3Text]]="","",TRIM(MID(SUBSTITUTE(SUBSTITUTE(SUBSTITUTE(UPPER(Tasks[[#This Row],[_Predecessors]]),";",",")," ",""),",",REPT(" ",99)),298,99)))</calculatedColumnFormula>
    </tableColumn>
    <tableColumn id="105"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06"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07"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08" name="_Res1Text">
      <calculatedColumnFormula>IF(OR(Tasks[[#This Row],[Task Name]]="",Tasks[[#This Row],[_Resources]]=""),"",TRIM(MID(SUBSTITUTE(Tasks[[#This Row],[_Resources]],",",REPT(" ",99)),1,99)))</calculatedColumnFormula>
    </tableColumn>
    <tableColumn id="109" name="_Res2Text">
      <calculatedColumnFormula>IF(Tasks[[#This Row],[_Res1Text]]="","",TRIM(MID(SUBSTITUTE(Tasks[[#This Row],[_Resources]],",",REPT(" ",99)),100,99)))</calculatedColumnFormula>
    </tableColumn>
    <tableColumn id="110" name="_Res3Text">
      <calculatedColumnFormula>IF(Tasks[[#This Row],[_Res2Text]]="","",TRIM(MID(SUBSTITUTE(Tasks[[#This Row],[_Resources]],",",REPT(" ",99)),199,99)))</calculatedColumnFormula>
    </tableColumn>
    <tableColumn id="111" name="_Res4Text">
      <calculatedColumnFormula>IF(Tasks[[#This Row],[_Res3Text]]="","",TRIM(MID(SUBSTITUTE(Tasks[[#This Row],[_Resources]],",",REPT(" ",99)),298,99)))</calculatedColumnFormula>
    </tableColumn>
    <tableColumn id="112"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13"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14"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15"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16" name="_Resource1">
      <calculatedColumnFormula>IF(Tasks[[#This Row],[_Res1Text]]="","",IF(Tasks[[#This Row],[_Res1Row]]&gt;0,INDEX(res_Name,Tasks[[#This Row],[_Res1Row]]),TRIM(LEFT(Tasks[[#This Row],[_Res1Text]],FIND("[",Tasks[[#This Row],[_Res1Text]]&amp;"[")-1))))</calculatedColumnFormula>
    </tableColumn>
    <tableColumn id="117"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18" name="_People">
      <calculatedColumnFormula>IF(NOT(Tasks[[#This Row],[_IsLeaf]]=1),0,(Tasks[[#This Row],[_Resource1]]&lt;&gt;"")+(Tasks[[#This Row],[_Res2]]&lt;&gt;"")+(Tasks[[#This Row],[_Res3]]&lt;&gt;"")+(Tasks[[#This Row],[_Res4]]&lt;&gt;""))</calculatedColumnFormula>
    </tableColumn>
    <tableColumn id="119" name="_Res2">
      <calculatedColumnFormula>IF(Tasks[[#This Row],[_Res2Text]]="","",IF(Tasks[[#This Row],[_Res2Row]]&gt;0,INDEX(res_Name,Tasks[[#This Row],[_Res2Row]]),TRIM(LEFT(Tasks[[#This Row],[_Res2Text]],FIND("[",Tasks[[#This Row],[_Res2Text]]&amp;"[")-1))))</calculatedColumnFormula>
    </tableColumn>
    <tableColumn id="120"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1" name="_Res2Work">
      <calculatedColumnFormula>IF(OR(NOT(Tasks[[#This Row],[_IsLeaf]]=1),Tasks[[#This Row],[_Res2Row]]=0),0,N(Tasks[[#This Row],[_Days]])*HoursPerDay*IF(Tasks[[#This Row],[_Res2Units]]="",DefaultUnits,Tasks[[#This Row],[_Res2Units]]))</calculatedColumnFormula>
    </tableColumn>
    <tableColumn id="122" name="_Res2WorkPerWD">
      <calculatedColumnFormula>IF(AND(AND(Tasks[[#This Row],[_IsLeaf]]=1,Tasks[[#This Row],[_LeafTotalWork]]&gt;0),Tasks[[#This Row],[_Res2Work]]&gt;0),Tasks[[#This Row],[_Res2Work]]/(Tasks[[#This Row],[_FinishWorkday]]-Tasks[[#This Row],[_StartWorkday]]+1),0)</calculatedColumnFormula>
    </tableColumn>
    <tableColumn id="123" name="_Res2WorkBefore">
      <calculatedColumnFormula>Tasks[[#This Row],[_Res2WorkPerWD]]*MAX(0,Tasks[[#This Row],[_StartWorkday]]-1)</calculatedColumnFormula>
    </tableColumn>
    <tableColumn id="124" name="_Res2WorkDone">
      <calculatedColumnFormula>Tasks[[#This Row],[_Res2Work]]*Tasks[[#This Row],[_LeafProgress]]</calculatedColumnFormula>
    </tableColumn>
    <tableColumn id="125" name="_Res3">
      <calculatedColumnFormula>IF(Tasks[[#This Row],[_Res3Text]]="","",IF(Tasks[[#This Row],[_Res3Row]]&gt;0,INDEX(res_Name,Tasks[[#This Row],[_Res3Row]]),TRIM(LEFT(Tasks[[#This Row],[_Res3Text]],FIND("[",Tasks[[#This Row],[_Res3Text]]&amp;"[")-1))))</calculatedColumnFormula>
    </tableColumn>
    <tableColumn id="126"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27" name="_Res3Work">
      <calculatedColumnFormula>IF(OR(NOT(Tasks[[#This Row],[_IsLeaf]]=1),Tasks[[#This Row],[_Res3Row]]=0),0,N(Tasks[[#This Row],[_Days]])*HoursPerDay*IF(Tasks[[#This Row],[_Res3Units]]="",DefaultUnits,Tasks[[#This Row],[_Res3Units]]))</calculatedColumnFormula>
    </tableColumn>
    <tableColumn id="128" name="_Res3WorkPerWD">
      <calculatedColumnFormula>IF(AND(AND(Tasks[[#This Row],[_IsLeaf]]=1,Tasks[[#This Row],[_LeafTotalWork]]&gt;0),Tasks[[#This Row],[_Res3Work]]&gt;0),Tasks[[#This Row],[_Res3Work]]/(Tasks[[#This Row],[_FinishWorkday]]-Tasks[[#This Row],[_StartWorkday]]+1),0)</calculatedColumnFormula>
    </tableColumn>
    <tableColumn id="129" name="_Res3WorkBefore">
      <calculatedColumnFormula>Tasks[[#This Row],[_Res3WorkPerWD]]*MAX(0,Tasks[[#This Row],[_StartWorkday]]-1)</calculatedColumnFormula>
    </tableColumn>
    <tableColumn id="130" name="_Res3WorkDone">
      <calculatedColumnFormula>Tasks[[#This Row],[_Res3Work]]*Tasks[[#This Row],[_LeafProgress]]</calculatedColumnFormula>
    </tableColumn>
    <tableColumn id="131" name="_Res4">
      <calculatedColumnFormula>IF(Tasks[[#This Row],[_Res4Text]]="","",IF(Tasks[[#This Row],[_Res4Row]]&gt;0,INDEX(res_Name,Tasks[[#This Row],[_Res4Row]]),TRIM(LEFT(Tasks[[#This Row],[_Res4Text]],FIND("[",Tasks[[#This Row],[_Res4Text]]&amp;"[")-1))))</calculatedColumnFormula>
    </tableColumn>
    <tableColumn id="132"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33" name="_Res4Work">
      <calculatedColumnFormula>IF(OR(NOT(Tasks[[#This Row],[_IsLeaf]]=1),Tasks[[#This Row],[_Res4Row]]=0),0,N(Tasks[[#This Row],[_Days]])*HoursPerDay*IF(Tasks[[#This Row],[_Res4Units]]="",DefaultUnits,Tasks[[#This Row],[_Res4Units]]))</calculatedColumnFormula>
    </tableColumn>
    <tableColumn id="134" name="_Res4WorkPerWD">
      <calculatedColumnFormula>IF(AND(AND(Tasks[[#This Row],[_IsLeaf]]=1,Tasks[[#This Row],[_LeafTotalWork]]&gt;0),Tasks[[#This Row],[_Res4Work]]&gt;0),Tasks[[#This Row],[_Res4Work]]/(Tasks[[#This Row],[_FinishWorkday]]-Tasks[[#This Row],[_StartWorkday]]+1),0)</calculatedColumnFormula>
    </tableColumn>
    <tableColumn id="135" name="_Res4WorkBefore">
      <calculatedColumnFormula>Tasks[[#This Row],[_Res4WorkPerWD]]*MAX(0,Tasks[[#This Row],[_StartWorkday]]-1)</calculatedColumnFormula>
    </tableColumn>
    <tableColumn id="136" name="_Res4WorkDone">
      <calculatedColumnFormula>Tasks[[#This Row],[_Res4Work]]*Tasks[[#This Row],[_LeafProgress]]</calculatedColumnFormula>
    </tableColumn>
    <tableColumn id="137" name="_Pct">
      <calculatedColumnFormula>IF(ISNUMBER(Tasks[[#This Row],[% Complete]]),Tasks[[#This Row],[% Complete]],IF(Tasks[[#This Row],[Stage]]="",0,IFERROR(INDEX(stg_Pct,MATCH(Tasks[[#This Row],[Stage]],stg_Name,0)),0)))</calculatedColumnFormula>
    </tableColumn>
    <tableColumn id="138" name="_LeafProgress">
      <calculatedColumnFormula>IF(NOT(Tasks[[#This Row],[_IsLeaf]]=1),0,IF(N(Tasks[[#This Row],[Actual Finish]])&gt;0,1,MIN(1,Tasks[[#This Row],[_Pct]])))</calculatedColumnFormula>
    </tableColumn>
    <tableColumn id="139" name="_LeafWork">
      <calculatedColumnFormula>IF(OR(NOT(Tasks[[#This Row],[_IsLeaf]]=1),Tasks[[#This Row],[_Res1Row]]=0),0,N(Tasks[[#This Row],[_Days]])*HoursPerDay*IF(Tasks[[#This Row],[_Units1]]="",DefaultUnits,Tasks[[#This Row],[_Units1]]))</calculatedColumnFormula>
    </tableColumn>
    <tableColumn id="140" name="_LeafTotalWork">
      <calculatedColumnFormula>Tasks[[#This Row],[_LeafWork]]+Tasks[[#This Row],[_Res2Work]]+Tasks[[#This Row],[_Res3Work]]+Tasks[[#This Row],[_Res4Work]]</calculatedColumnFormula>
    </tableColumn>
    <tableColumn id="141"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2"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43"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44"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4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4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4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4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49"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0"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1"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2" name="_LeafLateStart">
      <calculatedColumnFormula>IF(NOT(Tasks[[#This Row],[_IsLeaf]]=1),"",IF(N(Tasks[[#This Row],[_Days]])&lt;=0,Tasks[[#This Row],[_LeafLateFinish]],WORKDAY.INTL(Tasks[[#This Row],[_LeafLateFinish]],-(Tasks[[#This Row],[_Days]]-1),WorkWeek,Holidays)))</calculatedColumnFormula>
    </tableColumn>
    <tableColumn id="15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54" name="_LeafCritical">
      <calculatedColumnFormula>AND(Tasks[[#This Row],[_IsLeaf]]=1,Tasks[[#This Row],[_LeafProgress]]&lt;1,N(Tasks[[#This Row],[_LeafTotalSlack]])&lt;=CriticalSlackDays)</calculatedColumnFormula>
    </tableColumn>
    <tableColumn id="155" name="_AlapShift">
      <calculatedColumnFormula>IF(AND(Tasks[[#This Row],[_IsLeaf]]=1,Tasks[[#This Row],[_ConstraintCode]]=1,Tasks[[#This Row],[Mode]]&lt;&gt;"Manual",N(Tasks[[#This Row],[Actual Start]])=0),MAX(0,N(Tasks[[#This Row],[Free Slack]])),0)</calculatedColumnFormula>
    </tableColumn>
    <tableColumn id="156" name="_ShownCalcStart">
      <calculatedColumnFormula>IF(NOT(Tasks[[#This Row],[_IsLeaf]]=1),"",IF(Tasks[[#This Row],[_AlapShift]]=0,Tasks[[#This Row],[_LeafCalcStart]],WORKDAY.INTL(Tasks[[#This Row],[_LeafCalcStart]],Tasks[[#This Row],[_AlapShift]],WorkWeek,Holidays)))</calculatedColumnFormula>
    </tableColumn>
    <tableColumn id="157" name="_ShownCalcFinish">
      <calculatedColumnFormula>IF(NOT(Tasks[[#This Row],[_IsLeaf]]=1),"",IF(Tasks[[#This Row],[_AlapShift]]=0,Tasks[[#This Row],[_LeafCalcFinish]],WORKDAY.INTL(Tasks[[#This Row],[_LeafCalcFinish]],Tasks[[#This Row],[_AlapShift]],WorkWeek,Holidays)))</calculatedColumnFormula>
    </tableColumn>
    <tableColumn id="158" name="_ShownFcstStart">
      <calculatedColumnFormula>IF(NOT(Tasks[[#This Row],[_IsLeaf]]=1),"",IF(Tasks[[#This Row],[_AlapShift]]=0,Tasks[[#This Row],[_LeafFcstStart]],WORKDAY.INTL(Tasks[[#This Row],[_LeafFcstStart]],Tasks[[#This Row],[_AlapShift]],WorkWeek,Holidays)))</calculatedColumnFormula>
    </tableColumn>
    <tableColumn id="159" name="_ShownFcstFinish">
      <calculatedColumnFormula>IF(NOT(Tasks[[#This Row],[_IsLeaf]]=1),"",IF(Tasks[[#This Row],[_AlapShift]]=0,Tasks[[#This Row],[_LeafFcstFinish]],WORKDAY.INTL(Tasks[[#This Row],[_LeafFcstFinish]],Tasks[[#This Row],[_AlapShift]],WorkWeek,Holidays)))</calculatedColumnFormula>
    </tableColumn>
    <tableColumn id="16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2"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63"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64"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65"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66"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67"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68"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69"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0"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1"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2"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73"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74" name="_StartWorkday">
      <calculatedColumnFormula>IF(AND(Tasks[[#This Row],[_IsLeaf]]=1,Tasks[[#This Row],[_LeafTotalWork]]&gt;0),NETWORKDAYS.INTL(ProjectStart,Tasks[[#This Row],[_ShownFcstStart]],WorkWeek,Holidays),0)</calculatedColumnFormula>
    </tableColumn>
    <tableColumn id="175" name="_FinishWorkday">
      <calculatedColumnFormula>IF(AND(Tasks[[#This Row],[_IsLeaf]]=1,Tasks[[#This Row],[_LeafTotalWork]]&gt;0),MAX(Tasks[[#This Row],[_StartWorkday]],NETWORKDAYS.INTL(ProjectStart,Tasks[[#This Row],[_ShownFcstFinish]],WorkWeek,Holidays)),0)</calculatedColumnFormula>
    </tableColumn>
    <tableColumn id="176" name="_WorkPerWorkday">
      <calculatedColumnFormula>IF(AND(Tasks[[#This Row],[_IsLeaf]]=1,Tasks[[#This Row],[_LeafTotalWork]]&gt;0),Tasks[[#This Row],[_LeafWork]]/(Tasks[[#This Row],[_FinishWorkday]]-Tasks[[#This Row],[_StartWorkday]]+1),0)</calculatedColumnFormula>
    </tableColumn>
    <tableColumn id="177" name="_WorkBeforeStart">
      <calculatedColumnFormula>Tasks[[#This Row],[_WorkPerWorkday]]*(Tasks[[#This Row],[_StartWorkday]]-1)</calculatedColumnFormula>
    </tableColumn>
    <tableColumn id="178" name="_WeightDur">
      <calculatedColumnFormula>IF(Tasks[[#This Row],[_IsLeaf]]=1,MAX(N(Tasks[[#This Row],[_Days]]),0.1),0)</calculatedColumnFormula>
    </tableColumn>
    <tableColumn id="179" name="_WeightDone">
      <calculatedColumnFormula>Tasks[[#This Row],[_WeightDur]]*Tasks[[#This Row],[_LeafProgress]]</calculatedColumnFormula>
    </tableColumn>
    <tableColumn id="180" name="_WeightPlanned">
      <calculatedColumnFormula>Tasks[[#This Row],[_WeightDur]]*Tasks[[#This Row],[_PlannedPct]]</calculatedColumnFormula>
    </tableColumn>
    <tableColumn id="181"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2" name="_MilestoneKey">
      <calculatedColumnFormula>IF(AND(Tasks[[#This Row],[_IsLeaf]]=1,N(Tasks[[#This Row],[_Days]])=0,Tasks[[#This Row],[_LeafProgress]]&lt;1),Tasks[[#This Row],[_ShownFcstFinish]]+Tasks[[#This Row],[_Row]]/100000,"")</calculatedColumnFormula>
    </tableColumn>
    <tableColumn id="183"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84" name="_Phase">
      <calculatedColumnFormula>IF(Tasks[[#This Row],[Task Name]]="","",LEFT(Tasks[[#This Row],[WBS]],FIND(".",Tasks[[#This Row],[WBS]]&amp;".")-1))</calculatedColumnFormula>
    </tableColumn>
    <tableColumn id="185" name="_PhaseKey">
      <calculatedColumnFormula>IF(AND(Tasks[[#This Row],[Task Name]]&lt;&gt;"",Tasks[[#This Row],[_Level]]=1),Tasks[[#This Row],[_Row]],"")</calculatedColumnFormula>
    </tableColumn>
    <tableColumn id="186" name="_MilestoneOrder">
      <calculatedColumnFormula>IF(AND(Tasks[[#This Row],[_IsLeaf]]=1,N(Tasks[[#This Row],[_Days]])=0),Tasks[[#This Row],[Planned Finish]]+Tasks[[#This Row],[_Row]]/100000,"")</calculatedColumnFormula>
    </tableColumn>
    <tableColumn id="187" name="_LateKey">
      <calculatedColumnFormula>IF(AND(Tasks[[#This Row],[_IsLeaf]]=1,Tasks[[#This Row],[_LeafProgress]]&lt;1,OR(N(Tasks[[#This Row],[Finish Var]])&gt;0,Tasks[[#This Row],[Status]]="Late Start")),MAX(0,Tasks[[#This Row],[Finish Var]])+1-Tasks[[#This Row],[_Row]]/1000000,"")</calculatedColumnFormula>
    </tableColumn>
    <tableColumn id="188" name="_StartSoonKey">
      <calculatedColumnFormula>IF(AND(Tasks[[#This Row],[_IsLeaf]]=1,N(Tasks[[#This Row],[Actual Start]])=0,Tasks[[#This Row],[_ShownFcstStart]]&gt;=StatusDate,Tasks[[#This Row],[_ShownFcstStart]]&lt;=LookaheadEnd),Tasks[[#This Row],[_ShownFcstStart]]+Tasks[[#This Row],[_Row]]/100000,"")</calculatedColumnFormula>
    </tableColumn>
    <tableColumn id="189"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0" name="_CriticalKey">
      <calculatedColumnFormula>IF(Tasks[[#This Row],[_LeafCritical]],Tasks[[#This Row],[_ShownFcstStart]]+Tasks[[#This Row],[_Row]]/100000,"")</calculatedColumnFormula>
    </tableColumn>
    <tableColumn id="191" name="_LeafWorkDone">
      <calculatedColumnFormula>Tasks[[#This Row],[_LeafWork]]*Tasks[[#This Row],[_LeafProgress]]</calculatedColumnFormula>
    </tableColumn>
    <tableColumn id="192" name="_DoneDate">
      <calculatedColumnFormula>IF(AND(Tasks[[#This Row],[_IsLeaf]]=1,Tasks[[#This Row],[_LeafProgress]]&gt;=1),IF(N(Tasks[[#This Row],[Actual Finish]])&gt;0,Tasks[[#This Row],[Actual Finish]],Tasks[[#This Row],[_ShownFcstFinish]]),"")</calculatedColumnFormula>
    </tableColumn>
    <tableColumn id="193" name="_LeafPoints">
      <calculatedColumnFormula>IF(Tasks[[#This Row],[_IsLeaf]]=1,N(Tasks[[#This Row],[Story Points]]),0)</calculatedColumnFormula>
    </tableColumn>
    <tableColumn id="194" name="_CurrentSprintKey">
      <calculatedColumnFormula>""</calculatedColumnFormula>
    </tableColumn>
    <tableColumn id="195" name="_IsMilestone">
      <calculatedColumnFormula>IF(Tasks[[#This Row],[Task Name]]="",FALSE(),AND(Tasks[[#This Row],[_IsLeaf]]=1,N(Tasks[[#This Row],[_Days]])=0))</calculatedColumnFormula>
    </tableColumn>
    <tableColumn id="196" name="_DoneFrom">
      <calculatedColumnFormula>IF(Tasks[[#This Row],[Task Name]]="",0,IF(AND(Tasks[[#This Row],[_IsLeaf]]=1,NOT(Tasks[[#This Row],[_IsMilestone]]),N(Tasks[[#This Row],[Progress]])&gt;0),Tasks[[#This Row],[Start]],0))</calculatedColumnFormula>
    </tableColumn>
    <tableColumn id="197" name="_DoneTo">
      <calculatedColumnFormula>IF(Tasks[[#This Row],[_DoneFrom]]=0,0,IF(Tasks[[#This Row],[Progress]]&gt;=1,Tasks[[#This Row],[Finish]],MAX(Tasks[[#This Row],[_DoneFrom]],Tasks[[#This Row],[Start]]+ROUND((Tasks[[#This Row],[Finish]]-Tasks[[#This Row],[Start]]+1)*Tasks[[#This Row],[Progress]],0)-1)))</calculatedColumnFormula>
    </tableColumn>
    <tableColumn id="198" name="_RemFrom">
      <calculatedColumnFormula>IF(Tasks[[#This Row],[Task Name]]="",0,IF(OR(NOT(Tasks[[#This Row],[_IsLeaf]]=1),Tasks[[#This Row],[_IsMilestone]],N(Tasks[[#This Row],[Progress]])&gt;=1),0,IF(Tasks[[#This Row],[_DoneTo]]&gt;0,Tasks[[#This Row],[_DoneTo]]+1,Tasks[[#This Row],[Start]])))</calculatedColumnFormula>
    </tableColumn>
    <tableColumn id="199" name="_RemTo">
      <calculatedColumnFormula>IF(Tasks[[#This Row],[_RemFrom]]=0,0,Tasks[[#This Row],[Finish]])</calculatedColumnFormula>
    </tableColumn>
    <tableColumn id="200" name="_ShowPlan">
      <calculatedColumnFormula>IF(Tasks[[#This Row],[Task Name]]="",FALSE(),OR(NOT(BaselineSet),N(Tasks[[#This Row],[Baseline Start]])&gt;0))</calculatedColumnFormula>
    </tableColumn>
    <tableColumn id="201" name="_Days">
      <calculatedColumnFormula>IF(Tasks[[#This Row],[Duration]]="","",IF(ISNUMBER(Tasks[[#This Row],[Duration]]),Tasks[[#This Row],[Duration]],IFERROR(VALUE(LOWER(TRIM(Tasks[[#This Row],[Duration]]))),IFERROR(VALUE(LEFT(LOWER(TRIM(Tasks[[#This Row],[Duration]])),LEN(LOWER(TRIM(Tasks[[#This Row],[Duration]])))-1))*IF(RIGHT(LOWER(TRIM(Tasks[[#This Row],[Duration]])),1)="w",5,IF(RIGHT(LOWER(TRIM(Tasks[[#This Row],[Duration]])),1)="d",1,NA())),""))))</calculatedColumnFormula>
    </tableColumn>
    <tableColumn id="202"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03"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04" name="_PickKey">
      <calculatedColumnFormula>IF(Tasks[[#This Row],[_IsLeaf]]=1,Tasks[[#This Row],[_Row]],"")</calculatedColumnFormula>
    </tableColumn>
    <tableColumn id="205" name="_PickList">
      <calculatedColumnFormula>IFERROR(INDEX(Tasks[UID],SMALL(Tasks[_PickKey],Tasks[[#This Row],[_Row]]))&amp;" "&amp;INDEX(Tasks[Task Name],SMALL(Tasks[_PickKey],Tasks[[#This Row],[_Row]])),"")</calculatedColumnFormula>
    </tableColumn>
    <tableColumn id="206" name="_SpanDays">
      <calculatedColumnFormula>IF(Tasks[[#This Row],[Task Name]]="","",IF(Tasks[[#This Row],[_IsSummary]],NETWORKDAYS.INTL(Tasks[[#This Row],[Start]],Tasks[[#This Row],[Finish]],WorkWeek,Holidays),N(Tasks[[#This Row],[_Days]])))</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9.xml"/><Relationship Id="rId9" Type="http://schemas.openxmlformats.org/officeDocument/2006/relationships/table" Target="../tables/table20.xml"/><Relationship Id="rId10" Type="http://schemas.openxmlformats.org/officeDocument/2006/relationships/table" Target="../tables/table26.xml"/><Relationship Id="rId11" Type="http://schemas.openxmlformats.org/officeDocument/2006/relationships/table" Target="../tables/table27.xml"/><Relationship Id="rId12" Type="http://schemas.openxmlformats.org/officeDocument/2006/relationships/table" Target="../tables/table28.xml"/><Relationship Id="rId13" Type="http://schemas.openxmlformats.org/officeDocument/2006/relationships/table" Target="../tables/table29.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3.xml"/><Relationship Id="rId4" Type="http://schemas.openxmlformats.org/officeDocument/2006/relationships/table" Target="../tables/table24.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7.xml"/><Relationship Id="rId3" Type="http://schemas.openxmlformats.org/officeDocument/2006/relationships/table" Target="../tables/table8.xml"/><Relationship Id="rId4" Type="http://schemas.openxmlformats.org/officeDocument/2006/relationships/table" Target="../tables/table9.xml"/><Relationship Id="rId5" Type="http://schemas.openxmlformats.org/officeDocument/2006/relationships/table" Target="../tables/table10.xml"/><Relationship Id="rId6" Type="http://schemas.openxmlformats.org/officeDocument/2006/relationships/table" Target="../tables/table11.xml"/><Relationship Id="rId7" Type="http://schemas.openxmlformats.org/officeDocument/2006/relationships/table" Target="../tables/table12.xml"/><Relationship Id="rId8" Type="http://schemas.openxmlformats.org/officeDocument/2006/relationships/table" Target="../tables/table13.xml"/><Relationship Id="rId9" Type="http://schemas.openxmlformats.org/officeDocument/2006/relationships/table" Target="../tables/table14.xml"/><Relationship Id="rId10" Type="http://schemas.openxmlformats.org/officeDocument/2006/relationships/table" Target="../tables/table15.xml"/><Relationship Id="rId11" Type="http://schemas.openxmlformats.org/officeDocument/2006/relationships/table" Target="../tables/table16.xml"/><Relationship Id="rId12" Type="http://schemas.openxmlformats.org/officeDocument/2006/relationships/table" Target="../tables/table17.xml"/><Relationship Id="rId13" Type="http://schemas.openxmlformats.org/officeDocument/2006/relationships/table" Target="../tables/table18.xml"/><Relationship Id="rId14" Type="http://schemas.openxmlformats.org/officeDocument/2006/relationships/table" Target="../tables/table21.xml"/><Relationship Id="rId15" Type="http://schemas.openxmlformats.org/officeDocument/2006/relationships/table" Target="../tables/table2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30.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6.xml"/><Relationship Id="rId4" Type="http://schemas.openxmlformats.org/officeDocument/2006/relationships/table" Target="../tables/table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15" hidden="false" customHeight="false" outlineLevel="0" collapsed="false">
      <c r="B12" s="5" t="s">
        <v>14</v>
      </c>
      <c r="C12" s="9" t="s">
        <v>15</v>
      </c>
    </row>
    <row r="13" customFormat="false" ht="15" hidden="false" customHeight="false" outlineLevel="0" collapsed="false">
      <c r="B13" s="5" t="s">
        <v>16</v>
      </c>
      <c r="C13" s="9" t="s">
        <v>17</v>
      </c>
    </row>
    <row r="14" customFormat="false" ht="15" hidden="false" customHeight="false" outlineLevel="0" collapsed="false">
      <c r="B14" s="5" t="s">
        <v>18</v>
      </c>
      <c r="C14" s="9" t="s">
        <v>19</v>
      </c>
    </row>
    <row r="15" customFormat="false" ht="15" hidden="false" customHeight="false" outlineLevel="0" collapsed="false">
      <c r="B15" s="5" t="s">
        <v>20</v>
      </c>
      <c r="C15" s="9" t="s">
        <v>21</v>
      </c>
    </row>
    <row r="16" customFormat="false" ht="15" hidden="false" customHeight="false" outlineLevel="0" collapsed="false">
      <c r="B16" s="5" t="s">
        <v>22</v>
      </c>
      <c r="C16" s="9" t="s">
        <v>23</v>
      </c>
    </row>
    <row r="18" customFormat="false" ht="15" hidden="false" customHeight="false" outlineLevel="0" collapsed="false">
      <c r="B18" s="3" t="s">
        <v>24</v>
      </c>
      <c r="C18" s="4"/>
    </row>
    <row r="19" customFormat="false" ht="15" hidden="false" customHeight="false" outlineLevel="0" collapsed="false">
      <c r="B19" s="5" t="s">
        <v>25</v>
      </c>
      <c r="C19" s="9"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0" t="s">
        <v>29</v>
      </c>
      <c r="C24" s="11" t="s">
        <v>30</v>
      </c>
    </row>
    <row r="26" customFormat="false" ht="15" hidden="false" customHeight="false" outlineLevel="0" collapsed="false">
      <c r="B26" s="3" t="s">
        <v>31</v>
      </c>
      <c r="C26" s="4"/>
    </row>
    <row r="27" customFormat="false" ht="35.05" hidden="false" customHeight="false" outlineLevel="0" collapsed="false">
      <c r="B27" s="10" t="s">
        <v>32</v>
      </c>
      <c r="C27" s="11" t="s">
        <v>33</v>
      </c>
    </row>
    <row r="28" customFormat="false" ht="35.05" hidden="false" customHeight="false" outlineLevel="0" collapsed="false">
      <c r="B28" s="10" t="s">
        <v>34</v>
      </c>
      <c r="C28" s="11" t="s">
        <v>35</v>
      </c>
    </row>
    <row r="29" customFormat="false" ht="57.45" hidden="false" customHeight="false" outlineLevel="0" collapsed="false">
      <c r="B29" s="10" t="s">
        <v>18</v>
      </c>
      <c r="C29" s="11" t="s">
        <v>36</v>
      </c>
    </row>
    <row r="30" customFormat="false" ht="35.05" hidden="false" customHeight="false" outlineLevel="0" collapsed="false">
      <c r="B30" s="10" t="s">
        <v>37</v>
      </c>
      <c r="C30" s="11" t="s">
        <v>38</v>
      </c>
    </row>
    <row r="31" customFormat="false" ht="46.25" hidden="false" customHeight="false" outlineLevel="0" collapsed="false">
      <c r="B31" s="10" t="s">
        <v>39</v>
      </c>
      <c r="C31" s="11" t="s">
        <v>40</v>
      </c>
    </row>
    <row r="32" customFormat="false" ht="35.05" hidden="false" customHeight="false" outlineLevel="0" collapsed="false">
      <c r="B32" s="10" t="s">
        <v>41</v>
      </c>
      <c r="C32" s="11" t="s">
        <v>42</v>
      </c>
    </row>
    <row r="33" customFormat="false" ht="79.85" hidden="false" customHeight="false" outlineLevel="0" collapsed="false">
      <c r="B33" s="10" t="s">
        <v>43</v>
      </c>
      <c r="C33" s="11" t="s">
        <v>44</v>
      </c>
    </row>
    <row r="34" customFormat="false" ht="46.25" hidden="false" customHeight="false" outlineLevel="0" collapsed="false">
      <c r="B34" s="10" t="s">
        <v>45</v>
      </c>
      <c r="C34" s="11" t="s">
        <v>46</v>
      </c>
    </row>
    <row r="35" customFormat="false" ht="68.65" hidden="false" customHeight="false" outlineLevel="0" collapsed="false">
      <c r="B35" s="10" t="s">
        <v>47</v>
      </c>
      <c r="C35" s="11" t="s">
        <v>48</v>
      </c>
    </row>
    <row r="36" customFormat="false" ht="46.25" hidden="false" customHeight="false" outlineLevel="0" collapsed="false">
      <c r="B36" s="10" t="s">
        <v>49</v>
      </c>
      <c r="C36" s="11" t="s">
        <v>50</v>
      </c>
    </row>
    <row r="37" customFormat="false" ht="46.25" hidden="false" customHeight="false" outlineLevel="0" collapsed="false">
      <c r="B37" s="10" t="s">
        <v>51</v>
      </c>
      <c r="C37" s="11" t="s">
        <v>52</v>
      </c>
    </row>
    <row r="39" customFormat="false" ht="15" hidden="false" customHeight="false" outlineLevel="0" collapsed="false">
      <c r="B39" s="3" t="s">
        <v>53</v>
      </c>
      <c r="C39" s="4"/>
    </row>
    <row r="40" customFormat="false" ht="15" hidden="false" customHeight="false" outlineLevel="0" collapsed="false">
      <c r="B40" s="10" t="s">
        <v>54</v>
      </c>
      <c r="C40" s="12" t="s">
        <v>55</v>
      </c>
    </row>
    <row r="41" customFormat="false" ht="15" hidden="false" customHeight="false" outlineLevel="0" collapsed="false">
      <c r="B41" s="10" t="s">
        <v>56</v>
      </c>
      <c r="C41" s="13" t="s">
        <v>57</v>
      </c>
    </row>
    <row r="42" customFormat="false" ht="15" hidden="false" customHeight="false" outlineLevel="0" collapsed="false">
      <c r="B42" s="10" t="s">
        <v>58</v>
      </c>
      <c r="C42" s="11" t="s">
        <v>59</v>
      </c>
    </row>
    <row r="43" customFormat="false" ht="23.85" hidden="false" customHeight="false" outlineLevel="0" collapsed="false">
      <c r="B43" s="10" t="s">
        <v>60</v>
      </c>
      <c r="C43" s="11" t="s">
        <v>61</v>
      </c>
    </row>
    <row r="44" customFormat="false" ht="23.85" hidden="false" customHeight="false" outlineLevel="0" collapsed="false">
      <c r="B44" s="10" t="s">
        <v>62</v>
      </c>
      <c r="C44" s="11" t="s">
        <v>63</v>
      </c>
    </row>
    <row r="45" customFormat="false" ht="23.85" hidden="false" customHeight="false" outlineLevel="0" collapsed="false">
      <c r="B45" s="10" t="s">
        <v>64</v>
      </c>
      <c r="C45" s="11" t="s">
        <v>65</v>
      </c>
    </row>
    <row r="47" customFormat="false" ht="15" hidden="false" customHeight="false" outlineLevel="0" collapsed="false">
      <c r="B47" s="3" t="s">
        <v>66</v>
      </c>
      <c r="C47" s="4"/>
    </row>
    <row r="48" customFormat="false" ht="35.05" hidden="false" customHeight="false" outlineLevel="0" collapsed="false">
      <c r="B48" s="10" t="s">
        <v>67</v>
      </c>
      <c r="C48" s="11" t="s">
        <v>68</v>
      </c>
    </row>
    <row r="49" customFormat="false" ht="23.85" hidden="false" customHeight="false" outlineLevel="0" collapsed="false">
      <c r="B49" s="10" t="s">
        <v>69</v>
      </c>
      <c r="C49" s="11" t="s">
        <v>70</v>
      </c>
    </row>
    <row r="50" customFormat="false" ht="15" hidden="false" customHeight="false" outlineLevel="0" collapsed="false">
      <c r="B50" s="10" t="s">
        <v>71</v>
      </c>
      <c r="C50" s="11" t="s">
        <v>72</v>
      </c>
    </row>
    <row r="51" customFormat="false" ht="46.25" hidden="false" customHeight="false" outlineLevel="0" collapsed="false">
      <c r="B51" s="10" t="s">
        <v>73</v>
      </c>
      <c r="C51" s="11" t="s">
        <v>74</v>
      </c>
    </row>
    <row r="52" customFormat="false" ht="15" hidden="false" customHeight="false" outlineLevel="0" collapsed="false">
      <c r="B52" s="10" t="s">
        <v>75</v>
      </c>
      <c r="C52" s="11" t="s">
        <v>76</v>
      </c>
    </row>
    <row r="53" customFormat="false" ht="46.25" hidden="false" customHeight="false" outlineLevel="0" collapsed="false">
      <c r="B53" s="10" t="s">
        <v>77</v>
      </c>
      <c r="C53" s="11" t="s">
        <v>78</v>
      </c>
    </row>
    <row r="54" customFormat="false" ht="23.85" hidden="false" customHeight="false" outlineLevel="0" collapsed="false">
      <c r="B54" s="10" t="s">
        <v>79</v>
      </c>
      <c r="C54" s="11" t="s">
        <v>80</v>
      </c>
    </row>
    <row r="55" customFormat="false" ht="35.05" hidden="false" customHeight="false" outlineLevel="0" collapsed="false">
      <c r="B55" s="10" t="s">
        <v>81</v>
      </c>
      <c r="C55" s="11" t="s">
        <v>82</v>
      </c>
    </row>
    <row r="56" customFormat="false" ht="46.25" hidden="false" customHeight="false" outlineLevel="0" collapsed="false">
      <c r="B56" s="10" t="s">
        <v>83</v>
      </c>
      <c r="C56" s="11" t="s">
        <v>84</v>
      </c>
    </row>
    <row r="57" customFormat="false" ht="35.05" hidden="false" customHeight="false" outlineLevel="0" collapsed="false">
      <c r="B57" s="10" t="s">
        <v>85</v>
      </c>
      <c r="C57" s="11" t="s">
        <v>86</v>
      </c>
    </row>
    <row r="58" customFormat="false" ht="23.85" hidden="false" customHeight="false" outlineLevel="0" collapsed="false">
      <c r="B58" s="10" t="s">
        <v>87</v>
      </c>
      <c r="C58" s="11" t="s">
        <v>88</v>
      </c>
    </row>
    <row r="60" customFormat="false" ht="15" hidden="false" customHeight="false" outlineLevel="0" collapsed="false">
      <c r="B60" s="3" t="s">
        <v>89</v>
      </c>
      <c r="C60" s="4"/>
    </row>
    <row r="61" customFormat="false" ht="46.25" hidden="false" customHeight="false" outlineLevel="0" collapsed="false">
      <c r="B61" s="10" t="s">
        <v>90</v>
      </c>
      <c r="C61" s="11" t="s">
        <v>91</v>
      </c>
    </row>
    <row r="62" customFormat="false" ht="35.05" hidden="false" customHeight="false" outlineLevel="0" collapsed="false">
      <c r="B62" s="10" t="s">
        <v>92</v>
      </c>
      <c r="C62" s="11" t="s">
        <v>93</v>
      </c>
    </row>
    <row r="63" customFormat="false" ht="23.85" hidden="false" customHeight="false" outlineLevel="0" collapsed="false">
      <c r="B63" s="10" t="s">
        <v>94</v>
      </c>
      <c r="C63" s="11" t="s">
        <v>95</v>
      </c>
    </row>
    <row r="65" customFormat="false" ht="15" hidden="false" customHeight="false" outlineLevel="0" collapsed="false">
      <c r="B65" s="3" t="s">
        <v>96</v>
      </c>
      <c r="C65" s="4"/>
    </row>
    <row r="66" customFormat="false" ht="46.25" hidden="false" customHeight="false" outlineLevel="0" collapsed="false">
      <c r="B66" s="10" t="s">
        <v>97</v>
      </c>
      <c r="C66" s="11" t="s">
        <v>98</v>
      </c>
    </row>
    <row r="67" customFormat="false" ht="57.45" hidden="false" customHeight="false" outlineLevel="0" collapsed="false">
      <c r="B67" s="10" t="s">
        <v>99</v>
      </c>
      <c r="C67" s="11" t="s">
        <v>100</v>
      </c>
    </row>
    <row r="68" customFormat="false" ht="23.85" hidden="false" customHeight="false" outlineLevel="0" collapsed="false">
      <c r="B68" s="10" t="s">
        <v>101</v>
      </c>
      <c r="C68" s="11" t="s">
        <v>102</v>
      </c>
    </row>
    <row r="69" customFormat="false" ht="57.45" hidden="false" customHeight="false" outlineLevel="0" collapsed="false">
      <c r="B69" s="10" t="s">
        <v>103</v>
      </c>
      <c r="C69" s="11" t="s">
        <v>104</v>
      </c>
    </row>
    <row r="71" customFormat="false" ht="15" hidden="false" customHeight="false" outlineLevel="0" collapsed="false">
      <c r="B71" s="2" t="str">
        <f aca="false">"Project Planner template "&amp;TemplateVersion&amp;"  -  Excel 2019 or Microsoft 365, desktop, web and iPhone. No macros."</f>
        <v>Project Planner template 1.0  -  Excel 2019 or Microsoft 365, desktop, web and iPhone. No macros.</v>
      </c>
    </row>
  </sheetData>
  <sheetProtection sheet="true" formatColumns="false" formatRows="false" sort="false" autoFilter="false"/>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2" location="'Settings'!A1" display="Fill in the blue cells above: name, manager, start date, working week, hours per day and the project type (it sets the stages, sprint length and RAG thresholds). Everything else has a sensible default on Settings.  Go to Settings."/>
    <hyperlink ref="C13" location="'Resources'!A1" display="List the people (or roles) with their Allocation %. Leave: type 1 (or 0.5) under each day off in the LEAVE BY DAY grid under the people (or type the days in a month column).  Go to Resources."/>
    <hyperlink ref="C14" location="'Tasks'!A1" display="One row per task: Level (1 = phase, 2 = task ...), Task Name and Duration (3, 3d or 2w). Pick what must come first in Pred1 (a dropdown of the tasks above) and who does it in Res1; + opens links and people 2-4. Dates, the critical path, the Gantt and the reports follow.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ype the status date at the top of Status and follow its steps (progress on Tasks, the Log, the RAG, the commentary). Then the Check sheet, and the snapshot row on TakeSnapshot. A report in about ten minutes.  Go to Status."/>
  </hyperlinks>
  <printOptions headings="false" gridLines="false" gridLinesSet="true" horizontalCentered="false" verticalCentered="false"/>
  <pageMargins left="0.75" right="0.75" top="1" bottom="1"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&amp;LProject Planner template 1.0</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4"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Thu 29-Oct-2026 (+4 working days vs plan)</v>
      </c>
    </row>
    <row r="3" customFormat="false" ht="15" hidden="false" customHeight="false" outlineLevel="0" collapsed="false">
      <c r="B3" s="15" t="str">
        <f aca="false">IF(LiveGrids="No","Resource grids are OFF (Settings &gt; Live resource grids): the Resource Report and Tasks &gt; Over-allocated are not up to date.","")</f>
        <v/>
      </c>
    </row>
    <row r="4" customFormat="false" ht="15" hidden="false" customHeight="false" outlineLevel="0" collapsed="false">
      <c r="B4" s="3" t="s">
        <v>105</v>
      </c>
      <c r="C4" s="3" t="s">
        <v>106</v>
      </c>
    </row>
    <row r="5" customFormat="false" ht="15" hidden="false" customHeight="false" outlineLevel="0" collapsed="false">
      <c r="B5" s="5" t="s">
        <v>107</v>
      </c>
      <c r="C5" s="7" t="n">
        <v>46320</v>
      </c>
      <c r="D5" s="2" t="s">
        <v>108</v>
      </c>
    </row>
    <row r="6" customFormat="false" ht="30" hidden="false" customHeight="true" outlineLevel="0" collapsed="false">
      <c r="B6" s="5" t="s">
        <v>109</v>
      </c>
      <c r="C6" s="9" t="s">
        <v>110</v>
      </c>
    </row>
    <row r="7" customFormat="false" ht="30" hidden="false" customHeight="true" outlineLevel="0" collapsed="false">
      <c r="B7" s="5" t="s">
        <v>111</v>
      </c>
      <c r="C7" s="16" t="s">
        <v>112</v>
      </c>
    </row>
    <row r="8" customFormat="false" ht="30" hidden="false" customHeight="true" outlineLevel="0" collapsed="false">
      <c r="B8" s="5" t="s">
        <v>113</v>
      </c>
      <c r="C8" s="16" t="s">
        <v>114</v>
      </c>
    </row>
    <row r="13" customFormat="false" ht="15" hidden="false" customHeight="false" outlineLevel="0" collapsed="false">
      <c r="B13" s="17" t="s">
        <v>115</v>
      </c>
      <c r="C13" s="17" t="s">
        <v>116</v>
      </c>
      <c r="D13" s="17" t="s">
        <v>117</v>
      </c>
      <c r="E13" s="17" t="s">
        <v>118</v>
      </c>
      <c r="F13" s="18" t="s">
        <v>119</v>
      </c>
      <c r="G13" s="17" t="s">
        <v>120</v>
      </c>
      <c r="H13" s="18" t="s">
        <v>121</v>
      </c>
    </row>
    <row r="14" customFormat="false" ht="15" hidden="false" customHeight="false" outlineLevel="0" collapsed="false">
      <c r="B14" s="19" t="s">
        <v>122</v>
      </c>
      <c r="C14" s="20" t="s">
        <v>123</v>
      </c>
      <c r="D14" s="20" t="str">
        <f aca="false">COUNTIF(StatusRAG[RAG],"Red")&amp;" red, "&amp;COUNTIF(StatusRAG[RAG],"Amber")&amp;" amber"</f>
        <v>0 red, 3 amber</v>
      </c>
      <c r="E14" s="21" t="str">
        <f aca="false">CHOOSE(MAX(IF(COUNTIF(StatusRAG[RAG],"Red")&gt;0,2,0),IF(COUNTIF(StatusRAG[RAG],"Amber")&gt;0,1,0))+1,"Green","Amber","Red")</f>
        <v>Amber</v>
      </c>
      <c r="F14" s="22"/>
      <c r="G14" s="21" t="str">
        <f aca="false">IF(OverallStatus[[#This Row],[PM RAG]]&lt;&gt;"",OverallStatus[[#This Row],[PM RAG]],OverallStatus[[#This Row],[Calculated]])</f>
        <v>Amber</v>
      </c>
      <c r="H14" s="23"/>
    </row>
    <row r="15" customFormat="false" ht="15" hidden="false" customHeight="false" outlineLevel="0" collapsed="false">
      <c r="B15" s="5"/>
    </row>
    <row r="16" customFormat="false" ht="15" hidden="false" customHeight="false" outlineLevel="0" collapsed="false">
      <c r="B16" s="24" t="s">
        <v>115</v>
      </c>
      <c r="C16" s="17" t="s">
        <v>116</v>
      </c>
      <c r="D16" s="17" t="s">
        <v>117</v>
      </c>
      <c r="E16" s="17" t="s">
        <v>118</v>
      </c>
      <c r="F16" s="18" t="s">
        <v>119</v>
      </c>
      <c r="G16" s="17" t="s">
        <v>120</v>
      </c>
      <c r="H16" s="18" t="s">
        <v>121</v>
      </c>
    </row>
    <row r="17" customFormat="false" ht="15" hidden="false" customHeight="false" outlineLevel="0" collapsed="false">
      <c r="B17" s="19" t="s">
        <v>124</v>
      </c>
      <c r="C17" s="20" t="s">
        <v>125</v>
      </c>
      <c r="D17" s="25" t="n">
        <f aca="false">FinishVarianceDays</f>
        <v>4</v>
      </c>
      <c r="E17" s="21" t="str">
        <f aca="false">CHOOSE(IF(N(StatusRAG[[#This Row],[Value]])&gt;=RAGRedSlipDays,2,IF(N(StatusRAG[[#This Row],[Value]])&gt;=RAGAmberSlipDays,1,0))+1,"Green","Amber","Red")</f>
        <v>Amber</v>
      </c>
      <c r="F17" s="22"/>
      <c r="G17" s="21" t="str">
        <f aca="false">IF(StatusRAG[[#This Row],[PM RAG]]&lt;&gt;"",StatusRAG[[#This Row],[PM RAG]],StatusRAG[[#This Row],[Calculated]])</f>
        <v>Amber</v>
      </c>
      <c r="H17" s="23"/>
    </row>
    <row r="18" customFormat="false" ht="15" hidden="false" customHeight="false" outlineLevel="0" collapsed="false">
      <c r="B18" s="19" t="s">
        <v>126</v>
      </c>
      <c r="C18" s="20" t="s">
        <v>127</v>
      </c>
      <c r="D18" s="26" t="n">
        <f aca="false">sch_SPI</f>
        <v>0.905099150141643</v>
      </c>
      <c r="E18" s="21" t="str">
        <f aca="false">CHOOSE(IF(ISNUMBER(StatusRAG[[#This Row],[Value]]),IF(StatusRAG[[#This Row],[Value]]&lt;RAGRedIndex,2,IF(StatusRAG[[#This Row],[Value]]&lt;RAGAmberIndex,1,0)),0)+1,"Green","Amber","Red")</f>
        <v>Amber</v>
      </c>
      <c r="F18" s="22"/>
      <c r="G18" s="21" t="str">
        <f aca="false">IF(StatusRAG[[#This Row],[PM RAG]]&lt;&gt;"",StatusRAG[[#This Row],[PM RAG]],StatusRAG[[#This Row],[Calculated]])</f>
        <v>Amber</v>
      </c>
      <c r="H18" s="23"/>
    </row>
    <row r="19" customFormat="false" ht="15" hidden="false" customHeight="false" outlineLevel="0" collapsed="false">
      <c r="B19" s="19" t="s">
        <v>128</v>
      </c>
      <c r="C19" s="20" t="s">
        <v>129</v>
      </c>
      <c r="D19" s="27" t="n">
        <f aca="false">COUNTIF(tsk_DeadlineCheck,"Late*")</f>
        <v>0</v>
      </c>
      <c r="E19" s="21" t="str">
        <f aca="false">CHOOSE(IF(N(StatusRAG[[#This Row],[Value]])&gt;0,2,0)+1,"Green","Amber","Red")</f>
        <v>Green</v>
      </c>
      <c r="F19" s="22"/>
      <c r="G19" s="21" t="str">
        <f aca="false">IF(StatusRAG[[#This Row],[PM RAG]]&lt;&gt;"",StatusRAG[[#This Row],[PM RAG]],StatusRAG[[#This Row],[Calculated]])</f>
        <v>Green</v>
      </c>
      <c r="H19" s="23"/>
    </row>
    <row r="20" customFormat="false" ht="15" hidden="false" customHeight="false" outlineLevel="0" collapsed="false">
      <c r="B20" s="19" t="s">
        <v>41</v>
      </c>
      <c r="C20" s="20" t="s">
        <v>130</v>
      </c>
      <c r="D20" s="27" t="n">
        <f aca="false">COUNTIFS(tsk_Critical,"Yes",tsk_IsLeaf,1,tsk_Variance,"&gt;0")</f>
        <v>3</v>
      </c>
      <c r="E20" s="21" t="str">
        <f aca="false">CHOOSE(IF(N(StatusRAG[[#This Row],[Value]])&gt;0,1,0)+1,"Green","Amber","Red")</f>
        <v>Amber</v>
      </c>
      <c r="F20" s="22"/>
      <c r="G20" s="21" t="str">
        <f aca="false">IF(StatusRAG[[#This Row],[PM RAG]]&lt;&gt;"",StatusRAG[[#This Row],[PM RAG]],StatusRAG[[#This Row],[Calculated]])</f>
        <v>Amber</v>
      </c>
      <c r="H20" s="23"/>
    </row>
    <row r="21" customFormat="false" ht="15" hidden="false" customHeight="false" outlineLevel="0" collapsed="false">
      <c r="B21" s="19" t="s">
        <v>131</v>
      </c>
      <c r="C21" s="20" t="s">
        <v>132</v>
      </c>
      <c r="D21" s="27" t="n">
        <f aca="false">COUNTIF(tsk_LinkCheck,"?*")+COUNTIF(tsk_WBS,"~?")</f>
        <v>0</v>
      </c>
      <c r="E21" s="21" t="str">
        <f aca="false">CHOOSE(IF(N(StatusRAG[[#This Row],[Value]])&gt;0,1,0)+1,"Green","Amber","Red")</f>
        <v>Green</v>
      </c>
      <c r="F21" s="22"/>
      <c r="G21" s="21" t="str">
        <f aca="false">IF(StatusRAG[[#This Row],[PM RAG]]&lt;&gt;"",StatusRAG[[#This Row],[PM RAG]],StatusRAG[[#This Row],[Calculated]])</f>
        <v>Green</v>
      </c>
      <c r="H21" s="23"/>
    </row>
    <row r="23" customFormat="false" ht="15" hidden="false" customHeight="false" outlineLevel="0" collapsed="false">
      <c r="B23" s="28" t="s">
        <v>133</v>
      </c>
    </row>
    <row r="24" customFormat="false" ht="15" hidden="false" customHeight="false" outlineLevel="0" collapsed="false">
      <c r="B24" s="17" t="s">
        <v>116</v>
      </c>
      <c r="C24" s="17" t="s">
        <v>134</v>
      </c>
      <c r="D24" s="17" t="s">
        <v>117</v>
      </c>
      <c r="E24" s="17" t="s">
        <v>135</v>
      </c>
      <c r="F24" s="17" t="s">
        <v>136</v>
      </c>
    </row>
    <row r="25" customFormat="false" ht="15" hidden="false" customHeight="false" outlineLevel="0" collapsed="false">
      <c r="B25" s="19" t="s">
        <v>137</v>
      </c>
      <c r="C25" s="20" t="s">
        <v>138</v>
      </c>
      <c r="D25" s="29" t="n">
        <f aca="false">MIN(tsk_PlanStart)</f>
        <v>46272</v>
      </c>
      <c r="E25" s="30" t="s">
        <v>139</v>
      </c>
      <c r="F25" s="19" t="n">
        <f aca="false">COUNTIFS(tsk_Status,StatusSummary[[#This Row],[Status]],tsk_IsLeaf,1)</f>
        <v>6</v>
      </c>
    </row>
    <row r="26" customFormat="false" ht="15" hidden="false" customHeight="false" outlineLevel="0" collapsed="false">
      <c r="B26" s="19" t="s">
        <v>140</v>
      </c>
      <c r="C26" s="20" t="s">
        <v>141</v>
      </c>
      <c r="D26" s="29" t="n">
        <f aca="false">MAX(tsk_PlanFinish)</f>
        <v>46318</v>
      </c>
      <c r="E26" s="31" t="s">
        <v>142</v>
      </c>
      <c r="F26" s="19" t="n">
        <f aca="false">COUNTIFS(tsk_Status,StatusSummary[[#This Row],[Status]],tsk_IsLeaf,1)</f>
        <v>0</v>
      </c>
    </row>
    <row r="27" customFormat="false" ht="15" hidden="false" customHeight="false" outlineLevel="0" collapsed="false">
      <c r="B27" s="19" t="s">
        <v>143</v>
      </c>
      <c r="C27" s="20" t="s">
        <v>138</v>
      </c>
      <c r="D27" s="29" t="n">
        <f aca="false">MAX(tsk_FcFinish)</f>
        <v>46324</v>
      </c>
      <c r="E27" s="32" t="s">
        <v>144</v>
      </c>
      <c r="F27" s="19" t="n">
        <f aca="false">COUNTIFS(tsk_Status,StatusSummary[[#This Row],[Status]],tsk_IsLeaf,1)</f>
        <v>1</v>
      </c>
    </row>
    <row r="28" customFormat="false" ht="15" hidden="false" customHeight="false" outlineLevel="0" collapsed="false">
      <c r="B28" s="19" t="s">
        <v>145</v>
      </c>
      <c r="C28" s="20" t="s">
        <v>138</v>
      </c>
      <c r="D28" s="33" t="n">
        <f aca="false">IFERROR(SUM(tsk_WtDone)/SUM(tsk_WtDur),0)</f>
        <v>0.905099150141643</v>
      </c>
      <c r="E28" s="34" t="s">
        <v>146</v>
      </c>
      <c r="F28" s="19" t="n">
        <f aca="false">COUNTIFS(tsk_Status,StatusSummary[[#This Row],[Status]],tsk_IsLeaf,1)</f>
        <v>2</v>
      </c>
    </row>
    <row r="29" customFormat="false" ht="15" hidden="false" customHeight="false" outlineLevel="0" collapsed="false">
      <c r="B29" s="19" t="s">
        <v>147</v>
      </c>
      <c r="C29" s="20" t="s">
        <v>138</v>
      </c>
      <c r="D29" s="33" t="n">
        <f aca="false">IFERROR(SUM(tsk_WtPlanned)/SUM(tsk_WtDur),0)</f>
        <v>1</v>
      </c>
      <c r="E29" s="35" t="s">
        <v>148</v>
      </c>
      <c r="F29" s="19" t="n">
        <f aca="false">COUNTIFS(tsk_Status,StatusSummary[[#This Row],[Status]],tsk_IsLeaf,1)</f>
        <v>0</v>
      </c>
    </row>
    <row r="30" customFormat="false" ht="15" hidden="false" customHeight="false" outlineLevel="0" collapsed="false">
      <c r="B30" s="19" t="s">
        <v>149</v>
      </c>
      <c r="C30" s="20" t="s">
        <v>150</v>
      </c>
      <c r="D30" s="36" t="n">
        <f aca="false">IF(sch_Planned&gt;0,sch_Progress/sch_Planned,"")</f>
        <v>0.905099150141643</v>
      </c>
    </row>
    <row r="31" customFormat="false" ht="15" hidden="false" customHeight="false" outlineLevel="0" collapsed="false">
      <c r="B31" s="19" t="s">
        <v>151</v>
      </c>
      <c r="C31" s="20" t="s">
        <v>138</v>
      </c>
      <c r="D31" s="37" t="n">
        <f aca="false">SUM(tsk_IsLeaf)</f>
        <v>9</v>
      </c>
    </row>
    <row r="32" customFormat="false" ht="15" hidden="false" customHeight="false" outlineLevel="0" collapsed="false">
      <c r="B32" s="19" t="s">
        <v>152</v>
      </c>
      <c r="C32" s="20" t="s">
        <v>138</v>
      </c>
      <c r="D32" s="37" t="n">
        <f aca="false">SUMPRODUCT(tsk_IsLeaf*(tsk_Duration=0)*(tsk_Name&lt;&gt;""))</f>
        <v>3</v>
      </c>
    </row>
    <row r="33" customFormat="false" ht="15" hidden="false" customHeight="false" outlineLevel="0" collapsed="false">
      <c r="B33" s="19" t="s">
        <v>153</v>
      </c>
      <c r="C33" s="20" t="s">
        <v>138</v>
      </c>
      <c r="D33" s="38" t="n">
        <f aca="false">SUMPRODUCT(tsk_Work,tsk_IsLeaf)</f>
        <v>340</v>
      </c>
    </row>
    <row r="34" customFormat="false" ht="15" hidden="false" customHeight="false" outlineLevel="0" collapsed="false">
      <c r="B34" s="19" t="s">
        <v>154</v>
      </c>
      <c r="C34" s="20" t="s">
        <v>155</v>
      </c>
      <c r="D34" s="39" t="str">
        <f aca="false">IF(COUNT(tsk_BaseStart)=0,"Not set (planned = calculated)","Set on "&amp;COUNT(tsk_BaseStart)&amp;" tasks")</f>
        <v>Set on 12 tasks</v>
      </c>
    </row>
    <row r="35" customFormat="false" ht="15" hidden="false" customHeight="false" outlineLevel="0" collapsed="false">
      <c r="B35" s="19" t="s">
        <v>156</v>
      </c>
      <c r="C35" s="20" t="s">
        <v>138</v>
      </c>
      <c r="D35" s="37" t="n">
        <f aca="false">COUNTIFS(tsk_Critical,"Yes",tsk_IsLeaf,1)</f>
        <v>3</v>
      </c>
    </row>
    <row r="36" customFormat="false" ht="15" hidden="false" customHeight="false" outlineLevel="0" collapsed="false">
      <c r="B36" s="19" t="s">
        <v>157</v>
      </c>
      <c r="C36" s="20" t="s">
        <v>158</v>
      </c>
      <c r="D36" s="37" t="n">
        <f aca="false">COUNTIF(tsk_Issues,"?*")</f>
        <v>0</v>
      </c>
    </row>
    <row r="39" customFormat="false" ht="15" hidden="false" customHeight="false" outlineLevel="0" collapsed="false">
      <c r="B39" s="17" t="s">
        <v>159</v>
      </c>
      <c r="C39" s="17" t="s">
        <v>160</v>
      </c>
    </row>
    <row r="40" customFormat="false" ht="15" hidden="false" customHeight="false" outlineLevel="0" collapsed="false">
      <c r="B40" s="20" t="str">
        <f aca="false">IFERROR(INDEX(tsk_Name,MATCH(SMALL(tsk_MilestoneKey,(ROW()-ROW(NextMilestones[[#Headers],[Next milestones (forecast)]]))),tsk_MilestoneKey,0)),"")</f>
        <v>Go-live</v>
      </c>
      <c r="C40" s="40" t="n">
        <f aca="false">IFERROR(INDEX(tsk_FcFinish,MATCH(SMALL(tsk_MilestoneKey,(ROW()-ROW(NextMilestones[[#Headers],[Next milestones (forecast)]]))),tsk_MilestoneKey,0)),"")</f>
        <v>46324</v>
      </c>
    </row>
    <row r="41" customFormat="false" ht="15" hidden="false" customHeight="false" outlineLevel="0" collapsed="false">
      <c r="B41" s="20" t="str">
        <f aca="false">IFERROR(INDEX(tsk_Name,MATCH(SMALL(tsk_MilestoneKey,(ROW()-ROW(NextMilestones[[#Headers],[Next milestones (forecast)]]))),tsk_MilestoneKey,0)),"")</f>
        <v/>
      </c>
      <c r="C41" s="40" t="str">
        <f aca="false">IFERROR(INDEX(tsk_FcFinish,MATCH(SMALL(tsk_MilestoneKey,(ROW()-ROW(NextMilestones[[#Headers],[Next milestones (forecast)]]))),tsk_MilestoneKey,0)),"")</f>
        <v/>
      </c>
    </row>
    <row r="42" customFormat="false" ht="15" hidden="false" customHeight="false" outlineLevel="0" collapsed="false">
      <c r="B42" s="20" t="str">
        <f aca="false">IFERROR(INDEX(tsk_Name,MATCH(SMALL(tsk_MilestoneKey,(ROW()-ROW(NextMilestones[[#Headers],[Next milestones (forecast)]]))),tsk_MilestoneKey,0)),"")</f>
        <v/>
      </c>
      <c r="C42" s="40" t="str">
        <f aca="false">IFERROR(INDEX(tsk_FcFinish,MATCH(SMALL(tsk_MilestoneKey,(ROW()-ROW(NextMilestones[[#Headers],[Next milestones (forecast)]]))),tsk_MilestoneKey,0)),"")</f>
        <v/>
      </c>
    </row>
    <row r="43" customFormat="false" ht="15" hidden="false" customHeight="false" outlineLevel="0" collapsed="false">
      <c r="B43" s="20" t="str">
        <f aca="false">IFERROR(INDEX(tsk_Name,MATCH(SMALL(tsk_MilestoneKey,(ROW()-ROW(NextMilestones[[#Headers],[Next milestones (forecast)]]))),tsk_MilestoneKey,0)),"")</f>
        <v/>
      </c>
      <c r="C43" s="40" t="str">
        <f aca="false">IFERROR(INDEX(tsk_FcFinish,MATCH(SMALL(tsk_MilestoneKey,(ROW()-ROW(NextMilestones[[#Headers],[Next milestones (forecast)]]))),tsk_MilestoneKey,0)),"")</f>
        <v/>
      </c>
    </row>
    <row r="44" customFormat="false" ht="15" hidden="false" customHeight="false" outlineLevel="0" collapsed="false">
      <c r="B44" s="20" t="str">
        <f aca="false">IFERROR(INDEX(tsk_Name,MATCH(SMALL(tsk_MilestoneKey,(ROW()-ROW(NextMilestones[[#Headers],[Next milestones (forecast)]]))),tsk_MilestoneKey,0)),"")</f>
        <v/>
      </c>
      <c r="C44" s="40" t="str">
        <f aca="false">IFERROR(INDEX(tsk_FcFinish,MATCH(SMALL(tsk_MilestoneKey,(ROW()-ROW(NextMilestones[[#Headers],[Next milestones (forecast)]]))),tsk_MilestoneKey,0)),"")</f>
        <v/>
      </c>
    </row>
    <row r="46" customFormat="false" ht="15" hidden="false" customHeight="false" outlineLevel="0" collapsed="false">
      <c r="B46" s="28" t="str">
        <f aca="false">"LATE TASKS (most days late first)"&amp;": "&amp;COUNT(tsk_LateKey)&amp;IF(COUNT(tsk_LateKey)&gt;ROWS(LateTasks[_Task])," (showing the first "&amp;ROWS(LateTasks[_Task])&amp;")","")</f>
        <v>LATE TASKS (most days late first): 3</v>
      </c>
    </row>
    <row r="47" customFormat="false" ht="23.85" hidden="false" customHeight="false" outlineLevel="0" collapsed="false">
      <c r="A47" s="41" t="s">
        <v>161</v>
      </c>
      <c r="B47" s="17" t="s">
        <v>162</v>
      </c>
      <c r="C47" s="17" t="s">
        <v>163</v>
      </c>
      <c r="D47" s="17" t="s">
        <v>164</v>
      </c>
      <c r="E47" s="17" t="s">
        <v>165</v>
      </c>
      <c r="F47" s="17" t="s">
        <v>135</v>
      </c>
      <c r="G47" s="17" t="s">
        <v>166</v>
      </c>
    </row>
    <row r="48" customFormat="false" ht="15" hidden="false" customHeight="false" outlineLevel="0" collapsed="false">
      <c r="A48" s="42" t="n">
        <f aca="false">IFERROR(MATCH(LARGE(tsk_LateKey,ROW()-ROW(LateTasks[[#Headers],[_Task]])),tsk_LateKey,0),"")</f>
        <v>10</v>
      </c>
      <c r="B48" s="20" t="str">
        <f aca="false">IF(LateTasks[[#This Row],[_Task]]="","",INDEX(tsk_Name,LateTasks[[#This Row],[_Task]])&amp;"")</f>
        <v>System integration testing</v>
      </c>
      <c r="C48" s="20" t="str">
        <f aca="false">IF(LateTasks[[#This Row],[_Task]]="","",INDEX(tsk_ResourceNames,LateTasks[[#This Row],[_Task]])&amp;"")</f>
        <v>Taylor Morgan, Sam Rivera[50%]</v>
      </c>
      <c r="D48" s="43" t="n">
        <f aca="false">IF(LateTasks[[#This Row],[_Task]]="","",IF(N(INDEX(tsk_FcFinish,LateTasks[[#This Row],[_Task]]))=0,"",INDEX(tsk_FcFinish,LateTasks[[#This Row],[_Task]])))</f>
        <v>46323</v>
      </c>
      <c r="E48" s="44" t="n">
        <f aca="false">IF(LateTasks[[#This Row],[_Task]]="","",INDEX(tsk_Variance,LateTasks[[#This Row],[_Task]]))</f>
        <v>4</v>
      </c>
      <c r="F48" s="20" t="str">
        <f aca="false">IF(LateTasks[[#This Row],[_Task]]="","",INDEX(tsk_Status,LateTasks[[#This Row],[_Task]])&amp;"")</f>
        <v>Behind</v>
      </c>
      <c r="G48" s="20" t="str">
        <f aca="false">IF(LateTasks[[#This Row],[_Task]]="","",INDEX(tsk_Critical,LateTasks[[#This Row],[_Task]])&amp;"")</f>
        <v>Yes</v>
      </c>
    </row>
    <row r="49" customFormat="false" ht="15" hidden="false" customHeight="false" outlineLevel="0" collapsed="false">
      <c r="A49" s="42" t="n">
        <f aca="false">IFERROR(MATCH(LARGE(tsk_LateKey,ROW()-ROW(LateTasks[[#Headers],[_Task]])),tsk_LateKey,0),"")</f>
        <v>11</v>
      </c>
      <c r="B49" s="20" t="str">
        <f aca="false">IF(LateTasks[[#This Row],[_Task]]="","",INDEX(tsk_Name,LateTasks[[#This Row],[_Task]])&amp;"")</f>
        <v>Go-live readiness review</v>
      </c>
      <c r="C49" s="20" t="str">
        <f aca="false">IF(LateTasks[[#This Row],[_Task]]="","",INDEX(tsk_ResourceNames,LateTasks[[#This Row],[_Task]])&amp;"")</f>
        <v>Priya Sharma</v>
      </c>
      <c r="D49" s="43" t="n">
        <f aca="false">IF(LateTasks[[#This Row],[_Task]]="","",IF(N(INDEX(tsk_FcFinish,LateTasks[[#This Row],[_Task]]))=0,"",INDEX(tsk_FcFinish,LateTasks[[#This Row],[_Task]])))</f>
        <v>46324</v>
      </c>
      <c r="E49" s="44" t="n">
        <f aca="false">IF(LateTasks[[#This Row],[_Task]]="","",INDEX(tsk_Variance,LateTasks[[#This Row],[_Task]]))</f>
        <v>4</v>
      </c>
      <c r="F49" s="20" t="str">
        <f aca="false">IF(LateTasks[[#This Row],[_Task]]="","",INDEX(tsk_Status,LateTasks[[#This Row],[_Task]])&amp;"")</f>
        <v>Late Start</v>
      </c>
      <c r="G49" s="20" t="str">
        <f aca="false">IF(LateTasks[[#This Row],[_Task]]="","",INDEX(tsk_Critical,LateTasks[[#This Row],[_Task]])&amp;"")</f>
        <v>Yes</v>
      </c>
    </row>
    <row r="50" customFormat="false" ht="15" hidden="false" customHeight="false" outlineLevel="0" collapsed="false">
      <c r="A50" s="42" t="n">
        <f aca="false">IFERROR(MATCH(LARGE(tsk_LateKey,ROW()-ROW(LateTasks[[#Headers],[_Task]])),tsk_LateKey,0),"")</f>
        <v>12</v>
      </c>
      <c r="B50" s="20" t="str">
        <f aca="false">IF(LateTasks[[#This Row],[_Task]]="","",INDEX(tsk_Name,LateTasks[[#This Row],[_Task]])&amp;"")</f>
        <v>Go-live</v>
      </c>
      <c r="C50" s="20" t="str">
        <f aca="false">IF(LateTasks[[#This Row],[_Task]]="","",INDEX(tsk_ResourceNames,LateTasks[[#This Row],[_Task]])&amp;"")</f>
        <v/>
      </c>
      <c r="D50" s="43" t="n">
        <f aca="false">IF(LateTasks[[#This Row],[_Task]]="","",IF(N(INDEX(tsk_FcFinish,LateTasks[[#This Row],[_Task]]))=0,"",INDEX(tsk_FcFinish,LateTasks[[#This Row],[_Task]])))</f>
        <v>46324</v>
      </c>
      <c r="E50" s="44" t="n">
        <f aca="false">IF(LateTasks[[#This Row],[_Task]]="","",INDEX(tsk_Variance,LateTasks[[#This Row],[_Task]]))</f>
        <v>4</v>
      </c>
      <c r="F50" s="20" t="str">
        <f aca="false">IF(LateTasks[[#This Row],[_Task]]="","",INDEX(tsk_Status,LateTasks[[#This Row],[_Task]])&amp;"")</f>
        <v>Late Start</v>
      </c>
      <c r="G50" s="20" t="str">
        <f aca="false">IF(LateTasks[[#This Row],[_Task]]="","",INDEX(tsk_Critical,LateTasks[[#This Row],[_Task]])&amp;"")</f>
        <v>Yes</v>
      </c>
    </row>
    <row r="51" customFormat="false" ht="15" hidden="false" customHeight="false" outlineLevel="0" collapsed="false">
      <c r="A51" s="42" t="str">
        <f aca="false">IFERROR(MATCH(LARGE(tsk_LateKey,ROW()-ROW(LateTasks[[#Headers],[_Task]])),tsk_LateKey,0),"")</f>
        <v/>
      </c>
      <c r="B51" s="20" t="str">
        <f aca="false">IF(LateTasks[[#This Row],[_Task]]="","",INDEX(tsk_Name,LateTasks[[#This Row],[_Task]])&amp;"")</f>
        <v/>
      </c>
      <c r="C51" s="20" t="str">
        <f aca="false">IF(LateTasks[[#This Row],[_Task]]="","",INDEX(tsk_ResourceNames,LateTasks[[#This Row],[_Task]])&amp;"")</f>
        <v/>
      </c>
      <c r="D51" s="43" t="str">
        <f aca="false">IF(LateTasks[[#This Row],[_Task]]="","",IF(N(INDEX(tsk_FcFinish,LateTasks[[#This Row],[_Task]]))=0,"",INDEX(tsk_FcFinish,LateTasks[[#This Row],[_Task]])))</f>
        <v/>
      </c>
      <c r="E51" s="44" t="str">
        <f aca="false">IF(LateTasks[[#This Row],[_Task]]="","",INDEX(tsk_Variance,LateTasks[[#This Row],[_Task]]))</f>
        <v/>
      </c>
      <c r="F51" s="20" t="str">
        <f aca="false">IF(LateTasks[[#This Row],[_Task]]="","",INDEX(tsk_Status,LateTasks[[#This Row],[_Task]])&amp;"")</f>
        <v/>
      </c>
      <c r="G51" s="20" t="str">
        <f aca="false">IF(LateTasks[[#This Row],[_Task]]="","",INDEX(tsk_Critical,LateTasks[[#This Row],[_Task]])&amp;"")</f>
        <v/>
      </c>
    </row>
    <row r="52" customFormat="false" ht="15" hidden="false" customHeight="false" outlineLevel="0" collapsed="false">
      <c r="A52" s="42" t="str">
        <f aca="false">IFERROR(MATCH(LARGE(tsk_LateKey,ROW()-ROW(LateTasks[[#Headers],[_Task]])),tsk_LateKey,0),"")</f>
        <v/>
      </c>
      <c r="B52" s="20" t="str">
        <f aca="false">IF(LateTasks[[#This Row],[_Task]]="","",INDEX(tsk_Name,LateTasks[[#This Row],[_Task]])&amp;"")</f>
        <v/>
      </c>
      <c r="C52" s="20" t="str">
        <f aca="false">IF(LateTasks[[#This Row],[_Task]]="","",INDEX(tsk_ResourceNames,LateTasks[[#This Row],[_Task]])&amp;"")</f>
        <v/>
      </c>
      <c r="D52" s="43" t="str">
        <f aca="false">IF(LateTasks[[#This Row],[_Task]]="","",IF(N(INDEX(tsk_FcFinish,LateTasks[[#This Row],[_Task]]))=0,"",INDEX(tsk_FcFinish,LateTasks[[#This Row],[_Task]])))</f>
        <v/>
      </c>
      <c r="E52" s="44" t="str">
        <f aca="false">IF(LateTasks[[#This Row],[_Task]]="","",INDEX(tsk_Variance,LateTasks[[#This Row],[_Task]]))</f>
        <v/>
      </c>
      <c r="F52" s="20" t="str">
        <f aca="false">IF(LateTasks[[#This Row],[_Task]]="","",INDEX(tsk_Status,LateTasks[[#This Row],[_Task]])&amp;"")</f>
        <v/>
      </c>
      <c r="G52" s="20" t="str">
        <f aca="false">IF(LateTasks[[#This Row],[_Task]]="","",INDEX(tsk_Critical,LateTasks[[#This Row],[_Task]])&amp;"")</f>
        <v/>
      </c>
    </row>
    <row r="54" customFormat="false" ht="15" hidden="false" customHeight="false" outlineLevel="0" collapsed="false">
      <c r="B54" s="28" t="str">
        <f aca="false">"DUE BY "&amp;UPPER(TEXT(LookaheadEnd,"ddd dd-mmm"))&amp;": "&amp;COUNT(tsk_DueSoonKey)&amp;IF(COUNT(tsk_DueSoonKey)&gt;ROWS(DueSoon[_Task])," (showing the first "&amp;ROWS(DueSoon[_Task])&amp;")","")</f>
        <v>DUE BY FRI 06-NOV: 3</v>
      </c>
    </row>
    <row r="55" customFormat="false" ht="23.85" hidden="false" customHeight="false" outlineLevel="0" collapsed="false">
      <c r="A55" s="41" t="s">
        <v>161</v>
      </c>
      <c r="B55" s="17" t="s">
        <v>162</v>
      </c>
      <c r="C55" s="17" t="s">
        <v>163</v>
      </c>
      <c r="D55" s="17" t="s">
        <v>164</v>
      </c>
      <c r="E55" s="17" t="s">
        <v>167</v>
      </c>
      <c r="F55" s="17" t="s">
        <v>168</v>
      </c>
      <c r="G55" s="17" t="s">
        <v>166</v>
      </c>
    </row>
    <row r="56" customFormat="false" ht="15" hidden="false" customHeight="false" outlineLevel="0" collapsed="false">
      <c r="A56" s="42" t="n">
        <f aca="false">IFERROR(MATCH(SMALL(tsk_DueSoonKey,ROW()-ROW(DueSoon[[#Headers],[_Task]])),tsk_DueSoonKey,0),"")</f>
        <v>10</v>
      </c>
      <c r="B56" s="20" t="str">
        <f aca="false">IF(DueSoon[[#This Row],[_Task]]="","",INDEX(tsk_Name,DueSoon[[#This Row],[_Task]])&amp;"")</f>
        <v>System integration testing</v>
      </c>
      <c r="C56" s="20" t="str">
        <f aca="false">IF(DueSoon[[#This Row],[_Task]]="","",INDEX(tsk_ResourceNames,DueSoon[[#This Row],[_Task]])&amp;"")</f>
        <v>Taylor Morgan, Sam Rivera[50%]</v>
      </c>
      <c r="D56" s="43" t="n">
        <f aca="false">IF(DueSoon[[#This Row],[_Task]]="","",IF(N(INDEX(tsk_FcFinish,DueSoon[[#This Row],[_Task]]))=0,"",INDEX(tsk_FcFinish,DueSoon[[#This Row],[_Task]])))</f>
        <v>46323</v>
      </c>
      <c r="E56" s="45" t="n">
        <f aca="false">IF(DueSoon[[#This Row],[_Task]]="","",INDEX(tsk_Progress,DueSoon[[#This Row],[_Task]]))</f>
        <v>0.85</v>
      </c>
      <c r="F56" s="20" t="str">
        <f aca="false">IF(DueSoon[[#This Row],[_Task]]="","",INDEX(tsk_DeadlineCheck,DueSoon[[#This Row],[_Task]])&amp;"")</f>
        <v/>
      </c>
      <c r="G56" s="20" t="str">
        <f aca="false">IF(DueSoon[[#This Row],[_Task]]="","",INDEX(tsk_Critical,DueSoon[[#This Row],[_Task]])&amp;"")</f>
        <v>Yes</v>
      </c>
    </row>
    <row r="57" customFormat="false" ht="15" hidden="false" customHeight="false" outlineLevel="0" collapsed="false">
      <c r="A57" s="42" t="n">
        <f aca="false">IFERROR(MATCH(SMALL(tsk_DueSoonKey,ROW()-ROW(DueSoon[[#Headers],[_Task]])),tsk_DueSoonKey,0),"")</f>
        <v>11</v>
      </c>
      <c r="B57" s="20" t="str">
        <f aca="false">IF(DueSoon[[#This Row],[_Task]]="","",INDEX(tsk_Name,DueSoon[[#This Row],[_Task]])&amp;"")</f>
        <v>Go-live readiness review</v>
      </c>
      <c r="C57" s="20" t="str">
        <f aca="false">IF(DueSoon[[#This Row],[_Task]]="","",INDEX(tsk_ResourceNames,DueSoon[[#This Row],[_Task]])&amp;"")</f>
        <v>Priya Sharma</v>
      </c>
      <c r="D57" s="43" t="n">
        <f aca="false">IF(DueSoon[[#This Row],[_Task]]="","",IF(N(INDEX(tsk_FcFinish,DueSoon[[#This Row],[_Task]]))=0,"",INDEX(tsk_FcFinish,DueSoon[[#This Row],[_Task]])))</f>
        <v>46324</v>
      </c>
      <c r="E57" s="45" t="n">
        <f aca="false">IF(DueSoon[[#This Row],[_Task]]="","",INDEX(tsk_Progress,DueSoon[[#This Row],[_Task]]))</f>
        <v>0</v>
      </c>
      <c r="F57" s="20" t="str">
        <f aca="false">IF(DueSoon[[#This Row],[_Task]]="","",INDEX(tsk_DeadlineCheck,DueSoon[[#This Row],[_Task]])&amp;"")</f>
        <v/>
      </c>
      <c r="G57" s="20" t="str">
        <f aca="false">IF(DueSoon[[#This Row],[_Task]]="","",INDEX(tsk_Critical,DueSoon[[#This Row],[_Task]])&amp;"")</f>
        <v>Yes</v>
      </c>
    </row>
    <row r="58" customFormat="false" ht="15" hidden="false" customHeight="false" outlineLevel="0" collapsed="false">
      <c r="A58" s="42" t="n">
        <f aca="false">IFERROR(MATCH(SMALL(tsk_DueSoonKey,ROW()-ROW(DueSoon[[#Headers],[_Task]])),tsk_DueSoonKey,0),"")</f>
        <v>12</v>
      </c>
      <c r="B58" s="20" t="str">
        <f aca="false">IF(DueSoon[[#This Row],[_Task]]="","",INDEX(tsk_Name,DueSoon[[#This Row],[_Task]])&amp;"")</f>
        <v>Go-live</v>
      </c>
      <c r="C58" s="20" t="str">
        <f aca="false">IF(DueSoon[[#This Row],[_Task]]="","",INDEX(tsk_ResourceNames,DueSoon[[#This Row],[_Task]])&amp;"")</f>
        <v/>
      </c>
      <c r="D58" s="43" t="n">
        <f aca="false">IF(DueSoon[[#This Row],[_Task]]="","",IF(N(INDEX(tsk_FcFinish,DueSoon[[#This Row],[_Task]]))=0,"",INDEX(tsk_FcFinish,DueSoon[[#This Row],[_Task]])))</f>
        <v>46324</v>
      </c>
      <c r="E58" s="45" t="n">
        <f aca="false">IF(DueSoon[[#This Row],[_Task]]="","",INDEX(tsk_Progress,DueSoon[[#This Row],[_Task]]))</f>
        <v>0</v>
      </c>
      <c r="F58" s="20" t="str">
        <f aca="false">IF(DueSoon[[#This Row],[_Task]]="","",INDEX(tsk_DeadlineCheck,DueSoon[[#This Row],[_Task]])&amp;"")</f>
        <v>OK</v>
      </c>
      <c r="G58" s="20" t="str">
        <f aca="false">IF(DueSoon[[#This Row],[_Task]]="","",INDEX(tsk_Critical,DueSoon[[#This Row],[_Task]])&amp;"")</f>
        <v>Yes</v>
      </c>
    </row>
    <row r="59" customFormat="false" ht="15" hidden="false" customHeight="false" outlineLevel="0" collapsed="false">
      <c r="A59" s="42" t="str">
        <f aca="false">IFERROR(MATCH(SMALL(tsk_DueSoonKey,ROW()-ROW(DueSoon[[#Headers],[_Task]])),tsk_DueSoonKey,0),"")</f>
        <v/>
      </c>
      <c r="B59" s="20" t="str">
        <f aca="false">IF(DueSoon[[#This Row],[_Task]]="","",INDEX(tsk_Name,DueSoon[[#This Row],[_Task]])&amp;"")</f>
        <v/>
      </c>
      <c r="C59" s="20" t="str">
        <f aca="false">IF(DueSoon[[#This Row],[_Task]]="","",INDEX(tsk_ResourceNames,DueSoon[[#This Row],[_Task]])&amp;"")</f>
        <v/>
      </c>
      <c r="D59" s="43" t="str">
        <f aca="false">IF(DueSoon[[#This Row],[_Task]]="","",IF(N(INDEX(tsk_FcFinish,DueSoon[[#This Row],[_Task]]))=0,"",INDEX(tsk_FcFinish,DueSoon[[#This Row],[_Task]])))</f>
        <v/>
      </c>
      <c r="E59" s="45" t="str">
        <f aca="false">IF(DueSoon[[#This Row],[_Task]]="","",INDEX(tsk_Progress,DueSoon[[#This Row],[_Task]]))</f>
        <v/>
      </c>
      <c r="F59" s="20" t="str">
        <f aca="false">IF(DueSoon[[#This Row],[_Task]]="","",INDEX(tsk_DeadlineCheck,DueSoon[[#This Row],[_Task]])&amp;"")</f>
        <v/>
      </c>
      <c r="G59" s="20" t="str">
        <f aca="false">IF(DueSoon[[#This Row],[_Task]]="","",INDEX(tsk_Critical,DueSoon[[#This Row],[_Task]])&amp;"")</f>
        <v/>
      </c>
    </row>
    <row r="60" customFormat="false" ht="15" hidden="false" customHeight="false" outlineLevel="0" collapsed="false">
      <c r="A60" s="42" t="str">
        <f aca="false">IFERROR(MATCH(SMALL(tsk_DueSoonKey,ROW()-ROW(DueSoon[[#Headers],[_Task]])),tsk_DueSoonKey,0),"")</f>
        <v/>
      </c>
      <c r="B60" s="20" t="str">
        <f aca="false">IF(DueSoon[[#This Row],[_Task]]="","",INDEX(tsk_Name,DueSoon[[#This Row],[_Task]])&amp;"")</f>
        <v/>
      </c>
      <c r="C60" s="20" t="str">
        <f aca="false">IF(DueSoon[[#This Row],[_Task]]="","",INDEX(tsk_ResourceNames,DueSoon[[#This Row],[_Task]])&amp;"")</f>
        <v/>
      </c>
      <c r="D60" s="43" t="str">
        <f aca="false">IF(DueSoon[[#This Row],[_Task]]="","",IF(N(INDEX(tsk_FcFinish,DueSoon[[#This Row],[_Task]]))=0,"",INDEX(tsk_FcFinish,DueSoon[[#This Row],[_Task]])))</f>
        <v/>
      </c>
      <c r="E60" s="45" t="str">
        <f aca="false">IF(DueSoon[[#This Row],[_Task]]="","",INDEX(tsk_Progress,DueSoon[[#This Row],[_Task]]))</f>
        <v/>
      </c>
      <c r="F60" s="20" t="str">
        <f aca="false">IF(DueSoon[[#This Row],[_Task]]="","",INDEX(tsk_DeadlineCheck,DueSoon[[#This Row],[_Task]])&amp;"")</f>
        <v/>
      </c>
      <c r="G60" s="20" t="str">
        <f aca="false">IF(DueSoon[[#This Row],[_Task]]="","",INDEX(tsk_Critical,DueSoon[[#This Row],[_Task]])&amp;"")</f>
        <v/>
      </c>
    </row>
    <row r="62" customFormat="false" ht="15" hidden="false" customHeight="false" outlineLevel="0" collapsed="false">
      <c r="B62" s="28"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3" customFormat="false" ht="23.85" hidden="false" customHeight="false" outlineLevel="0" collapsed="false">
      <c r="A63" s="41" t="s">
        <v>161</v>
      </c>
      <c r="B63" s="17" t="s">
        <v>162</v>
      </c>
      <c r="C63" s="17" t="s">
        <v>163</v>
      </c>
      <c r="D63" s="17" t="s">
        <v>169</v>
      </c>
      <c r="E63" s="17" t="s">
        <v>60</v>
      </c>
      <c r="F63" s="17" t="s">
        <v>73</v>
      </c>
      <c r="G63" s="17" t="s">
        <v>166</v>
      </c>
    </row>
    <row r="64" customFormat="false" ht="15" hidden="false" customHeight="false" outlineLevel="0" collapsed="false">
      <c r="A64" s="42" t="n">
        <f aca="false">IFERROR(MATCH(SMALL(tsk_StartSoonKey,ROW()-ROW(StartingSoon[[#Headers],[_Task]])),tsk_StartSoonKey,0),"")</f>
        <v>11</v>
      </c>
      <c r="B64" s="20" t="str">
        <f aca="false">IF(StartingSoon[[#This Row],[_Task]]="","",INDEX(tsk_Name,StartingSoon[[#This Row],[_Task]])&amp;"")</f>
        <v>Go-live readiness review</v>
      </c>
      <c r="C64" s="20" t="str">
        <f aca="false">IF(StartingSoon[[#This Row],[_Task]]="","",INDEX(tsk_ResourceNames,StartingSoon[[#This Row],[_Task]])&amp;"")</f>
        <v>Priya Sharma</v>
      </c>
      <c r="D64" s="43" t="n">
        <f aca="false">IF(StartingSoon[[#This Row],[_Task]]="","",IF(N(INDEX(tsk_FcStart,StartingSoon[[#This Row],[_Task]]))=0,"",INDEX(tsk_FcStart,StartingSoon[[#This Row],[_Task]])))</f>
        <v>46324</v>
      </c>
      <c r="E64" s="46" t="n">
        <f aca="false">IF(StartingSoon[[#This Row],[_Task]]="","",INDEX(tsk_Duration,StartingSoon[[#This Row],[_Task]]))</f>
        <v>1</v>
      </c>
      <c r="F64" s="20" t="str">
        <f aca="false">IF(StartingSoon[[#This Row],[_Task]]="","",INDEX(tsk_Predecessors,StartingSoon[[#This Row],[_Task]])&amp;"")</f>
        <v>10</v>
      </c>
      <c r="G64" s="20" t="str">
        <f aca="false">IF(StartingSoon[[#This Row],[_Task]]="","",INDEX(tsk_Critical,StartingSoon[[#This Row],[_Task]])&amp;"")</f>
        <v>Yes</v>
      </c>
    </row>
    <row r="65" customFormat="false" ht="15" hidden="false" customHeight="false" outlineLevel="0" collapsed="false">
      <c r="A65" s="42" t="n">
        <f aca="false">IFERROR(MATCH(SMALL(tsk_StartSoonKey,ROW()-ROW(StartingSoon[[#Headers],[_Task]])),tsk_StartSoonKey,0),"")</f>
        <v>12</v>
      </c>
      <c r="B65" s="20" t="str">
        <f aca="false">IF(StartingSoon[[#This Row],[_Task]]="","",INDEX(tsk_Name,StartingSoon[[#This Row],[_Task]])&amp;"")</f>
        <v>Go-live</v>
      </c>
      <c r="C65" s="20" t="str">
        <f aca="false">IF(StartingSoon[[#This Row],[_Task]]="","",INDEX(tsk_ResourceNames,StartingSoon[[#This Row],[_Task]])&amp;"")</f>
        <v/>
      </c>
      <c r="D65" s="43" t="n">
        <f aca="false">IF(StartingSoon[[#This Row],[_Task]]="","",IF(N(INDEX(tsk_FcStart,StartingSoon[[#This Row],[_Task]]))=0,"",INDEX(tsk_FcStart,StartingSoon[[#This Row],[_Task]])))</f>
        <v>46324</v>
      </c>
      <c r="E65" s="46" t="n">
        <f aca="false">IF(StartingSoon[[#This Row],[_Task]]="","",INDEX(tsk_Duration,StartingSoon[[#This Row],[_Task]]))</f>
        <v>0</v>
      </c>
      <c r="F65" s="20" t="str">
        <f aca="false">IF(StartingSoon[[#This Row],[_Task]]="","",INDEX(tsk_Predecessors,StartingSoon[[#This Row],[_Task]])&amp;"")</f>
        <v>11</v>
      </c>
      <c r="G65" s="20" t="str">
        <f aca="false">IF(StartingSoon[[#This Row],[_Task]]="","",INDEX(tsk_Critical,StartingSoon[[#This Row],[_Task]])&amp;"")</f>
        <v>Yes</v>
      </c>
    </row>
    <row r="66" customFormat="false" ht="15" hidden="false" customHeight="false" outlineLevel="0" collapsed="false">
      <c r="A66" s="42" t="str">
        <f aca="false">IFERROR(MATCH(SMALL(tsk_StartSoonKey,ROW()-ROW(StartingSoon[[#Headers],[_Task]])),tsk_StartSoonKey,0),"")</f>
        <v/>
      </c>
      <c r="B66" s="20" t="str">
        <f aca="false">IF(StartingSoon[[#This Row],[_Task]]="","",INDEX(tsk_Name,StartingSoon[[#This Row],[_Task]])&amp;"")</f>
        <v/>
      </c>
      <c r="C66" s="20" t="str">
        <f aca="false">IF(StartingSoon[[#This Row],[_Task]]="","",INDEX(tsk_ResourceNames,StartingSoon[[#This Row],[_Task]])&amp;"")</f>
        <v/>
      </c>
      <c r="D66" s="43" t="str">
        <f aca="false">IF(StartingSoon[[#This Row],[_Task]]="","",IF(N(INDEX(tsk_FcStart,StartingSoon[[#This Row],[_Task]]))=0,"",INDEX(tsk_FcStart,StartingSoon[[#This Row],[_Task]])))</f>
        <v/>
      </c>
      <c r="E66" s="46" t="str">
        <f aca="false">IF(StartingSoon[[#This Row],[_Task]]="","",INDEX(tsk_Duration,StartingSoon[[#This Row],[_Task]]))</f>
        <v/>
      </c>
      <c r="F66" s="20" t="str">
        <f aca="false">IF(StartingSoon[[#This Row],[_Task]]="","",INDEX(tsk_Predecessors,StartingSoon[[#This Row],[_Task]])&amp;"")</f>
        <v/>
      </c>
      <c r="G66" s="20" t="str">
        <f aca="false">IF(StartingSoon[[#This Row],[_Task]]="","",INDEX(tsk_Critical,StartingSoon[[#This Row],[_Task]])&amp;"")</f>
        <v/>
      </c>
    </row>
    <row r="67" customFormat="false" ht="15" hidden="false" customHeight="false" outlineLevel="0" collapsed="false">
      <c r="A67" s="42" t="str">
        <f aca="false">IFERROR(MATCH(SMALL(tsk_StartSoonKey,ROW()-ROW(StartingSoon[[#Headers],[_Task]])),tsk_StartSoonKey,0),"")</f>
        <v/>
      </c>
      <c r="B67" s="20" t="str">
        <f aca="false">IF(StartingSoon[[#This Row],[_Task]]="","",INDEX(tsk_Name,StartingSoon[[#This Row],[_Task]])&amp;"")</f>
        <v/>
      </c>
      <c r="C67" s="20" t="str">
        <f aca="false">IF(StartingSoon[[#This Row],[_Task]]="","",INDEX(tsk_ResourceNames,StartingSoon[[#This Row],[_Task]])&amp;"")</f>
        <v/>
      </c>
      <c r="D67" s="43" t="str">
        <f aca="false">IF(StartingSoon[[#This Row],[_Task]]="","",IF(N(INDEX(tsk_FcStart,StartingSoon[[#This Row],[_Task]]))=0,"",INDEX(tsk_FcStart,StartingSoon[[#This Row],[_Task]])))</f>
        <v/>
      </c>
      <c r="E67" s="46" t="str">
        <f aca="false">IF(StartingSoon[[#This Row],[_Task]]="","",INDEX(tsk_Duration,StartingSoon[[#This Row],[_Task]]))</f>
        <v/>
      </c>
      <c r="F67" s="20" t="str">
        <f aca="false">IF(StartingSoon[[#This Row],[_Task]]="","",INDEX(tsk_Predecessors,StartingSoon[[#This Row],[_Task]])&amp;"")</f>
        <v/>
      </c>
      <c r="G67" s="20" t="str">
        <f aca="false">IF(StartingSoon[[#This Row],[_Task]]="","",INDEX(tsk_Critical,StartingSoon[[#This Row],[_Task]])&amp;"")</f>
        <v/>
      </c>
    </row>
    <row r="68" customFormat="false" ht="15" hidden="false" customHeight="false" outlineLevel="0" collapsed="false">
      <c r="A68" s="42" t="str">
        <f aca="false">IFERROR(MATCH(SMALL(tsk_StartSoonKey,ROW()-ROW(StartingSoon[[#Headers],[_Task]])),tsk_StartSoonKey,0),"")</f>
        <v/>
      </c>
      <c r="B68" s="20" t="str">
        <f aca="false">IF(StartingSoon[[#This Row],[_Task]]="","",INDEX(tsk_Name,StartingSoon[[#This Row],[_Task]])&amp;"")</f>
        <v/>
      </c>
      <c r="C68" s="20" t="str">
        <f aca="false">IF(StartingSoon[[#This Row],[_Task]]="","",INDEX(tsk_ResourceNames,StartingSoon[[#This Row],[_Task]])&amp;"")</f>
        <v/>
      </c>
      <c r="D68" s="43" t="str">
        <f aca="false">IF(StartingSoon[[#This Row],[_Task]]="","",IF(N(INDEX(tsk_FcStart,StartingSoon[[#This Row],[_Task]]))=0,"",INDEX(tsk_FcStart,StartingSoon[[#This Row],[_Task]])))</f>
        <v/>
      </c>
      <c r="E68" s="46" t="str">
        <f aca="false">IF(StartingSoon[[#This Row],[_Task]]="","",INDEX(tsk_Duration,StartingSoon[[#This Row],[_Task]]))</f>
        <v/>
      </c>
      <c r="F68" s="20" t="str">
        <f aca="false">IF(StartingSoon[[#This Row],[_Task]]="","",INDEX(tsk_Predecessors,StartingSoon[[#This Row],[_Task]])&amp;"")</f>
        <v/>
      </c>
      <c r="G68" s="20" t="str">
        <f aca="false">IF(StartingSoon[[#This Row],[_Task]]="","",INDEX(tsk_Critical,StartingSoon[[#This Row],[_Task]])&amp;"")</f>
        <v/>
      </c>
    </row>
    <row r="70" customFormat="false" ht="15" hidden="false" customHeight="false" outlineLevel="0" collapsed="false">
      <c r="B70" s="28" t="str">
        <f aca="false">"OPEN CRITICAL TASKS (by start)"&amp;": "&amp;COUNT(tsk_CriticalKey)&amp;IF(COUNT(tsk_CriticalKey)&gt;ROWS(CriticalTasks[_Task])," (showing the first "&amp;ROWS(CriticalTasks[_Task])&amp;")","")</f>
        <v>OPEN CRITICAL TASKS (by start): 3</v>
      </c>
    </row>
    <row r="71" customFormat="false" ht="23.85" hidden="false" customHeight="false" outlineLevel="0" collapsed="false">
      <c r="A71" s="41" t="s">
        <v>161</v>
      </c>
      <c r="B71" s="17" t="s">
        <v>162</v>
      </c>
      <c r="C71" s="17" t="s">
        <v>163</v>
      </c>
      <c r="D71" s="17" t="s">
        <v>169</v>
      </c>
      <c r="E71" s="17" t="s">
        <v>170</v>
      </c>
      <c r="F71" s="17" t="s">
        <v>168</v>
      </c>
      <c r="G71" s="17" t="s">
        <v>164</v>
      </c>
    </row>
    <row r="72" customFormat="false" ht="15" hidden="false" customHeight="false" outlineLevel="0" collapsed="false">
      <c r="A72" s="42" t="n">
        <f aca="false">IFERROR(MATCH(SMALL(tsk_CriticalKey,ROW()-ROW(CriticalTasks[[#Headers],[_Task]])),tsk_CriticalKey,0),"")</f>
        <v>10</v>
      </c>
      <c r="B72" s="20" t="str">
        <f aca="false">IF(CriticalTasks[[#This Row],[_Task]]="","",INDEX(tsk_Name,CriticalTasks[[#This Row],[_Task]])&amp;"")</f>
        <v>System integration testing</v>
      </c>
      <c r="C72" s="20" t="str">
        <f aca="false">IF(CriticalTasks[[#This Row],[_Task]]="","",INDEX(tsk_ResourceNames,CriticalTasks[[#This Row],[_Task]])&amp;"")</f>
        <v>Taylor Morgan, Sam Rivera[50%]</v>
      </c>
      <c r="D72" s="43" t="n">
        <f aca="false">IF(CriticalTasks[[#This Row],[_Task]]="","",IF(N(INDEX(tsk_FcStart,CriticalTasks[[#This Row],[_Task]]))=0,"",INDEX(tsk_FcStart,CriticalTasks[[#This Row],[_Task]])))</f>
        <v>46302</v>
      </c>
      <c r="E72" s="46" t="n">
        <f aca="false">IF(CriticalTasks[[#This Row],[_Task]]="","",INDEX(tsk_TotalSlack,CriticalTasks[[#This Row],[_Task]]))</f>
        <v>0</v>
      </c>
      <c r="F72" s="20" t="str">
        <f aca="false">IF(CriticalTasks[[#This Row],[_Task]]="","",INDEX(tsk_DeadlineCheck,CriticalTasks[[#This Row],[_Task]])&amp;"")</f>
        <v/>
      </c>
      <c r="G72" s="43" t="n">
        <f aca="false">IF(CriticalTasks[[#This Row],[_Task]]="","",IF(N(INDEX(tsk_FcFinish,CriticalTasks[[#This Row],[_Task]]))=0,"",INDEX(tsk_FcFinish,CriticalTasks[[#This Row],[_Task]])))</f>
        <v>46323</v>
      </c>
    </row>
    <row r="73" customFormat="false" ht="15" hidden="false" customHeight="false" outlineLevel="0" collapsed="false">
      <c r="A73" s="42" t="n">
        <f aca="false">IFERROR(MATCH(SMALL(tsk_CriticalKey,ROW()-ROW(CriticalTasks[[#Headers],[_Task]])),tsk_CriticalKey,0),"")</f>
        <v>11</v>
      </c>
      <c r="B73" s="20" t="str">
        <f aca="false">IF(CriticalTasks[[#This Row],[_Task]]="","",INDEX(tsk_Name,CriticalTasks[[#This Row],[_Task]])&amp;"")</f>
        <v>Go-live readiness review</v>
      </c>
      <c r="C73" s="20" t="str">
        <f aca="false">IF(CriticalTasks[[#This Row],[_Task]]="","",INDEX(tsk_ResourceNames,CriticalTasks[[#This Row],[_Task]])&amp;"")</f>
        <v>Priya Sharma</v>
      </c>
      <c r="D73" s="43" t="n">
        <f aca="false">IF(CriticalTasks[[#This Row],[_Task]]="","",IF(N(INDEX(tsk_FcStart,CriticalTasks[[#This Row],[_Task]]))=0,"",INDEX(tsk_FcStart,CriticalTasks[[#This Row],[_Task]])))</f>
        <v>46324</v>
      </c>
      <c r="E73" s="46" t="n">
        <f aca="false">IF(CriticalTasks[[#This Row],[_Task]]="","",INDEX(tsk_TotalSlack,CriticalTasks[[#This Row],[_Task]]))</f>
        <v>0</v>
      </c>
      <c r="F73" s="20" t="str">
        <f aca="false">IF(CriticalTasks[[#This Row],[_Task]]="","",INDEX(tsk_DeadlineCheck,CriticalTasks[[#This Row],[_Task]])&amp;"")</f>
        <v/>
      </c>
      <c r="G73" s="43" t="n">
        <f aca="false">IF(CriticalTasks[[#This Row],[_Task]]="","",IF(N(INDEX(tsk_FcFinish,CriticalTasks[[#This Row],[_Task]]))=0,"",INDEX(tsk_FcFinish,CriticalTasks[[#This Row],[_Task]])))</f>
        <v>46324</v>
      </c>
    </row>
    <row r="74" customFormat="false" ht="15" hidden="false" customHeight="false" outlineLevel="0" collapsed="false">
      <c r="A74" s="42" t="n">
        <f aca="false">IFERROR(MATCH(SMALL(tsk_CriticalKey,ROW()-ROW(CriticalTasks[[#Headers],[_Task]])),tsk_CriticalKey,0),"")</f>
        <v>12</v>
      </c>
      <c r="B74" s="20" t="str">
        <f aca="false">IF(CriticalTasks[[#This Row],[_Task]]="","",INDEX(tsk_Name,CriticalTasks[[#This Row],[_Task]])&amp;"")</f>
        <v>Go-live</v>
      </c>
      <c r="C74" s="20" t="str">
        <f aca="false">IF(CriticalTasks[[#This Row],[_Task]]="","",INDEX(tsk_ResourceNames,CriticalTasks[[#This Row],[_Task]])&amp;"")</f>
        <v/>
      </c>
      <c r="D74" s="43" t="n">
        <f aca="false">IF(CriticalTasks[[#This Row],[_Task]]="","",IF(N(INDEX(tsk_FcStart,CriticalTasks[[#This Row],[_Task]]))=0,"",INDEX(tsk_FcStart,CriticalTasks[[#This Row],[_Task]])))</f>
        <v>46324</v>
      </c>
      <c r="E74" s="46" t="n">
        <f aca="false">IF(CriticalTasks[[#This Row],[_Task]]="","",INDEX(tsk_TotalSlack,CriticalTasks[[#This Row],[_Task]]))</f>
        <v>0</v>
      </c>
      <c r="F74" s="20" t="str">
        <f aca="false">IF(CriticalTasks[[#This Row],[_Task]]="","",INDEX(tsk_DeadlineCheck,CriticalTasks[[#This Row],[_Task]])&amp;"")</f>
        <v>OK</v>
      </c>
      <c r="G74" s="43" t="n">
        <f aca="false">IF(CriticalTasks[[#This Row],[_Task]]="","",IF(N(INDEX(tsk_FcFinish,CriticalTasks[[#This Row],[_Task]]))=0,"",INDEX(tsk_FcFinish,CriticalTasks[[#This Row],[_Task]])))</f>
        <v>46324</v>
      </c>
    </row>
    <row r="75" customFormat="false" ht="15" hidden="false" customHeight="false" outlineLevel="0" collapsed="false">
      <c r="A75" s="42" t="str">
        <f aca="false">IFERROR(MATCH(SMALL(tsk_CriticalKey,ROW()-ROW(CriticalTasks[[#Headers],[_Task]])),tsk_CriticalKey,0),"")</f>
        <v/>
      </c>
      <c r="B75" s="20" t="str">
        <f aca="false">IF(CriticalTasks[[#This Row],[_Task]]="","",INDEX(tsk_Name,CriticalTasks[[#This Row],[_Task]])&amp;"")</f>
        <v/>
      </c>
      <c r="C75" s="20" t="str">
        <f aca="false">IF(CriticalTasks[[#This Row],[_Task]]="","",INDEX(tsk_ResourceNames,CriticalTasks[[#This Row],[_Task]])&amp;"")</f>
        <v/>
      </c>
      <c r="D75" s="43" t="str">
        <f aca="false">IF(CriticalTasks[[#This Row],[_Task]]="","",IF(N(INDEX(tsk_FcStart,CriticalTasks[[#This Row],[_Task]]))=0,"",INDEX(tsk_FcStart,CriticalTasks[[#This Row],[_Task]])))</f>
        <v/>
      </c>
      <c r="E75" s="46" t="str">
        <f aca="false">IF(CriticalTasks[[#This Row],[_Task]]="","",INDEX(tsk_TotalSlack,CriticalTasks[[#This Row],[_Task]]))</f>
        <v/>
      </c>
      <c r="F75" s="20" t="str">
        <f aca="false">IF(CriticalTasks[[#This Row],[_Task]]="","",INDEX(tsk_DeadlineCheck,CriticalTasks[[#This Row],[_Task]])&amp;"")</f>
        <v/>
      </c>
      <c r="G75" s="43" t="str">
        <f aca="false">IF(CriticalTasks[[#This Row],[_Task]]="","",IF(N(INDEX(tsk_FcFinish,CriticalTasks[[#This Row],[_Task]]))=0,"",INDEX(tsk_FcFinish,CriticalTasks[[#This Row],[_Task]])))</f>
        <v/>
      </c>
    </row>
    <row r="76" customFormat="false" ht="15" hidden="false" customHeight="false" outlineLevel="0" collapsed="false">
      <c r="A76" s="42" t="str">
        <f aca="false">IFERROR(MATCH(SMALL(tsk_CriticalKey,ROW()-ROW(CriticalTasks[[#Headers],[_Task]])),tsk_CriticalKey,0),"")</f>
        <v/>
      </c>
      <c r="B76" s="20" t="str">
        <f aca="false">IF(CriticalTasks[[#This Row],[_Task]]="","",INDEX(tsk_Name,CriticalTasks[[#This Row],[_Task]])&amp;"")</f>
        <v/>
      </c>
      <c r="C76" s="20" t="str">
        <f aca="false">IF(CriticalTasks[[#This Row],[_Task]]="","",INDEX(tsk_ResourceNames,CriticalTasks[[#This Row],[_Task]])&amp;"")</f>
        <v/>
      </c>
      <c r="D76" s="43" t="str">
        <f aca="false">IF(CriticalTasks[[#This Row],[_Task]]="","",IF(N(INDEX(tsk_FcStart,CriticalTasks[[#This Row],[_Task]]))=0,"",INDEX(tsk_FcStart,CriticalTasks[[#This Row],[_Task]])))</f>
        <v/>
      </c>
      <c r="E76" s="46" t="str">
        <f aca="false">IF(CriticalTasks[[#This Row],[_Task]]="","",INDEX(tsk_TotalSlack,CriticalTasks[[#This Row],[_Task]]))</f>
        <v/>
      </c>
      <c r="F76" s="20" t="str">
        <f aca="false">IF(CriticalTasks[[#This Row],[_Task]]="","",INDEX(tsk_DeadlineCheck,CriticalTasks[[#This Row],[_Task]])&amp;"")</f>
        <v/>
      </c>
      <c r="G76" s="43" t="str">
        <f aca="false">IF(CriticalTasks[[#This Row],[_Task]]="","",IF(N(INDEX(tsk_FcFinish,CriticalTasks[[#This Row],[_Task]]))=0,"",INDEX(tsk_FcFinish,CriticalTasks[[#This Row],[_Task]])))</f>
        <v/>
      </c>
    </row>
    <row r="78" customFormat="false" ht="15" hidden="false" customHeight="false" outlineLevel="0" collapsed="false">
      <c r="B78" s="28" t="s">
        <v>171</v>
      </c>
    </row>
    <row r="79" customFormat="false" ht="15" hidden="false" customHeight="false" outlineLevel="0" collapsed="false">
      <c r="B79" s="17" t="s">
        <v>172</v>
      </c>
      <c r="C79" s="18" t="s">
        <v>173</v>
      </c>
    </row>
    <row r="80" customFormat="false" ht="36" hidden="false" customHeight="true" outlineLevel="0" collapsed="false">
      <c r="B80" s="47" t="s">
        <v>174</v>
      </c>
      <c r="C80" s="48"/>
    </row>
    <row r="81" customFormat="false" ht="36" hidden="false" customHeight="true" outlineLevel="0" collapsed="false">
      <c r="B81" s="47" t="s">
        <v>175</v>
      </c>
      <c r="C81" s="48"/>
    </row>
    <row r="82" customFormat="false" ht="36" hidden="false" customHeight="true" outlineLevel="0" collapsed="false">
      <c r="B82" s="47" t="s">
        <v>176</v>
      </c>
      <c r="C82" s="48"/>
    </row>
    <row r="83" customFormat="false" ht="36" hidden="false" customHeight="true" outlineLevel="0" collapsed="false">
      <c r="B83" s="47" t="s">
        <v>177</v>
      </c>
      <c r="C83" s="48"/>
    </row>
    <row r="84" customFormat="false" ht="36" hidden="false" customHeight="true" outlineLevel="0" collapsed="false">
      <c r="B84" s="47" t="s">
        <v>178</v>
      </c>
      <c r="C84" s="48"/>
    </row>
    <row r="85" customFormat="false" ht="36" hidden="false" customHeight="true" outlineLevel="0" collapsed="false">
      <c r="B85" s="47" t="s">
        <v>179</v>
      </c>
      <c r="C85" s="48"/>
    </row>
  </sheetData>
  <sheetProtection sheet="true" formatColumns="false" formatRows="false" sort="false" autoFilter="false"/>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18">
      <formula>E14="Green"</formula>
    </cfRule>
    <cfRule type="expression" priority="4" aboveAverage="0" equalAverage="0" bottom="0" percent="0" rank="0" text="" dxfId="19">
      <formula>E14="Amber"</formula>
    </cfRule>
    <cfRule type="expression" priority="5" aboveAverage="0" equalAverage="0" bottom="0" percent="0" rank="0" text="" dxfId="20">
      <formula>E14="Red"</formula>
    </cfRule>
  </conditionalFormatting>
  <conditionalFormatting sqref="D36">
    <cfRule type="expression" priority="6" aboveAverage="0" equalAverage="0" bottom="0" percent="0" rank="0" text="" dxfId="21">
      <formula>D36&gt;0</formula>
    </cfRule>
    <cfRule type="expression" priority="7" aboveAverage="0" equalAverage="0" bottom="0" percent="0" rank="0" text="" dxfId="22">
      <formula>D36&lt;=0</formula>
    </cfRule>
  </conditionalFormatting>
  <conditionalFormatting sqref="E48:E52">
    <cfRule type="expression" priority="8" aboveAverage="0" equalAverage="0" bottom="0" percent="0" rank="0" text="" dxfId="23">
      <formula>AND(ISNUMBER(E48),E48&gt;0)</formula>
    </cfRule>
  </conditionalFormatting>
  <conditionalFormatting sqref="G48:G52">
    <cfRule type="expression" priority="9" aboveAverage="0" equalAverage="0" bottom="0" percent="0" rank="0" text="" dxfId="24">
      <formula>G48="Yes"</formula>
    </cfRule>
  </conditionalFormatting>
  <conditionalFormatting sqref="G56:G60">
    <cfRule type="expression" priority="10" aboveAverage="0" equalAverage="0" bottom="0" percent="0" rank="0" text="" dxfId="24">
      <formula>G56="Yes"</formula>
    </cfRule>
  </conditionalFormatting>
  <conditionalFormatting sqref="F56:F60">
    <cfRule type="expression" priority="11" aboveAverage="0" equalAverage="0" bottom="0" percent="0" rank="0" text="" dxfId="23">
      <formula>LEFT(F56,4)="Late"</formula>
    </cfRule>
  </conditionalFormatting>
  <conditionalFormatting sqref="G64:G68">
    <cfRule type="expression" priority="12" aboveAverage="0" equalAverage="0" bottom="0" percent="0" rank="0" text="" dxfId="24">
      <formula>G64="Yes"</formula>
    </cfRule>
  </conditionalFormatting>
  <conditionalFormatting sqref="F72:F76">
    <cfRule type="expression" priority="13" aboveAverage="0" equalAverage="0" bottom="0" percent="0" rank="0" text="" dxfId="23">
      <formula>LEFT(F72,4)="Late"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true" verticalCentered="false"/>
  <pageMargins left="0.75" right="0.75" top="0.6" bottom="0.6" header="0.3" footer="0.3"/>
  <pageSetup paperSize="1" scale="100" fitToWidth="1" fitToHeight="1" pageOrder="downThenOver" orientation="portrait"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4" t="str">
        <f aca="false">ProjectName&amp;"  -  Roadmap"</f>
        <v>Customer Portal Implementation  -  Roadmap</v>
      </c>
    </row>
    <row r="2" customFormat="false" ht="15" hidden="false" customHeight="false" outlineLevel="0" collapsed="false">
      <c r="A2" s="49" t="str">
        <f aca="false">"Status date "&amp;TEXT(StatusDate,"dd-mmm-yyyy")&amp;"   Forecast finish "&amp;TEXT(ProjectFinish,"dd-mmm-yyyy")&amp;" ("&amp;TEXT(FinishVarianceDays,"+0;-0;0")&amp;" working days vs plan)"</f>
        <v>Status date 25-Oct-2026   Forecast finish 29-Oct-2026 (+4 working days vs plan)</v>
      </c>
    </row>
    <row r="4" customFormat="false" ht="15" hidden="false" customHeight="false" outlineLevel="0" collapsed="false">
      <c r="R4" s="50" t="str">
        <f aca="false">IF(OR(COLUMN()-COLUMN(rm_Origin)=1,MONTH(EDATE(RoadmapStart,COLUMN()-COLUMN(rm_Origin)-1))=1),TEXT(EDATE(RoadmapStart,COLUMN()-COLUMN(rm_Origin)-1),"yyyy"),"")</f>
        <v>2026</v>
      </c>
      <c r="S4" s="50" t="str">
        <f aca="false">IF(OR(COLUMN()-COLUMN(rm_Origin)=1,MONTH(EDATE(RoadmapStart,COLUMN()-COLUMN(rm_Origin)-1))=1),TEXT(EDATE(RoadmapStart,COLUMN()-COLUMN(rm_Origin)-1),"yyyy"),"")</f>
        <v/>
      </c>
      <c r="T4" s="50" t="str">
        <f aca="false">IF(OR(COLUMN()-COLUMN(rm_Origin)=1,MONTH(EDATE(RoadmapStart,COLUMN()-COLUMN(rm_Origin)-1))=1),TEXT(EDATE(RoadmapStart,COLUMN()-COLUMN(rm_Origin)-1),"yyyy"),"")</f>
        <v/>
      </c>
      <c r="U4" s="50" t="str">
        <f aca="false">IF(OR(COLUMN()-COLUMN(rm_Origin)=1,MONTH(EDATE(RoadmapStart,COLUMN()-COLUMN(rm_Origin)-1))=1),TEXT(EDATE(RoadmapStart,COLUMN()-COLUMN(rm_Origin)-1),"yyyy"),"")</f>
        <v/>
      </c>
      <c r="V4" s="50" t="str">
        <f aca="false">IF(OR(COLUMN()-COLUMN(rm_Origin)=1,MONTH(EDATE(RoadmapStart,COLUMN()-COLUMN(rm_Origin)-1))=1),TEXT(EDATE(RoadmapStart,COLUMN()-COLUMN(rm_Origin)-1),"yyyy"),"")</f>
        <v>2027</v>
      </c>
      <c r="W4" s="50" t="str">
        <f aca="false">IF(OR(COLUMN()-COLUMN(rm_Origin)=1,MONTH(EDATE(RoadmapStart,COLUMN()-COLUMN(rm_Origin)-1))=1),TEXT(EDATE(RoadmapStart,COLUMN()-COLUMN(rm_Origin)-1),"yyyy"),"")</f>
        <v/>
      </c>
      <c r="X4" s="50" t="str">
        <f aca="false">IF(OR(COLUMN()-COLUMN(rm_Origin)=1,MONTH(EDATE(RoadmapStart,COLUMN()-COLUMN(rm_Origin)-1))=1),TEXT(EDATE(RoadmapStart,COLUMN()-COLUMN(rm_Origin)-1),"yyyy"),"")</f>
        <v/>
      </c>
      <c r="Y4" s="50" t="str">
        <f aca="false">IF(OR(COLUMN()-COLUMN(rm_Origin)=1,MONTH(EDATE(RoadmapStart,COLUMN()-COLUMN(rm_Origin)-1))=1),TEXT(EDATE(RoadmapStart,COLUMN()-COLUMN(rm_Origin)-1),"yyyy"),"")</f>
        <v/>
      </c>
      <c r="Z4" s="50" t="str">
        <f aca="false">IF(OR(COLUMN()-COLUMN(rm_Origin)=1,MONTH(EDATE(RoadmapStart,COLUMN()-COLUMN(rm_Origin)-1))=1),TEXT(EDATE(RoadmapStart,COLUMN()-COLUMN(rm_Origin)-1),"yyyy"),"")</f>
        <v/>
      </c>
      <c r="AA4" s="50" t="str">
        <f aca="false">IF(OR(COLUMN()-COLUMN(rm_Origin)=1,MONTH(EDATE(RoadmapStart,COLUMN()-COLUMN(rm_Origin)-1))=1),TEXT(EDATE(RoadmapStart,COLUMN()-COLUMN(rm_Origin)-1),"yyyy"),"")</f>
        <v/>
      </c>
      <c r="AB4" s="50" t="str">
        <f aca="false">IF(OR(COLUMN()-COLUMN(rm_Origin)=1,MONTH(EDATE(RoadmapStart,COLUMN()-COLUMN(rm_Origin)-1))=1),TEXT(EDATE(RoadmapStart,COLUMN()-COLUMN(rm_Origin)-1),"yyyy"),"")</f>
        <v/>
      </c>
      <c r="AC4" s="50" t="str">
        <f aca="false">IF(OR(COLUMN()-COLUMN(rm_Origin)=1,MONTH(EDATE(RoadmapStart,COLUMN()-COLUMN(rm_Origin)-1))=1),TEXT(EDATE(RoadmapStart,COLUMN()-COLUMN(rm_Origin)-1),"yyyy"),"")</f>
        <v/>
      </c>
      <c r="AD4" s="50" t="str">
        <f aca="false">IF(OR(COLUMN()-COLUMN(rm_Origin)=1,MONTH(EDATE(RoadmapStart,COLUMN()-COLUMN(rm_Origin)-1))=1),TEXT(EDATE(RoadmapStart,COLUMN()-COLUMN(rm_Origin)-1),"yyyy"),"")</f>
        <v/>
      </c>
      <c r="AE4" s="50" t="str">
        <f aca="false">IF(OR(COLUMN()-COLUMN(rm_Origin)=1,MONTH(EDATE(RoadmapStart,COLUMN()-COLUMN(rm_Origin)-1))=1),TEXT(EDATE(RoadmapStart,COLUMN()-COLUMN(rm_Origin)-1),"yyyy"),"")</f>
        <v/>
      </c>
      <c r="AF4" s="50" t="str">
        <f aca="false">IF(OR(COLUMN()-COLUMN(rm_Origin)=1,MONTH(EDATE(RoadmapStart,COLUMN()-COLUMN(rm_Origin)-1))=1),TEXT(EDATE(RoadmapStart,COLUMN()-COLUMN(rm_Origin)-1),"yyyy"),"")</f>
        <v/>
      </c>
      <c r="AG4" s="50" t="str">
        <f aca="false">IF(OR(COLUMN()-COLUMN(rm_Origin)=1,MONTH(EDATE(RoadmapStart,COLUMN()-COLUMN(rm_Origin)-1))=1),TEXT(EDATE(RoadmapStart,COLUMN()-COLUMN(rm_Origin)-1),"yyyy"),"")</f>
        <v/>
      </c>
      <c r="AH4" s="50" t="str">
        <f aca="false">IF(OR(COLUMN()-COLUMN(rm_Origin)=1,MONTH(EDATE(RoadmapStart,COLUMN()-COLUMN(rm_Origin)-1))=1),TEXT(EDATE(RoadmapStart,COLUMN()-COLUMN(rm_Origin)-1),"yyyy"),"")</f>
        <v>2028</v>
      </c>
      <c r="AI4" s="50" t="str">
        <f aca="false">IF(OR(COLUMN()-COLUMN(rm_Origin)=1,MONTH(EDATE(RoadmapStart,COLUMN()-COLUMN(rm_Origin)-1))=1),TEXT(EDATE(RoadmapStart,COLUMN()-COLUMN(rm_Origin)-1),"yyyy"),"")</f>
        <v/>
      </c>
    </row>
    <row r="5" customFormat="false" ht="15" hidden="false" customHeight="false" outlineLevel="0" collapsed="false">
      <c r="R5" s="51" t="n">
        <f aca="false">EDATE(RoadmapStart,COLUMN()-COLUMN(rm_Origin)-1)</f>
        <v>46266</v>
      </c>
      <c r="S5" s="51" t="n">
        <f aca="false">EDATE(RoadmapStart,COLUMN()-COLUMN(rm_Origin)-1)</f>
        <v>46296</v>
      </c>
      <c r="T5" s="51" t="n">
        <f aca="false">EDATE(RoadmapStart,COLUMN()-COLUMN(rm_Origin)-1)</f>
        <v>46327</v>
      </c>
      <c r="U5" s="51" t="n">
        <f aca="false">EDATE(RoadmapStart,COLUMN()-COLUMN(rm_Origin)-1)</f>
        <v>46357</v>
      </c>
      <c r="V5" s="51" t="n">
        <f aca="false">EDATE(RoadmapStart,COLUMN()-COLUMN(rm_Origin)-1)</f>
        <v>46388</v>
      </c>
      <c r="W5" s="51" t="n">
        <f aca="false">EDATE(RoadmapStart,COLUMN()-COLUMN(rm_Origin)-1)</f>
        <v>46419</v>
      </c>
      <c r="X5" s="51" t="n">
        <f aca="false">EDATE(RoadmapStart,COLUMN()-COLUMN(rm_Origin)-1)</f>
        <v>46447</v>
      </c>
      <c r="Y5" s="51" t="n">
        <f aca="false">EDATE(RoadmapStart,COLUMN()-COLUMN(rm_Origin)-1)</f>
        <v>46478</v>
      </c>
      <c r="Z5" s="51" t="n">
        <f aca="false">EDATE(RoadmapStart,COLUMN()-COLUMN(rm_Origin)-1)</f>
        <v>46508</v>
      </c>
      <c r="AA5" s="51" t="n">
        <f aca="false">EDATE(RoadmapStart,COLUMN()-COLUMN(rm_Origin)-1)</f>
        <v>46539</v>
      </c>
      <c r="AB5" s="51" t="n">
        <f aca="false">EDATE(RoadmapStart,COLUMN()-COLUMN(rm_Origin)-1)</f>
        <v>46569</v>
      </c>
      <c r="AC5" s="51" t="n">
        <f aca="false">EDATE(RoadmapStart,COLUMN()-COLUMN(rm_Origin)-1)</f>
        <v>46600</v>
      </c>
      <c r="AD5" s="51" t="n">
        <f aca="false">EDATE(RoadmapStart,COLUMN()-COLUMN(rm_Origin)-1)</f>
        <v>46631</v>
      </c>
      <c r="AE5" s="51" t="n">
        <f aca="false">EDATE(RoadmapStart,COLUMN()-COLUMN(rm_Origin)-1)</f>
        <v>46661</v>
      </c>
      <c r="AF5" s="51" t="n">
        <f aca="false">EDATE(RoadmapStart,COLUMN()-COLUMN(rm_Origin)-1)</f>
        <v>46692</v>
      </c>
      <c r="AG5" s="51" t="n">
        <f aca="false">EDATE(RoadmapStart,COLUMN()-COLUMN(rm_Origin)-1)</f>
        <v>46722</v>
      </c>
      <c r="AH5" s="51" t="n">
        <f aca="false">EDATE(RoadmapStart,COLUMN()-COLUMN(rm_Origin)-1)</f>
        <v>46753</v>
      </c>
      <c r="AI5" s="51" t="n">
        <f aca="false">EDATE(RoadmapStart,COLUMN()-COLUMN(rm_Origin)-1)</f>
        <v>46784</v>
      </c>
    </row>
    <row r="6" customFormat="false" ht="15" hidden="false" customHeight="false" outlineLevel="0" collapsed="false">
      <c r="C6" s="28" t="str">
        <f aca="false">"Phases"&amp;": "&amp;COUNT(tsk_PhaseKey)&amp;IF(COUNT(tsk_PhaseKey)&gt;ROWS(RoadmapPhases[_Task])," (showing the first "&amp;ROWS(RoadmapPhases[_Task])&amp;")","")</f>
        <v>Phases: 3</v>
      </c>
    </row>
    <row r="7" customFormat="false" ht="35.05" hidden="false" customHeight="false" outlineLevel="0" collapsed="false">
      <c r="B7" s="41" t="s">
        <v>161</v>
      </c>
      <c r="C7" s="17" t="s">
        <v>180</v>
      </c>
      <c r="D7" s="17" t="s">
        <v>181</v>
      </c>
      <c r="E7" s="17" t="s">
        <v>182</v>
      </c>
      <c r="F7" s="17" t="s">
        <v>183</v>
      </c>
      <c r="G7" s="17" t="s">
        <v>184</v>
      </c>
      <c r="H7" s="17" t="s">
        <v>169</v>
      </c>
      <c r="I7" s="17" t="s">
        <v>164</v>
      </c>
      <c r="J7" s="17" t="s">
        <v>167</v>
      </c>
      <c r="K7" s="17" t="s">
        <v>165</v>
      </c>
      <c r="L7" s="17" t="s">
        <v>185</v>
      </c>
      <c r="M7" s="17" t="s">
        <v>120</v>
      </c>
      <c r="N7" s="17" t="s">
        <v>186</v>
      </c>
      <c r="O7" s="17" t="s">
        <v>187</v>
      </c>
      <c r="P7" s="41" t="s">
        <v>188</v>
      </c>
    </row>
    <row r="8" customFormat="false" ht="15" hidden="false" customHeight="false" outlineLevel="0" collapsed="false">
      <c r="B8" s="42" t="n">
        <f aca="false">IFERROR(MATCH(SMALL(tsk_PhaseKey,ROW()-ROW(RoadmapPhases[[#Headers],[_Task]])),tsk_PhaseKey,0),"")</f>
        <v>1</v>
      </c>
      <c r="C8" s="20" t="str">
        <f aca="false">IF(RoadmapPhases[[#This Row],[_Task]]="","",INDEX(tsk_WBS,RoadmapPhases[[#This Row],[_Task]])&amp;"")</f>
        <v>1</v>
      </c>
      <c r="D8" s="20" t="str">
        <f aca="false">IF(RoadmapPhases[[#This Row],[_Task]]="","",INDEX(tsk_Name,RoadmapPhases[[#This Row],[_Task]])&amp;"")</f>
        <v>Initiation</v>
      </c>
      <c r="E8" s="20" t="str">
        <f aca="false">IF(RoadmapPhases[[#This Row],[_Task]]="","",INDEX(tsk_Owner,RoadmapPhases[[#This Row],[_Task]])&amp;"")</f>
        <v>Priya Sharma</v>
      </c>
      <c r="F8" s="52" t="n">
        <f aca="false">IF(RoadmapPhases[[#This Row],[_Task]]="","",IF(N(INDEX(tsk_PlanStart,RoadmapPhases[[#This Row],[_Task]]))=0,"",INDEX(tsk_PlanStart,RoadmapPhases[[#This Row],[_Task]])))</f>
        <v>46272</v>
      </c>
      <c r="G8" s="52" t="n">
        <f aca="false">IF(RoadmapPhases[[#This Row],[_Task]]="","",IF(N(INDEX(tsk_PlanFinish,RoadmapPhases[[#This Row],[_Task]]))=0,"",INDEX(tsk_PlanFinish,RoadmapPhases[[#This Row],[_Task]])))</f>
        <v>46276</v>
      </c>
      <c r="H8" s="52" t="n">
        <f aca="false">IF(RoadmapPhases[[#This Row],[_Task]]="","",IF(N(INDEX(tsk_FcStart,RoadmapPhases[[#This Row],[_Task]]))=0,"",INDEX(tsk_FcStart,RoadmapPhases[[#This Row],[_Task]])))</f>
        <v>46272</v>
      </c>
      <c r="I8" s="52" t="n">
        <f aca="false">IF(RoadmapPhases[[#This Row],[_Task]]="","",IF(N(INDEX(tsk_FcFinish,RoadmapPhases[[#This Row],[_Task]]))=0,"",INDEX(tsk_FcFinish,RoadmapPhases[[#This Row],[_Task]])))</f>
        <v>46279</v>
      </c>
      <c r="J8" s="45" t="n">
        <f aca="false">IF(RoadmapPhases[[#This Row],[_Task]]="","",INDEX(tsk_Progress,RoadmapPhases[[#This Row],[_Task]]))</f>
        <v>1</v>
      </c>
      <c r="K8" s="44" t="n">
        <f aca="false">IF(RoadmapPhases[[#This Row],[_Task]]="","",INDEX(tsk_Variance,RoadmapPhases[[#This Row],[_Task]]))</f>
        <v>1</v>
      </c>
      <c r="L8" s="46" t="str">
        <f aca="false">IF(RoadmapPhases[[#This Row],[_Task]]="","",COUNTIFS(tsk_Phase,RoadmapPhases[[#This Row],[WBS]],tsk_IsLeaf,1,tsk_Duration,"&gt;0",tsk_Progress,"&gt;=1")&amp;" of "&amp;COUNTIFS(tsk_Phase,RoadmapPhases[[#This Row],[WBS]],tsk_IsLeaf,1,tsk_Duration,"&gt;0")&amp;" done")</f>
        <v>2 of 2 done</v>
      </c>
      <c r="M8" s="21" t="str">
        <f aca="false">IF(RoadmapPhases[[#This Row],[_Task]]="","",CHOOSE(IF(N(RoadmapPhases[[#This Row],[Finish Var]])&gt;=RAGRedSlipDays,2,IF(N(RoadmapPhases[[#This Row],[Finish Var]])&gt;=RAGAmberSlipDays,1,0))+1,"Green","Amber","Red"))</f>
        <v>Green</v>
      </c>
      <c r="N8" s="20" t="str">
        <f aca="false">IF(OR(RoadmapPhases[[#This Row],[_Task]]="",RoadmapPhases[[#This Row],[_Milestone]]=""),"",INDEX(tsk_Name,RoadmapPhases[[#This Row],[_Milestone]])&amp;" ("&amp;TEXT(INDEX(tsk_FcFinish,RoadmapPhases[[#This Row],[_Milestone]]),"dd-mmm")&amp;")")</f>
        <v/>
      </c>
      <c r="O8" s="20" t="str">
        <f aca="false">IF(RoadmapPhases[[#This Row],[_Task]]="","",HYPERLINK("#"&amp;ADDRESS(ROW(Tasks[[#Headers],[Task Name]])+RoadmapPhases[[#This Row],[_Task]],COLUMN(Tasks[[#Headers],[Task Name]]),1,1,"Tasks"),"Go to phase"))</f>
        <v>Go to phase</v>
      </c>
      <c r="P8" s="42" t="str">
        <f aca="false">IF(RoadmapPhases[[#This Row],[_Task]]="","",IFERROR(MATCH(_xlfn.MINIFS(tsk_MilestoneKey,tsk_Phase,RoadmapPhases[[#This Row],[WBS]]),tsk_MilestoneKey,0),""))</f>
        <v/>
      </c>
    </row>
    <row r="9" customFormat="false" ht="15" hidden="false" customHeight="false" outlineLevel="0" collapsed="false">
      <c r="B9" s="42" t="n">
        <f aca="false">IFERROR(MATCH(SMALL(tsk_PhaseKey,ROW()-ROW(RoadmapPhases[[#Headers],[_Task]])),tsk_PhaseKey,0),"")</f>
        <v>5</v>
      </c>
      <c r="C9" s="20" t="str">
        <f aca="false">IF(RoadmapPhases[[#This Row],[_Task]]="","",INDEX(tsk_WBS,RoadmapPhases[[#This Row],[_Task]])&amp;"")</f>
        <v>2</v>
      </c>
      <c r="D9" s="20" t="str">
        <f aca="false">IF(RoadmapPhases[[#This Row],[_Task]]="","",INDEX(tsk_Name,RoadmapPhases[[#This Row],[_Task]])&amp;"")</f>
        <v>Requirements &amp; Design</v>
      </c>
      <c r="E9" s="20" t="str">
        <f aca="false">IF(RoadmapPhases[[#This Row],[_Task]]="","",INDEX(tsk_Owner,RoadmapPhases[[#This Row],[_Task]])&amp;"")</f>
        <v>Morgan Patel</v>
      </c>
      <c r="F9" s="52" t="n">
        <f aca="false">IF(RoadmapPhases[[#This Row],[_Task]]="","",IF(N(INDEX(tsk_PlanStart,RoadmapPhases[[#This Row],[_Task]]))=0,"",INDEX(tsk_PlanStart,RoadmapPhases[[#This Row],[_Task]])))</f>
        <v>46279</v>
      </c>
      <c r="G9" s="52" t="n">
        <f aca="false">IF(RoadmapPhases[[#This Row],[_Task]]="","",IF(N(INDEX(tsk_PlanFinish,RoadmapPhases[[#This Row],[_Task]]))=0,"",INDEX(tsk_PlanFinish,RoadmapPhases[[#This Row],[_Task]])))</f>
        <v>46296</v>
      </c>
      <c r="H9" s="52" t="n">
        <f aca="false">IF(RoadmapPhases[[#This Row],[_Task]]="","",IF(N(INDEX(tsk_FcStart,RoadmapPhases[[#This Row],[_Task]]))=0,"",INDEX(tsk_FcStart,RoadmapPhases[[#This Row],[_Task]])))</f>
        <v>46280</v>
      </c>
      <c r="I9" s="52" t="n">
        <f aca="false">IF(RoadmapPhases[[#This Row],[_Task]]="","",IF(N(INDEX(tsk_FcFinish,RoadmapPhases[[#This Row],[_Task]]))=0,"",INDEX(tsk_FcFinish,RoadmapPhases[[#This Row],[_Task]])))</f>
        <v>46301</v>
      </c>
      <c r="J9" s="45" t="n">
        <f aca="false">IF(RoadmapPhases[[#This Row],[_Task]]="","",INDEX(tsk_Progress,RoadmapPhases[[#This Row],[_Task]]))</f>
        <v>1</v>
      </c>
      <c r="K9" s="44" t="n">
        <f aca="false">IF(RoadmapPhases[[#This Row],[_Task]]="","",INDEX(tsk_Variance,RoadmapPhases[[#This Row],[_Task]]))</f>
        <v>3</v>
      </c>
      <c r="L9" s="46" t="str">
        <f aca="false">IF(RoadmapPhases[[#This Row],[_Task]]="","",COUNTIFS(tsk_Phase,RoadmapPhases[[#This Row],[WBS]],tsk_IsLeaf,1,tsk_Duration,"&gt;0",tsk_Progress,"&gt;=1")&amp;" of "&amp;COUNTIFS(tsk_Phase,RoadmapPhases[[#This Row],[WBS]],tsk_IsLeaf,1,tsk_Duration,"&gt;0")&amp;" done")</f>
        <v>2 of 2 done</v>
      </c>
      <c r="M9" s="21" t="str">
        <f aca="false">IF(RoadmapPhases[[#This Row],[_Task]]="","",CHOOSE(IF(N(RoadmapPhases[[#This Row],[Finish Var]])&gt;=RAGRedSlipDays,2,IF(N(RoadmapPhases[[#This Row],[Finish Var]])&gt;=RAGAmberSlipDays,1,0))+1,"Green","Amber","Red"))</f>
        <v>Amber</v>
      </c>
      <c r="N9" s="20" t="str">
        <f aca="false">IF(OR(RoadmapPhases[[#This Row],[_Task]]="",RoadmapPhases[[#This Row],[_Milestone]]=""),"",INDEX(tsk_Name,RoadmapPhases[[#This Row],[_Milestone]])&amp;" ("&amp;TEXT(INDEX(tsk_FcFinish,RoadmapPhases[[#This Row],[_Milestone]]),"dd-mmm")&amp;")")</f>
        <v/>
      </c>
      <c r="O9" s="20" t="str">
        <f aca="false">IF(RoadmapPhases[[#This Row],[_Task]]="","",HYPERLINK("#"&amp;ADDRESS(ROW(Tasks[[#Headers],[Task Name]])+RoadmapPhases[[#This Row],[_Task]],COLUMN(Tasks[[#Headers],[Task Name]]),1,1,"Tasks"),"Go to phase"))</f>
        <v>Go to phase</v>
      </c>
      <c r="P9" s="42" t="str">
        <f aca="false">IF(RoadmapPhases[[#This Row],[_Task]]="","",IFERROR(MATCH(_xlfn.MINIFS(tsk_MilestoneKey,tsk_Phase,RoadmapPhases[[#This Row],[WBS]]),tsk_MilestoneKey,0),""))</f>
        <v/>
      </c>
    </row>
    <row r="10" customFormat="false" ht="15" hidden="false" customHeight="false" outlineLevel="0" collapsed="false">
      <c r="B10" s="42" t="n">
        <f aca="false">IFERROR(MATCH(SMALL(tsk_PhaseKey,ROW()-ROW(RoadmapPhases[[#Headers],[_Task]])),tsk_PhaseKey,0),"")</f>
        <v>9</v>
      </c>
      <c r="C10" s="20" t="str">
        <f aca="false">IF(RoadmapPhases[[#This Row],[_Task]]="","",INDEX(tsk_WBS,RoadmapPhases[[#This Row],[_Task]])&amp;"")</f>
        <v>3</v>
      </c>
      <c r="D10" s="20" t="str">
        <f aca="false">IF(RoadmapPhases[[#This Row],[_Task]]="","",INDEX(tsk_Name,RoadmapPhases[[#This Row],[_Task]])&amp;"")</f>
        <v>Test &amp; Release</v>
      </c>
      <c r="E10" s="20" t="str">
        <f aca="false">IF(RoadmapPhases[[#This Row],[_Task]]="","",INDEX(tsk_Owner,RoadmapPhases[[#This Row],[_Task]])&amp;"")</f>
        <v>Taylor Morgan</v>
      </c>
      <c r="F10" s="52" t="n">
        <f aca="false">IF(RoadmapPhases[[#This Row],[_Task]]="","",IF(N(INDEX(tsk_PlanStart,RoadmapPhases[[#This Row],[_Task]]))=0,"",INDEX(tsk_PlanStart,RoadmapPhases[[#This Row],[_Task]])))</f>
        <v>46297</v>
      </c>
      <c r="G10" s="52" t="n">
        <f aca="false">IF(RoadmapPhases[[#This Row],[_Task]]="","",IF(N(INDEX(tsk_PlanFinish,RoadmapPhases[[#This Row],[_Task]]))=0,"",INDEX(tsk_PlanFinish,RoadmapPhases[[#This Row],[_Task]])))</f>
        <v>46318</v>
      </c>
      <c r="H10" s="52" t="n">
        <f aca="false">IF(RoadmapPhases[[#This Row],[_Task]]="","",IF(N(INDEX(tsk_FcStart,RoadmapPhases[[#This Row],[_Task]]))=0,"",INDEX(tsk_FcStart,RoadmapPhases[[#This Row],[_Task]])))</f>
        <v>46302</v>
      </c>
      <c r="I10" s="52" t="n">
        <f aca="false">IF(RoadmapPhases[[#This Row],[_Task]]="","",IF(N(INDEX(tsk_FcFinish,RoadmapPhases[[#This Row],[_Task]]))=0,"",INDEX(tsk_FcFinish,RoadmapPhases[[#This Row],[_Task]])))</f>
        <v>46324</v>
      </c>
      <c r="J10" s="45" t="n">
        <f aca="false">IF(RoadmapPhases[[#This Row],[_Task]]="","",INDEX(tsk_Progress,RoadmapPhases[[#This Row],[_Task]]))</f>
        <v>0.791925465838509</v>
      </c>
      <c r="K10" s="44" t="n">
        <f aca="false">IF(RoadmapPhases[[#This Row],[_Task]]="","",INDEX(tsk_Variance,RoadmapPhases[[#This Row],[_Task]]))</f>
        <v>4</v>
      </c>
      <c r="L10" s="46" t="str">
        <f aca="false">IF(RoadmapPhases[[#This Row],[_Task]]="","",COUNTIFS(tsk_Phase,RoadmapPhases[[#This Row],[WBS]],tsk_IsLeaf,1,tsk_Duration,"&gt;0",tsk_Progress,"&gt;=1")&amp;" of "&amp;COUNTIFS(tsk_Phase,RoadmapPhases[[#This Row],[WBS]],tsk_IsLeaf,1,tsk_Duration,"&gt;0")&amp;" done")</f>
        <v>0 of 2 done</v>
      </c>
      <c r="M10" s="21" t="str">
        <f aca="false">IF(RoadmapPhases[[#This Row],[_Task]]="","",CHOOSE(IF(N(RoadmapPhases[[#This Row],[Finish Var]])&gt;=RAGRedSlipDays,2,IF(N(RoadmapPhases[[#This Row],[Finish Var]])&gt;=RAGAmberSlipDays,1,0))+1,"Green","Amber","Red"))</f>
        <v>Amber</v>
      </c>
      <c r="N10" s="20" t="str">
        <f aca="false">IF(OR(RoadmapPhases[[#This Row],[_Task]]="",RoadmapPhases[[#This Row],[_Milestone]]=""),"",INDEX(tsk_Name,RoadmapPhases[[#This Row],[_Milestone]])&amp;" ("&amp;TEXT(INDEX(tsk_FcFinish,RoadmapPhases[[#This Row],[_Milestone]]),"dd-mmm")&amp;")")</f>
        <v>Go-live (29-Oct)</v>
      </c>
      <c r="O10" s="20" t="str">
        <f aca="false">IF(RoadmapPhases[[#This Row],[_Task]]="","",HYPERLINK("#"&amp;ADDRESS(ROW(Tasks[[#Headers],[Task Name]])+RoadmapPhases[[#This Row],[_Task]],COLUMN(Tasks[[#Headers],[Task Name]]),1,1,"Tasks"),"Go to phase"))</f>
        <v>Go to phase</v>
      </c>
      <c r="P10" s="42" t="n">
        <f aca="false">IF(RoadmapPhases[[#This Row],[_Task]]="","",IFERROR(MATCH(_xlfn.MINIFS(tsk_MilestoneKey,tsk_Phase,RoadmapPhases[[#This Row],[WBS]]),tsk_MilestoneKey,0),""))</f>
        <v>12</v>
      </c>
    </row>
    <row r="11" customFormat="false" ht="15" hidden="false" customHeight="false" outlineLevel="0" collapsed="false">
      <c r="B11" s="42" t="str">
        <f aca="false">IFERROR(MATCH(SMALL(tsk_PhaseKey,ROW()-ROW(RoadmapPhases[[#Headers],[_Task]])),tsk_PhaseKey,0),"")</f>
        <v/>
      </c>
      <c r="C11" s="20" t="str">
        <f aca="false">IF(RoadmapPhases[[#This Row],[_Task]]="","",INDEX(tsk_WBS,RoadmapPhases[[#This Row],[_Task]])&amp;"")</f>
        <v/>
      </c>
      <c r="D11" s="20" t="str">
        <f aca="false">IF(RoadmapPhases[[#This Row],[_Task]]="","",INDEX(tsk_Name,RoadmapPhases[[#This Row],[_Task]])&amp;"")</f>
        <v/>
      </c>
      <c r="E11" s="20" t="str">
        <f aca="false">IF(RoadmapPhases[[#This Row],[_Task]]="","",INDEX(tsk_Owner,RoadmapPhases[[#This Row],[_Task]])&amp;"")</f>
        <v/>
      </c>
      <c r="F11" s="52" t="str">
        <f aca="false">IF(RoadmapPhases[[#This Row],[_Task]]="","",IF(N(INDEX(tsk_PlanStart,RoadmapPhases[[#This Row],[_Task]]))=0,"",INDEX(tsk_PlanStart,RoadmapPhases[[#This Row],[_Task]])))</f>
        <v/>
      </c>
      <c r="G11" s="52" t="str">
        <f aca="false">IF(RoadmapPhases[[#This Row],[_Task]]="","",IF(N(INDEX(tsk_PlanFinish,RoadmapPhases[[#This Row],[_Task]]))=0,"",INDEX(tsk_PlanFinish,RoadmapPhases[[#This Row],[_Task]])))</f>
        <v/>
      </c>
      <c r="H11" s="52" t="str">
        <f aca="false">IF(RoadmapPhases[[#This Row],[_Task]]="","",IF(N(INDEX(tsk_FcStart,RoadmapPhases[[#This Row],[_Task]]))=0,"",INDEX(tsk_FcStart,RoadmapPhases[[#This Row],[_Task]])))</f>
        <v/>
      </c>
      <c r="I11" s="52" t="str">
        <f aca="false">IF(RoadmapPhases[[#This Row],[_Task]]="","",IF(N(INDEX(tsk_FcFinish,RoadmapPhases[[#This Row],[_Task]]))=0,"",INDEX(tsk_FcFinish,RoadmapPhases[[#This Row],[_Task]])))</f>
        <v/>
      </c>
      <c r="J11" s="45" t="str">
        <f aca="false">IF(RoadmapPhases[[#This Row],[_Task]]="","",INDEX(tsk_Progress,RoadmapPhases[[#This Row],[_Task]]))</f>
        <v/>
      </c>
      <c r="K11" s="44" t="str">
        <f aca="false">IF(RoadmapPhases[[#This Row],[_Task]]="","",INDEX(tsk_Variance,RoadmapPhases[[#This Row],[_Task]]))</f>
        <v/>
      </c>
      <c r="L11" s="46" t="str">
        <f aca="false">IF(RoadmapPhases[[#This Row],[_Task]]="","",COUNTIFS(tsk_Phase,RoadmapPhases[[#This Row],[WBS]],tsk_IsLeaf,1,tsk_Duration,"&gt;0",tsk_Progress,"&gt;=1")&amp;" of "&amp;COUNTIFS(tsk_Phase,RoadmapPhases[[#This Row],[WBS]],tsk_IsLeaf,1,tsk_Duration,"&gt;0")&amp;" done")</f>
        <v/>
      </c>
      <c r="M11" s="21" t="str">
        <f aca="false">IF(RoadmapPhases[[#This Row],[_Task]]="","",CHOOSE(IF(N(RoadmapPhases[[#This Row],[Finish Var]])&gt;=RAGRedSlipDays,2,IF(N(RoadmapPhases[[#This Row],[Finish Var]])&gt;=RAGAmberSlipDays,1,0))+1,"Green","Amber","Red"))</f>
        <v/>
      </c>
      <c r="N11" s="20" t="str">
        <f aca="false">IF(OR(RoadmapPhases[[#This Row],[_Task]]="",RoadmapPhases[[#This Row],[_Milestone]]=""),"",INDEX(tsk_Name,RoadmapPhases[[#This Row],[_Milestone]])&amp;" ("&amp;TEXT(INDEX(tsk_FcFinish,RoadmapPhases[[#This Row],[_Milestone]]),"dd-mmm")&amp;")")</f>
        <v/>
      </c>
      <c r="O11" s="20" t="str">
        <f aca="false">IF(RoadmapPhases[[#This Row],[_Task]]="","",HYPERLINK("#"&amp;ADDRESS(ROW(Tasks[[#Headers],[Task Name]])+RoadmapPhases[[#This Row],[_Task]],COLUMN(Tasks[[#Headers],[Task Name]]),1,1,"Tasks"),"Go to phase"))</f>
        <v/>
      </c>
      <c r="P11" s="42" t="str">
        <f aca="false">IF(RoadmapPhases[[#This Row],[_Task]]="","",IFERROR(MATCH(_xlfn.MINIFS(tsk_MilestoneKey,tsk_Phase,RoadmapPhases[[#This Row],[WBS]]),tsk_MilestoneKey,0),""))</f>
        <v/>
      </c>
    </row>
    <row r="12" customFormat="false" ht="15" hidden="false" customHeight="false" outlineLevel="0" collapsed="false">
      <c r="B12" s="42" t="str">
        <f aca="false">IFERROR(MATCH(SMALL(tsk_PhaseKey,ROW()-ROW(RoadmapPhases[[#Headers],[_Task]])),tsk_PhaseKey,0),"")</f>
        <v/>
      </c>
      <c r="C12" s="20" t="str">
        <f aca="false">IF(RoadmapPhases[[#This Row],[_Task]]="","",INDEX(tsk_WBS,RoadmapPhases[[#This Row],[_Task]])&amp;"")</f>
        <v/>
      </c>
      <c r="D12" s="20" t="str">
        <f aca="false">IF(RoadmapPhases[[#This Row],[_Task]]="","",INDEX(tsk_Name,RoadmapPhases[[#This Row],[_Task]])&amp;"")</f>
        <v/>
      </c>
      <c r="E12" s="20" t="str">
        <f aca="false">IF(RoadmapPhases[[#This Row],[_Task]]="","",INDEX(tsk_Owner,RoadmapPhases[[#This Row],[_Task]])&amp;"")</f>
        <v/>
      </c>
      <c r="F12" s="52" t="str">
        <f aca="false">IF(RoadmapPhases[[#This Row],[_Task]]="","",IF(N(INDEX(tsk_PlanStart,RoadmapPhases[[#This Row],[_Task]]))=0,"",INDEX(tsk_PlanStart,RoadmapPhases[[#This Row],[_Task]])))</f>
        <v/>
      </c>
      <c r="G12" s="52" t="str">
        <f aca="false">IF(RoadmapPhases[[#This Row],[_Task]]="","",IF(N(INDEX(tsk_PlanFinish,RoadmapPhases[[#This Row],[_Task]]))=0,"",INDEX(tsk_PlanFinish,RoadmapPhases[[#This Row],[_Task]])))</f>
        <v/>
      </c>
      <c r="H12" s="52" t="str">
        <f aca="false">IF(RoadmapPhases[[#This Row],[_Task]]="","",IF(N(INDEX(tsk_FcStart,RoadmapPhases[[#This Row],[_Task]]))=0,"",INDEX(tsk_FcStart,RoadmapPhases[[#This Row],[_Task]])))</f>
        <v/>
      </c>
      <c r="I12" s="52" t="str">
        <f aca="false">IF(RoadmapPhases[[#This Row],[_Task]]="","",IF(N(INDEX(tsk_FcFinish,RoadmapPhases[[#This Row],[_Task]]))=0,"",INDEX(tsk_FcFinish,RoadmapPhases[[#This Row],[_Task]])))</f>
        <v/>
      </c>
      <c r="J12" s="45" t="str">
        <f aca="false">IF(RoadmapPhases[[#This Row],[_Task]]="","",INDEX(tsk_Progress,RoadmapPhases[[#This Row],[_Task]]))</f>
        <v/>
      </c>
      <c r="K12" s="44" t="str">
        <f aca="false">IF(RoadmapPhases[[#This Row],[_Task]]="","",INDEX(tsk_Variance,RoadmapPhases[[#This Row],[_Task]]))</f>
        <v/>
      </c>
      <c r="L12" s="46" t="str">
        <f aca="false">IF(RoadmapPhases[[#This Row],[_Task]]="","",COUNTIFS(tsk_Phase,RoadmapPhases[[#This Row],[WBS]],tsk_IsLeaf,1,tsk_Duration,"&gt;0",tsk_Progress,"&gt;=1")&amp;" of "&amp;COUNTIFS(tsk_Phase,RoadmapPhases[[#This Row],[WBS]],tsk_IsLeaf,1,tsk_Duration,"&gt;0")&amp;" done")</f>
        <v/>
      </c>
      <c r="M12" s="21" t="str">
        <f aca="false">IF(RoadmapPhases[[#This Row],[_Task]]="","",CHOOSE(IF(N(RoadmapPhases[[#This Row],[Finish Var]])&gt;=RAGRedSlipDays,2,IF(N(RoadmapPhases[[#This Row],[Finish Var]])&gt;=RAGAmberSlipDays,1,0))+1,"Green","Amber","Red"))</f>
        <v/>
      </c>
      <c r="N12" s="20" t="str">
        <f aca="false">IF(OR(RoadmapPhases[[#This Row],[_Task]]="",RoadmapPhases[[#This Row],[_Milestone]]=""),"",INDEX(tsk_Name,RoadmapPhases[[#This Row],[_Milestone]])&amp;" ("&amp;TEXT(INDEX(tsk_FcFinish,RoadmapPhases[[#This Row],[_Milestone]]),"dd-mmm")&amp;")")</f>
        <v/>
      </c>
      <c r="O12" s="20" t="str">
        <f aca="false">IF(RoadmapPhases[[#This Row],[_Task]]="","",HYPERLINK("#"&amp;ADDRESS(ROW(Tasks[[#Headers],[Task Name]])+RoadmapPhases[[#This Row],[_Task]],COLUMN(Tasks[[#Headers],[Task Name]]),1,1,"Tasks"),"Go to phase"))</f>
        <v/>
      </c>
      <c r="P12" s="42" t="str">
        <f aca="false">IF(RoadmapPhases[[#This Row],[_Task]]="","",IFERROR(MATCH(_xlfn.MINIFS(tsk_MilestoneKey,tsk_Phase,RoadmapPhases[[#This Row],[WBS]]),tsk_MilestoneKey,0),""))</f>
        <v/>
      </c>
    </row>
    <row r="13" customFormat="false" ht="15" hidden="false" customHeight="false" outlineLevel="0" collapsed="false">
      <c r="B13" s="42" t="str">
        <f aca="false">IFERROR(MATCH(SMALL(tsk_PhaseKey,ROW()-ROW(RoadmapPhases[[#Headers],[_Task]])),tsk_PhaseKey,0),"")</f>
        <v/>
      </c>
      <c r="C13" s="20" t="str">
        <f aca="false">IF(RoadmapPhases[[#This Row],[_Task]]="","",INDEX(tsk_WBS,RoadmapPhases[[#This Row],[_Task]])&amp;"")</f>
        <v/>
      </c>
      <c r="D13" s="20" t="str">
        <f aca="false">IF(RoadmapPhases[[#This Row],[_Task]]="","",INDEX(tsk_Name,RoadmapPhases[[#This Row],[_Task]])&amp;"")</f>
        <v/>
      </c>
      <c r="E13" s="20" t="str">
        <f aca="false">IF(RoadmapPhases[[#This Row],[_Task]]="","",INDEX(tsk_Owner,RoadmapPhases[[#This Row],[_Task]])&amp;"")</f>
        <v/>
      </c>
      <c r="F13" s="52" t="str">
        <f aca="false">IF(RoadmapPhases[[#This Row],[_Task]]="","",IF(N(INDEX(tsk_PlanStart,RoadmapPhases[[#This Row],[_Task]]))=0,"",INDEX(tsk_PlanStart,RoadmapPhases[[#This Row],[_Task]])))</f>
        <v/>
      </c>
      <c r="G13" s="52" t="str">
        <f aca="false">IF(RoadmapPhases[[#This Row],[_Task]]="","",IF(N(INDEX(tsk_PlanFinish,RoadmapPhases[[#This Row],[_Task]]))=0,"",INDEX(tsk_PlanFinish,RoadmapPhases[[#This Row],[_Task]])))</f>
        <v/>
      </c>
      <c r="H13" s="52" t="str">
        <f aca="false">IF(RoadmapPhases[[#This Row],[_Task]]="","",IF(N(INDEX(tsk_FcStart,RoadmapPhases[[#This Row],[_Task]]))=0,"",INDEX(tsk_FcStart,RoadmapPhases[[#This Row],[_Task]])))</f>
        <v/>
      </c>
      <c r="I13" s="52" t="str">
        <f aca="false">IF(RoadmapPhases[[#This Row],[_Task]]="","",IF(N(INDEX(tsk_FcFinish,RoadmapPhases[[#This Row],[_Task]]))=0,"",INDEX(tsk_FcFinish,RoadmapPhases[[#This Row],[_Task]])))</f>
        <v/>
      </c>
      <c r="J13" s="45" t="str">
        <f aca="false">IF(RoadmapPhases[[#This Row],[_Task]]="","",INDEX(tsk_Progress,RoadmapPhases[[#This Row],[_Task]]))</f>
        <v/>
      </c>
      <c r="K13" s="44" t="str">
        <f aca="false">IF(RoadmapPhases[[#This Row],[_Task]]="","",INDEX(tsk_Variance,RoadmapPhases[[#This Row],[_Task]]))</f>
        <v/>
      </c>
      <c r="L13" s="46" t="str">
        <f aca="false">IF(RoadmapPhases[[#This Row],[_Task]]="","",COUNTIFS(tsk_Phase,RoadmapPhases[[#This Row],[WBS]],tsk_IsLeaf,1,tsk_Duration,"&gt;0",tsk_Progress,"&gt;=1")&amp;" of "&amp;COUNTIFS(tsk_Phase,RoadmapPhases[[#This Row],[WBS]],tsk_IsLeaf,1,tsk_Duration,"&gt;0")&amp;" done")</f>
        <v/>
      </c>
      <c r="M13" s="21" t="str">
        <f aca="false">IF(RoadmapPhases[[#This Row],[_Task]]="","",CHOOSE(IF(N(RoadmapPhases[[#This Row],[Finish Var]])&gt;=RAGRedSlipDays,2,IF(N(RoadmapPhases[[#This Row],[Finish Var]])&gt;=RAGAmberSlipDays,1,0))+1,"Green","Amber","Red"))</f>
        <v/>
      </c>
      <c r="N13" s="20" t="str">
        <f aca="false">IF(OR(RoadmapPhases[[#This Row],[_Task]]="",RoadmapPhases[[#This Row],[_Milestone]]=""),"",INDEX(tsk_Name,RoadmapPhases[[#This Row],[_Milestone]])&amp;" ("&amp;TEXT(INDEX(tsk_FcFinish,RoadmapPhases[[#This Row],[_Milestone]]),"dd-mmm")&amp;")")</f>
        <v/>
      </c>
      <c r="O13" s="20" t="str">
        <f aca="false">IF(RoadmapPhases[[#This Row],[_Task]]="","",HYPERLINK("#"&amp;ADDRESS(ROW(Tasks[[#Headers],[Task Name]])+RoadmapPhases[[#This Row],[_Task]],COLUMN(Tasks[[#Headers],[Task Name]]),1,1,"Tasks"),"Go to phase"))</f>
        <v/>
      </c>
      <c r="P13" s="42" t="str">
        <f aca="false">IF(RoadmapPhases[[#This Row],[_Task]]="","",IFERROR(MATCH(_xlfn.MINIFS(tsk_MilestoneKey,tsk_Phase,RoadmapPhases[[#This Row],[WBS]]),tsk_MilestoneKey,0),""))</f>
        <v/>
      </c>
    </row>
    <row r="14" customFormat="false" ht="15" hidden="false" customHeight="false" outlineLevel="0" collapsed="false">
      <c r="B14" s="42" t="str">
        <f aca="false">IFERROR(MATCH(SMALL(tsk_PhaseKey,ROW()-ROW(RoadmapPhases[[#Headers],[_Task]])),tsk_PhaseKey,0),"")</f>
        <v/>
      </c>
      <c r="C14" s="20" t="str">
        <f aca="false">IF(RoadmapPhases[[#This Row],[_Task]]="","",INDEX(tsk_WBS,RoadmapPhases[[#This Row],[_Task]])&amp;"")</f>
        <v/>
      </c>
      <c r="D14" s="20" t="str">
        <f aca="false">IF(RoadmapPhases[[#This Row],[_Task]]="","",INDEX(tsk_Name,RoadmapPhases[[#This Row],[_Task]])&amp;"")</f>
        <v/>
      </c>
      <c r="E14" s="20" t="str">
        <f aca="false">IF(RoadmapPhases[[#This Row],[_Task]]="","",INDEX(tsk_Owner,RoadmapPhases[[#This Row],[_Task]])&amp;"")</f>
        <v/>
      </c>
      <c r="F14" s="52" t="str">
        <f aca="false">IF(RoadmapPhases[[#This Row],[_Task]]="","",IF(N(INDEX(tsk_PlanStart,RoadmapPhases[[#This Row],[_Task]]))=0,"",INDEX(tsk_PlanStart,RoadmapPhases[[#This Row],[_Task]])))</f>
        <v/>
      </c>
      <c r="G14" s="52" t="str">
        <f aca="false">IF(RoadmapPhases[[#This Row],[_Task]]="","",IF(N(INDEX(tsk_PlanFinish,RoadmapPhases[[#This Row],[_Task]]))=0,"",INDEX(tsk_PlanFinish,RoadmapPhases[[#This Row],[_Task]])))</f>
        <v/>
      </c>
      <c r="H14" s="52" t="str">
        <f aca="false">IF(RoadmapPhases[[#This Row],[_Task]]="","",IF(N(INDEX(tsk_FcStart,RoadmapPhases[[#This Row],[_Task]]))=0,"",INDEX(tsk_FcStart,RoadmapPhases[[#This Row],[_Task]])))</f>
        <v/>
      </c>
      <c r="I14" s="52" t="str">
        <f aca="false">IF(RoadmapPhases[[#This Row],[_Task]]="","",IF(N(INDEX(tsk_FcFinish,RoadmapPhases[[#This Row],[_Task]]))=0,"",INDEX(tsk_FcFinish,RoadmapPhases[[#This Row],[_Task]])))</f>
        <v/>
      </c>
      <c r="J14" s="45" t="str">
        <f aca="false">IF(RoadmapPhases[[#This Row],[_Task]]="","",INDEX(tsk_Progress,RoadmapPhases[[#This Row],[_Task]]))</f>
        <v/>
      </c>
      <c r="K14" s="44" t="str">
        <f aca="false">IF(RoadmapPhases[[#This Row],[_Task]]="","",INDEX(tsk_Variance,RoadmapPhases[[#This Row],[_Task]]))</f>
        <v/>
      </c>
      <c r="L14" s="46" t="str">
        <f aca="false">IF(RoadmapPhases[[#This Row],[_Task]]="","",COUNTIFS(tsk_Phase,RoadmapPhases[[#This Row],[WBS]],tsk_IsLeaf,1,tsk_Duration,"&gt;0",tsk_Progress,"&gt;=1")&amp;" of "&amp;COUNTIFS(tsk_Phase,RoadmapPhases[[#This Row],[WBS]],tsk_IsLeaf,1,tsk_Duration,"&gt;0")&amp;" done")</f>
        <v/>
      </c>
      <c r="M14" s="21" t="str">
        <f aca="false">IF(RoadmapPhases[[#This Row],[_Task]]="","",CHOOSE(IF(N(RoadmapPhases[[#This Row],[Finish Var]])&gt;=RAGRedSlipDays,2,IF(N(RoadmapPhases[[#This Row],[Finish Var]])&gt;=RAGAmberSlipDays,1,0))+1,"Green","Amber","Red"))</f>
        <v/>
      </c>
      <c r="N14" s="20" t="str">
        <f aca="false">IF(OR(RoadmapPhases[[#This Row],[_Task]]="",RoadmapPhases[[#This Row],[_Milestone]]=""),"",INDEX(tsk_Name,RoadmapPhases[[#This Row],[_Milestone]])&amp;" ("&amp;TEXT(INDEX(tsk_FcFinish,RoadmapPhases[[#This Row],[_Milestone]]),"dd-mmm")&amp;")")</f>
        <v/>
      </c>
      <c r="O14" s="20" t="str">
        <f aca="false">IF(RoadmapPhases[[#This Row],[_Task]]="","",HYPERLINK("#"&amp;ADDRESS(ROW(Tasks[[#Headers],[Task Name]])+RoadmapPhases[[#This Row],[_Task]],COLUMN(Tasks[[#Headers],[Task Name]]),1,1,"Tasks"),"Go to phase"))</f>
        <v/>
      </c>
      <c r="P14" s="42" t="str">
        <f aca="false">IF(RoadmapPhases[[#This Row],[_Task]]="","",IFERROR(MATCH(_xlfn.MINIFS(tsk_MilestoneKey,tsk_Phase,RoadmapPhases[[#This Row],[WBS]]),tsk_MilestoneKey,0),""))</f>
        <v/>
      </c>
    </row>
    <row r="15" customFormat="false" ht="15" hidden="false" customHeight="false" outlineLevel="0" collapsed="false">
      <c r="B15" s="42" t="str">
        <f aca="false">IFERROR(MATCH(SMALL(tsk_PhaseKey,ROW()-ROW(RoadmapPhases[[#Headers],[_Task]])),tsk_PhaseKey,0),"")</f>
        <v/>
      </c>
      <c r="C15" s="20" t="str">
        <f aca="false">IF(RoadmapPhases[[#This Row],[_Task]]="","",INDEX(tsk_WBS,RoadmapPhases[[#This Row],[_Task]])&amp;"")</f>
        <v/>
      </c>
      <c r="D15" s="20" t="str">
        <f aca="false">IF(RoadmapPhases[[#This Row],[_Task]]="","",INDEX(tsk_Name,RoadmapPhases[[#This Row],[_Task]])&amp;"")</f>
        <v/>
      </c>
      <c r="E15" s="20" t="str">
        <f aca="false">IF(RoadmapPhases[[#This Row],[_Task]]="","",INDEX(tsk_Owner,RoadmapPhases[[#This Row],[_Task]])&amp;"")</f>
        <v/>
      </c>
      <c r="F15" s="52" t="str">
        <f aca="false">IF(RoadmapPhases[[#This Row],[_Task]]="","",IF(N(INDEX(tsk_PlanStart,RoadmapPhases[[#This Row],[_Task]]))=0,"",INDEX(tsk_PlanStart,RoadmapPhases[[#This Row],[_Task]])))</f>
        <v/>
      </c>
      <c r="G15" s="52" t="str">
        <f aca="false">IF(RoadmapPhases[[#This Row],[_Task]]="","",IF(N(INDEX(tsk_PlanFinish,RoadmapPhases[[#This Row],[_Task]]))=0,"",INDEX(tsk_PlanFinish,RoadmapPhases[[#This Row],[_Task]])))</f>
        <v/>
      </c>
      <c r="H15" s="52" t="str">
        <f aca="false">IF(RoadmapPhases[[#This Row],[_Task]]="","",IF(N(INDEX(tsk_FcStart,RoadmapPhases[[#This Row],[_Task]]))=0,"",INDEX(tsk_FcStart,RoadmapPhases[[#This Row],[_Task]])))</f>
        <v/>
      </c>
      <c r="I15" s="52" t="str">
        <f aca="false">IF(RoadmapPhases[[#This Row],[_Task]]="","",IF(N(INDEX(tsk_FcFinish,RoadmapPhases[[#This Row],[_Task]]))=0,"",INDEX(tsk_FcFinish,RoadmapPhases[[#This Row],[_Task]])))</f>
        <v/>
      </c>
      <c r="J15" s="45" t="str">
        <f aca="false">IF(RoadmapPhases[[#This Row],[_Task]]="","",INDEX(tsk_Progress,RoadmapPhases[[#This Row],[_Task]]))</f>
        <v/>
      </c>
      <c r="K15" s="44" t="str">
        <f aca="false">IF(RoadmapPhases[[#This Row],[_Task]]="","",INDEX(tsk_Variance,RoadmapPhases[[#This Row],[_Task]]))</f>
        <v/>
      </c>
      <c r="L15" s="46" t="str">
        <f aca="false">IF(RoadmapPhases[[#This Row],[_Task]]="","",COUNTIFS(tsk_Phase,RoadmapPhases[[#This Row],[WBS]],tsk_IsLeaf,1,tsk_Duration,"&gt;0",tsk_Progress,"&gt;=1")&amp;" of "&amp;COUNTIFS(tsk_Phase,RoadmapPhases[[#This Row],[WBS]],tsk_IsLeaf,1,tsk_Duration,"&gt;0")&amp;" done")</f>
        <v/>
      </c>
      <c r="M15" s="21" t="str">
        <f aca="false">IF(RoadmapPhases[[#This Row],[_Task]]="","",CHOOSE(IF(N(RoadmapPhases[[#This Row],[Finish Var]])&gt;=RAGRedSlipDays,2,IF(N(RoadmapPhases[[#This Row],[Finish Var]])&gt;=RAGAmberSlipDays,1,0))+1,"Green","Amber","Red"))</f>
        <v/>
      </c>
      <c r="N15" s="20" t="str">
        <f aca="false">IF(OR(RoadmapPhases[[#This Row],[_Task]]="",RoadmapPhases[[#This Row],[_Milestone]]=""),"",INDEX(tsk_Name,RoadmapPhases[[#This Row],[_Milestone]])&amp;" ("&amp;TEXT(INDEX(tsk_FcFinish,RoadmapPhases[[#This Row],[_Milestone]]),"dd-mmm")&amp;")")</f>
        <v/>
      </c>
      <c r="O15" s="20" t="str">
        <f aca="false">IF(RoadmapPhases[[#This Row],[_Task]]="","",HYPERLINK("#"&amp;ADDRESS(ROW(Tasks[[#Headers],[Task Name]])+RoadmapPhases[[#This Row],[_Task]],COLUMN(Tasks[[#Headers],[Task Name]]),1,1,"Tasks"),"Go to phase"))</f>
        <v/>
      </c>
      <c r="P15" s="42" t="str">
        <f aca="false">IF(RoadmapPhases[[#This Row],[_Task]]="","",IFERROR(MATCH(_xlfn.MINIFS(tsk_MilestoneKey,tsk_Phase,RoadmapPhases[[#This Row],[WBS]]),tsk_MilestoneKey,0),""))</f>
        <v/>
      </c>
    </row>
    <row r="16" customFormat="false" ht="15" hidden="false" customHeight="false" outlineLevel="0" collapsed="false">
      <c r="B16" s="42" t="str">
        <f aca="false">IFERROR(MATCH(SMALL(tsk_PhaseKey,ROW()-ROW(RoadmapPhases[[#Headers],[_Task]])),tsk_PhaseKey,0),"")</f>
        <v/>
      </c>
      <c r="C16" s="20" t="str">
        <f aca="false">IF(RoadmapPhases[[#This Row],[_Task]]="","",INDEX(tsk_WBS,RoadmapPhases[[#This Row],[_Task]])&amp;"")</f>
        <v/>
      </c>
      <c r="D16" s="20" t="str">
        <f aca="false">IF(RoadmapPhases[[#This Row],[_Task]]="","",INDEX(tsk_Name,RoadmapPhases[[#This Row],[_Task]])&amp;"")</f>
        <v/>
      </c>
      <c r="E16" s="20" t="str">
        <f aca="false">IF(RoadmapPhases[[#This Row],[_Task]]="","",INDEX(tsk_Owner,RoadmapPhases[[#This Row],[_Task]])&amp;"")</f>
        <v/>
      </c>
      <c r="F16" s="52" t="str">
        <f aca="false">IF(RoadmapPhases[[#This Row],[_Task]]="","",IF(N(INDEX(tsk_PlanStart,RoadmapPhases[[#This Row],[_Task]]))=0,"",INDEX(tsk_PlanStart,RoadmapPhases[[#This Row],[_Task]])))</f>
        <v/>
      </c>
      <c r="G16" s="52" t="str">
        <f aca="false">IF(RoadmapPhases[[#This Row],[_Task]]="","",IF(N(INDEX(tsk_PlanFinish,RoadmapPhases[[#This Row],[_Task]]))=0,"",INDEX(tsk_PlanFinish,RoadmapPhases[[#This Row],[_Task]])))</f>
        <v/>
      </c>
      <c r="H16" s="52" t="str">
        <f aca="false">IF(RoadmapPhases[[#This Row],[_Task]]="","",IF(N(INDEX(tsk_FcStart,RoadmapPhases[[#This Row],[_Task]]))=0,"",INDEX(tsk_FcStart,RoadmapPhases[[#This Row],[_Task]])))</f>
        <v/>
      </c>
      <c r="I16" s="52" t="str">
        <f aca="false">IF(RoadmapPhases[[#This Row],[_Task]]="","",IF(N(INDEX(tsk_FcFinish,RoadmapPhases[[#This Row],[_Task]]))=0,"",INDEX(tsk_FcFinish,RoadmapPhases[[#This Row],[_Task]])))</f>
        <v/>
      </c>
      <c r="J16" s="45" t="str">
        <f aca="false">IF(RoadmapPhases[[#This Row],[_Task]]="","",INDEX(tsk_Progress,RoadmapPhases[[#This Row],[_Task]]))</f>
        <v/>
      </c>
      <c r="K16" s="44" t="str">
        <f aca="false">IF(RoadmapPhases[[#This Row],[_Task]]="","",INDEX(tsk_Variance,RoadmapPhases[[#This Row],[_Task]]))</f>
        <v/>
      </c>
      <c r="L16" s="46" t="str">
        <f aca="false">IF(RoadmapPhases[[#This Row],[_Task]]="","",COUNTIFS(tsk_Phase,RoadmapPhases[[#This Row],[WBS]],tsk_IsLeaf,1,tsk_Duration,"&gt;0",tsk_Progress,"&gt;=1")&amp;" of "&amp;COUNTIFS(tsk_Phase,RoadmapPhases[[#This Row],[WBS]],tsk_IsLeaf,1,tsk_Duration,"&gt;0")&amp;" done")</f>
        <v/>
      </c>
      <c r="M16" s="21" t="str">
        <f aca="false">IF(RoadmapPhases[[#This Row],[_Task]]="","",CHOOSE(IF(N(RoadmapPhases[[#This Row],[Finish Var]])&gt;=RAGRedSlipDays,2,IF(N(RoadmapPhases[[#This Row],[Finish Var]])&gt;=RAGAmberSlipDays,1,0))+1,"Green","Amber","Red"))</f>
        <v/>
      </c>
      <c r="N16" s="20" t="str">
        <f aca="false">IF(OR(RoadmapPhases[[#This Row],[_Task]]="",RoadmapPhases[[#This Row],[_Milestone]]=""),"",INDEX(tsk_Name,RoadmapPhases[[#This Row],[_Milestone]])&amp;" ("&amp;TEXT(INDEX(tsk_FcFinish,RoadmapPhases[[#This Row],[_Milestone]]),"dd-mmm")&amp;")")</f>
        <v/>
      </c>
      <c r="O16" s="20" t="str">
        <f aca="false">IF(RoadmapPhases[[#This Row],[_Task]]="","",HYPERLINK("#"&amp;ADDRESS(ROW(Tasks[[#Headers],[Task Name]])+RoadmapPhases[[#This Row],[_Task]],COLUMN(Tasks[[#Headers],[Task Name]]),1,1,"Tasks"),"Go to phase"))</f>
        <v/>
      </c>
      <c r="P16" s="42" t="str">
        <f aca="false">IF(RoadmapPhases[[#This Row],[_Task]]="","",IFERROR(MATCH(_xlfn.MINIFS(tsk_MilestoneKey,tsk_Phase,RoadmapPhases[[#This Row],[WBS]]),tsk_MilestoneKey,0),""))</f>
        <v/>
      </c>
    </row>
    <row r="17" customFormat="false" ht="15" hidden="false" customHeight="false" outlineLevel="0" collapsed="false">
      <c r="B17" s="42" t="str">
        <f aca="false">IFERROR(MATCH(SMALL(tsk_PhaseKey,ROW()-ROW(RoadmapPhases[[#Headers],[_Task]])),tsk_PhaseKey,0),"")</f>
        <v/>
      </c>
      <c r="C17" s="20" t="str">
        <f aca="false">IF(RoadmapPhases[[#This Row],[_Task]]="","",INDEX(tsk_WBS,RoadmapPhases[[#This Row],[_Task]])&amp;"")</f>
        <v/>
      </c>
      <c r="D17" s="20" t="str">
        <f aca="false">IF(RoadmapPhases[[#This Row],[_Task]]="","",INDEX(tsk_Name,RoadmapPhases[[#This Row],[_Task]])&amp;"")</f>
        <v/>
      </c>
      <c r="E17" s="20" t="str">
        <f aca="false">IF(RoadmapPhases[[#This Row],[_Task]]="","",INDEX(tsk_Owner,RoadmapPhases[[#This Row],[_Task]])&amp;"")</f>
        <v/>
      </c>
      <c r="F17" s="52" t="str">
        <f aca="false">IF(RoadmapPhases[[#This Row],[_Task]]="","",IF(N(INDEX(tsk_PlanStart,RoadmapPhases[[#This Row],[_Task]]))=0,"",INDEX(tsk_PlanStart,RoadmapPhases[[#This Row],[_Task]])))</f>
        <v/>
      </c>
      <c r="G17" s="52" t="str">
        <f aca="false">IF(RoadmapPhases[[#This Row],[_Task]]="","",IF(N(INDEX(tsk_PlanFinish,RoadmapPhases[[#This Row],[_Task]]))=0,"",INDEX(tsk_PlanFinish,RoadmapPhases[[#This Row],[_Task]])))</f>
        <v/>
      </c>
      <c r="H17" s="52" t="str">
        <f aca="false">IF(RoadmapPhases[[#This Row],[_Task]]="","",IF(N(INDEX(tsk_FcStart,RoadmapPhases[[#This Row],[_Task]]))=0,"",INDEX(tsk_FcStart,RoadmapPhases[[#This Row],[_Task]])))</f>
        <v/>
      </c>
      <c r="I17" s="52" t="str">
        <f aca="false">IF(RoadmapPhases[[#This Row],[_Task]]="","",IF(N(INDEX(tsk_FcFinish,RoadmapPhases[[#This Row],[_Task]]))=0,"",INDEX(tsk_FcFinish,RoadmapPhases[[#This Row],[_Task]])))</f>
        <v/>
      </c>
      <c r="J17" s="45" t="str">
        <f aca="false">IF(RoadmapPhases[[#This Row],[_Task]]="","",INDEX(tsk_Progress,RoadmapPhases[[#This Row],[_Task]]))</f>
        <v/>
      </c>
      <c r="K17" s="44" t="str">
        <f aca="false">IF(RoadmapPhases[[#This Row],[_Task]]="","",INDEX(tsk_Variance,RoadmapPhases[[#This Row],[_Task]]))</f>
        <v/>
      </c>
      <c r="L17" s="46" t="str">
        <f aca="false">IF(RoadmapPhases[[#This Row],[_Task]]="","",COUNTIFS(tsk_Phase,RoadmapPhases[[#This Row],[WBS]],tsk_IsLeaf,1,tsk_Duration,"&gt;0",tsk_Progress,"&gt;=1")&amp;" of "&amp;COUNTIFS(tsk_Phase,RoadmapPhases[[#This Row],[WBS]],tsk_IsLeaf,1,tsk_Duration,"&gt;0")&amp;" done")</f>
        <v/>
      </c>
      <c r="M17" s="21" t="str">
        <f aca="false">IF(RoadmapPhases[[#This Row],[_Task]]="","",CHOOSE(IF(N(RoadmapPhases[[#This Row],[Finish Var]])&gt;=RAGRedSlipDays,2,IF(N(RoadmapPhases[[#This Row],[Finish Var]])&gt;=RAGAmberSlipDays,1,0))+1,"Green","Amber","Red"))</f>
        <v/>
      </c>
      <c r="N17" s="20" t="str">
        <f aca="false">IF(OR(RoadmapPhases[[#This Row],[_Task]]="",RoadmapPhases[[#This Row],[_Milestone]]=""),"",INDEX(tsk_Name,RoadmapPhases[[#This Row],[_Milestone]])&amp;" ("&amp;TEXT(INDEX(tsk_FcFinish,RoadmapPhases[[#This Row],[_Milestone]]),"dd-mmm")&amp;")")</f>
        <v/>
      </c>
      <c r="O17" s="20" t="str">
        <f aca="false">IF(RoadmapPhases[[#This Row],[_Task]]="","",HYPERLINK("#"&amp;ADDRESS(ROW(Tasks[[#Headers],[Task Name]])+RoadmapPhases[[#This Row],[_Task]],COLUMN(Tasks[[#Headers],[Task Name]]),1,1,"Tasks"),"Go to phase"))</f>
        <v/>
      </c>
      <c r="P17" s="42" t="str">
        <f aca="false">IF(RoadmapPhases[[#This Row],[_Task]]="","",IFERROR(MATCH(_xlfn.MINIFS(tsk_MilestoneKey,tsk_Phase,RoadmapPhases[[#This Row],[WBS]]),tsk_MilestoneKey,0),""))</f>
        <v/>
      </c>
    </row>
    <row r="19" customFormat="false" ht="15" hidden="false" customHeight="false" outlineLevel="0" collapsed="false">
      <c r="C19" s="28" t="str">
        <f aca="false">"Milestones (in planned order)"&amp;": "&amp;COUNT(tsk_MilestoneOrder)&amp;IF(COUNT(tsk_MilestoneOrder)&gt;ROWS(RoadmapMilestones[_Task])," (showing the first "&amp;ROWS(RoadmapMilestones[_Task])&amp;")","")</f>
        <v>Milestones (in planned order): 3</v>
      </c>
    </row>
    <row r="20" customFormat="false" ht="23.85" hidden="false" customHeight="false" outlineLevel="0" collapsed="false">
      <c r="B20" s="41" t="s">
        <v>161</v>
      </c>
      <c r="C20" s="17" t="s">
        <v>180</v>
      </c>
      <c r="D20" s="17" t="s">
        <v>189</v>
      </c>
      <c r="E20" s="17" t="s">
        <v>190</v>
      </c>
      <c r="F20" s="17" t="s">
        <v>191</v>
      </c>
      <c r="G20" s="17" t="s">
        <v>192</v>
      </c>
      <c r="H20" s="17" t="s">
        <v>168</v>
      </c>
      <c r="I20" s="17" t="s">
        <v>135</v>
      </c>
      <c r="J20" s="17" t="s">
        <v>165</v>
      </c>
    </row>
    <row r="21" customFormat="false" ht="15" hidden="false" customHeight="false" outlineLevel="0" collapsed="false">
      <c r="B21" s="42" t="n">
        <f aca="false">IFERROR(MATCH(SMALL(tsk_MilestoneOrder,ROW()-ROW(RoadmapMilestones[[#Headers],[_Task]])),tsk_MilestoneOrder,0),"")</f>
        <v>4</v>
      </c>
      <c r="C21" s="20" t="str">
        <f aca="false">IF(RoadmapMilestones[[#This Row],[_Task]]="","",INDEX(tsk_WBS,RoadmapMilestones[[#This Row],[_Task]])&amp;"")</f>
        <v>1.3</v>
      </c>
      <c r="D21" s="20" t="str">
        <f aca="false">IF(RoadmapMilestones[[#This Row],[_Task]]="","",INDEX(tsk_Name,RoadmapMilestones[[#This Row],[_Task]])&amp;"")</f>
        <v>Kickoff complete</v>
      </c>
      <c r="E21" s="52" t="n">
        <f aca="false">IF(RoadmapMilestones[[#This Row],[_Task]]="","",IF(N(INDEX(tsk_PlanFinish,RoadmapMilestones[[#This Row],[_Task]]))=0,"",INDEX(tsk_PlanFinish,RoadmapMilestones[[#This Row],[_Task]])))</f>
        <v>46276</v>
      </c>
      <c r="F21" s="52" t="str">
        <f aca="false">IF(RoadmapMilestones[[#This Row],[_Task]]="","",IF(N(INDEX(tsk_Deadline,RoadmapMilestones[[#This Row],[_Task]]))=0,"",INDEX(tsk_Deadline,RoadmapMilestones[[#This Row],[_Task]])))</f>
        <v/>
      </c>
      <c r="G21" s="52" t="n">
        <f aca="false">IF(RoadmapMilestones[[#This Row],[_Task]]="","",IF(N(INDEX(tsk_FcFinish,RoadmapMilestones[[#This Row],[_Task]]))=0,"",INDEX(tsk_FcFinish,RoadmapMilestones[[#This Row],[_Task]])))</f>
        <v>46279</v>
      </c>
      <c r="H21" s="20" t="str">
        <f aca="false">IF(RoadmapMilestones[[#This Row],[_Task]]="","",INDEX(tsk_DeadlineCheck,RoadmapMilestones[[#This Row],[_Task]])&amp;"")</f>
        <v/>
      </c>
      <c r="I21" s="20" t="str">
        <f aca="false">IF(RoadmapMilestones[[#This Row],[_Task]]="","",INDEX(tsk_Status,RoadmapMilestones[[#This Row],[_Task]])&amp;"")</f>
        <v>Complete</v>
      </c>
      <c r="J21" s="44" t="n">
        <f aca="false">IF(RoadmapMilestones[[#This Row],[_Task]]="","",INDEX(tsk_Variance,RoadmapMilestones[[#This Row],[_Task]]))</f>
        <v>1</v>
      </c>
    </row>
    <row r="22" customFormat="false" ht="15" hidden="false" customHeight="false" outlineLevel="0" collapsed="false">
      <c r="B22" s="42" t="n">
        <f aca="false">IFERROR(MATCH(SMALL(tsk_MilestoneOrder,ROW()-ROW(RoadmapMilestones[[#Headers],[_Task]])),tsk_MilestoneOrder,0),"")</f>
        <v>8</v>
      </c>
      <c r="C22" s="20" t="str">
        <f aca="false">IF(RoadmapMilestones[[#This Row],[_Task]]="","",INDEX(tsk_WBS,RoadmapMilestones[[#This Row],[_Task]])&amp;"")</f>
        <v>2.3</v>
      </c>
      <c r="D22" s="20" t="str">
        <f aca="false">IF(RoadmapMilestones[[#This Row],[_Task]]="","",INDEX(tsk_Name,RoadmapMilestones[[#This Row],[_Task]])&amp;"")</f>
        <v>Design sign-off</v>
      </c>
      <c r="E22" s="52" t="n">
        <f aca="false">IF(RoadmapMilestones[[#This Row],[_Task]]="","",IF(N(INDEX(tsk_PlanFinish,RoadmapMilestones[[#This Row],[_Task]]))=0,"",INDEX(tsk_PlanFinish,RoadmapMilestones[[#This Row],[_Task]])))</f>
        <v>46296</v>
      </c>
      <c r="F22" s="52" t="str">
        <f aca="false">IF(RoadmapMilestones[[#This Row],[_Task]]="","",IF(N(INDEX(tsk_Deadline,RoadmapMilestones[[#This Row],[_Task]]))=0,"",INDEX(tsk_Deadline,RoadmapMilestones[[#This Row],[_Task]])))</f>
        <v/>
      </c>
      <c r="G22" s="52" t="n">
        <f aca="false">IF(RoadmapMilestones[[#This Row],[_Task]]="","",IF(N(INDEX(tsk_FcFinish,RoadmapMilestones[[#This Row],[_Task]]))=0,"",INDEX(tsk_FcFinish,RoadmapMilestones[[#This Row],[_Task]])))</f>
        <v>46301</v>
      </c>
      <c r="H22" s="20" t="str">
        <f aca="false">IF(RoadmapMilestones[[#This Row],[_Task]]="","",INDEX(tsk_DeadlineCheck,RoadmapMilestones[[#This Row],[_Task]])&amp;"")</f>
        <v/>
      </c>
      <c r="I22" s="20" t="str">
        <f aca="false">IF(RoadmapMilestones[[#This Row],[_Task]]="","",INDEX(tsk_Status,RoadmapMilestones[[#This Row],[_Task]])&amp;"")</f>
        <v>Complete</v>
      </c>
      <c r="J22" s="44" t="n">
        <f aca="false">IF(RoadmapMilestones[[#This Row],[_Task]]="","",INDEX(tsk_Variance,RoadmapMilestones[[#This Row],[_Task]]))</f>
        <v>3</v>
      </c>
    </row>
    <row r="23" customFormat="false" ht="15" hidden="false" customHeight="false" outlineLevel="0" collapsed="false">
      <c r="B23" s="42" t="n">
        <f aca="false">IFERROR(MATCH(SMALL(tsk_MilestoneOrder,ROW()-ROW(RoadmapMilestones[[#Headers],[_Task]])),tsk_MilestoneOrder,0),"")</f>
        <v>12</v>
      </c>
      <c r="C23" s="20" t="str">
        <f aca="false">IF(RoadmapMilestones[[#This Row],[_Task]]="","",INDEX(tsk_WBS,RoadmapMilestones[[#This Row],[_Task]])&amp;"")</f>
        <v>3.3</v>
      </c>
      <c r="D23" s="20" t="str">
        <f aca="false">IF(RoadmapMilestones[[#This Row],[_Task]]="","",INDEX(tsk_Name,RoadmapMilestones[[#This Row],[_Task]])&amp;"")</f>
        <v>Go-live</v>
      </c>
      <c r="E23" s="52" t="n">
        <f aca="false">IF(RoadmapMilestones[[#This Row],[_Task]]="","",IF(N(INDEX(tsk_PlanFinish,RoadmapMilestones[[#This Row],[_Task]]))=0,"",INDEX(tsk_PlanFinish,RoadmapMilestones[[#This Row],[_Task]])))</f>
        <v>46318</v>
      </c>
      <c r="F23" s="52" t="n">
        <f aca="false">IF(RoadmapMilestones[[#This Row],[_Task]]="","",IF(N(INDEX(tsk_Deadline,RoadmapMilestones[[#This Row],[_Task]]))=0,"",INDEX(tsk_Deadline,RoadmapMilestones[[#This Row],[_Task]])))</f>
        <v>46374</v>
      </c>
      <c r="G23" s="52" t="n">
        <f aca="false">IF(RoadmapMilestones[[#This Row],[_Task]]="","",IF(N(INDEX(tsk_FcFinish,RoadmapMilestones[[#This Row],[_Task]]))=0,"",INDEX(tsk_FcFinish,RoadmapMilestones[[#This Row],[_Task]])))</f>
        <v>46324</v>
      </c>
      <c r="H23" s="20" t="str">
        <f aca="false">IF(RoadmapMilestones[[#This Row],[_Task]]="","",INDEX(tsk_DeadlineCheck,RoadmapMilestones[[#This Row],[_Task]])&amp;"")</f>
        <v>OK</v>
      </c>
      <c r="I23" s="20" t="str">
        <f aca="false">IF(RoadmapMilestones[[#This Row],[_Task]]="","",INDEX(tsk_Status,RoadmapMilestones[[#This Row],[_Task]])&amp;"")</f>
        <v>Late Start</v>
      </c>
      <c r="J23" s="44" t="n">
        <f aca="false">IF(RoadmapMilestones[[#This Row],[_Task]]="","",INDEX(tsk_Variance,RoadmapMilestones[[#This Row],[_Task]]))</f>
        <v>4</v>
      </c>
    </row>
    <row r="24" customFormat="false" ht="15" hidden="false" customHeight="false" outlineLevel="0" collapsed="false">
      <c r="B24" s="42" t="str">
        <f aca="false">IFERROR(MATCH(SMALL(tsk_MilestoneOrder,ROW()-ROW(RoadmapMilestones[[#Headers],[_Task]])),tsk_MilestoneOrder,0),"")</f>
        <v/>
      </c>
      <c r="C24" s="20" t="str">
        <f aca="false">IF(RoadmapMilestones[[#This Row],[_Task]]="","",INDEX(tsk_WBS,RoadmapMilestones[[#This Row],[_Task]])&amp;"")</f>
        <v/>
      </c>
      <c r="D24" s="20" t="str">
        <f aca="false">IF(RoadmapMilestones[[#This Row],[_Task]]="","",INDEX(tsk_Name,RoadmapMilestones[[#This Row],[_Task]])&amp;"")</f>
        <v/>
      </c>
      <c r="E24" s="52" t="str">
        <f aca="false">IF(RoadmapMilestones[[#This Row],[_Task]]="","",IF(N(INDEX(tsk_PlanFinish,RoadmapMilestones[[#This Row],[_Task]]))=0,"",INDEX(tsk_PlanFinish,RoadmapMilestones[[#This Row],[_Task]])))</f>
        <v/>
      </c>
      <c r="F24" s="52" t="str">
        <f aca="false">IF(RoadmapMilestones[[#This Row],[_Task]]="","",IF(N(INDEX(tsk_Deadline,RoadmapMilestones[[#This Row],[_Task]]))=0,"",INDEX(tsk_Deadline,RoadmapMilestones[[#This Row],[_Task]])))</f>
        <v/>
      </c>
      <c r="G24" s="52" t="str">
        <f aca="false">IF(RoadmapMilestones[[#This Row],[_Task]]="","",IF(N(INDEX(tsk_FcFinish,RoadmapMilestones[[#This Row],[_Task]]))=0,"",INDEX(tsk_FcFinish,RoadmapMilestones[[#This Row],[_Task]])))</f>
        <v/>
      </c>
      <c r="H24" s="20" t="str">
        <f aca="false">IF(RoadmapMilestones[[#This Row],[_Task]]="","",INDEX(tsk_DeadlineCheck,RoadmapMilestones[[#This Row],[_Task]])&amp;"")</f>
        <v/>
      </c>
      <c r="I24" s="20" t="str">
        <f aca="false">IF(RoadmapMilestones[[#This Row],[_Task]]="","",INDEX(tsk_Status,RoadmapMilestones[[#This Row],[_Task]])&amp;"")</f>
        <v/>
      </c>
      <c r="J24" s="44" t="str">
        <f aca="false">IF(RoadmapMilestones[[#This Row],[_Task]]="","",INDEX(tsk_Variance,RoadmapMilestones[[#This Row],[_Task]]))</f>
        <v/>
      </c>
    </row>
    <row r="25" customFormat="false" ht="15" hidden="false" customHeight="false" outlineLevel="0" collapsed="false">
      <c r="B25" s="42" t="str">
        <f aca="false">IFERROR(MATCH(SMALL(tsk_MilestoneOrder,ROW()-ROW(RoadmapMilestones[[#Headers],[_Task]])),tsk_MilestoneOrder,0),"")</f>
        <v/>
      </c>
      <c r="C25" s="20" t="str">
        <f aca="false">IF(RoadmapMilestones[[#This Row],[_Task]]="","",INDEX(tsk_WBS,RoadmapMilestones[[#This Row],[_Task]])&amp;"")</f>
        <v/>
      </c>
      <c r="D25" s="20" t="str">
        <f aca="false">IF(RoadmapMilestones[[#This Row],[_Task]]="","",INDEX(tsk_Name,RoadmapMilestones[[#This Row],[_Task]])&amp;"")</f>
        <v/>
      </c>
      <c r="E25" s="52" t="str">
        <f aca="false">IF(RoadmapMilestones[[#This Row],[_Task]]="","",IF(N(INDEX(tsk_PlanFinish,RoadmapMilestones[[#This Row],[_Task]]))=0,"",INDEX(tsk_PlanFinish,RoadmapMilestones[[#This Row],[_Task]])))</f>
        <v/>
      </c>
      <c r="F25" s="52" t="str">
        <f aca="false">IF(RoadmapMilestones[[#This Row],[_Task]]="","",IF(N(INDEX(tsk_Deadline,RoadmapMilestones[[#This Row],[_Task]]))=0,"",INDEX(tsk_Deadline,RoadmapMilestones[[#This Row],[_Task]])))</f>
        <v/>
      </c>
      <c r="G25" s="52" t="str">
        <f aca="false">IF(RoadmapMilestones[[#This Row],[_Task]]="","",IF(N(INDEX(tsk_FcFinish,RoadmapMilestones[[#This Row],[_Task]]))=0,"",INDEX(tsk_FcFinish,RoadmapMilestones[[#This Row],[_Task]])))</f>
        <v/>
      </c>
      <c r="H25" s="20" t="str">
        <f aca="false">IF(RoadmapMilestones[[#This Row],[_Task]]="","",INDEX(tsk_DeadlineCheck,RoadmapMilestones[[#This Row],[_Task]])&amp;"")</f>
        <v/>
      </c>
      <c r="I25" s="20" t="str">
        <f aca="false">IF(RoadmapMilestones[[#This Row],[_Task]]="","",INDEX(tsk_Status,RoadmapMilestones[[#This Row],[_Task]])&amp;"")</f>
        <v/>
      </c>
      <c r="J25" s="44" t="str">
        <f aca="false">IF(RoadmapMilestones[[#This Row],[_Task]]="","",INDEX(tsk_Variance,RoadmapMilestones[[#This Row],[_Task]]))</f>
        <v/>
      </c>
    </row>
    <row r="26" customFormat="false" ht="15" hidden="false" customHeight="false" outlineLevel="0" collapsed="false">
      <c r="B26" s="42" t="str">
        <f aca="false">IFERROR(MATCH(SMALL(tsk_MilestoneOrder,ROW()-ROW(RoadmapMilestones[[#Headers],[_Task]])),tsk_MilestoneOrder,0),"")</f>
        <v/>
      </c>
      <c r="C26" s="20" t="str">
        <f aca="false">IF(RoadmapMilestones[[#This Row],[_Task]]="","",INDEX(tsk_WBS,RoadmapMilestones[[#This Row],[_Task]])&amp;"")</f>
        <v/>
      </c>
      <c r="D26" s="20" t="str">
        <f aca="false">IF(RoadmapMilestones[[#This Row],[_Task]]="","",INDEX(tsk_Name,RoadmapMilestones[[#This Row],[_Task]])&amp;"")</f>
        <v/>
      </c>
      <c r="E26" s="52" t="str">
        <f aca="false">IF(RoadmapMilestones[[#This Row],[_Task]]="","",IF(N(INDEX(tsk_PlanFinish,RoadmapMilestones[[#This Row],[_Task]]))=0,"",INDEX(tsk_PlanFinish,RoadmapMilestones[[#This Row],[_Task]])))</f>
        <v/>
      </c>
      <c r="F26" s="52" t="str">
        <f aca="false">IF(RoadmapMilestones[[#This Row],[_Task]]="","",IF(N(INDEX(tsk_Deadline,RoadmapMilestones[[#This Row],[_Task]]))=0,"",INDEX(tsk_Deadline,RoadmapMilestones[[#This Row],[_Task]])))</f>
        <v/>
      </c>
      <c r="G26" s="52" t="str">
        <f aca="false">IF(RoadmapMilestones[[#This Row],[_Task]]="","",IF(N(INDEX(tsk_FcFinish,RoadmapMilestones[[#This Row],[_Task]]))=0,"",INDEX(tsk_FcFinish,RoadmapMilestones[[#This Row],[_Task]])))</f>
        <v/>
      </c>
      <c r="H26" s="20" t="str">
        <f aca="false">IF(RoadmapMilestones[[#This Row],[_Task]]="","",INDEX(tsk_DeadlineCheck,RoadmapMilestones[[#This Row],[_Task]])&amp;"")</f>
        <v/>
      </c>
      <c r="I26" s="20" t="str">
        <f aca="false">IF(RoadmapMilestones[[#This Row],[_Task]]="","",INDEX(tsk_Status,RoadmapMilestones[[#This Row],[_Task]])&amp;"")</f>
        <v/>
      </c>
      <c r="J26" s="44" t="str">
        <f aca="false">IF(RoadmapMilestones[[#This Row],[_Task]]="","",INDEX(tsk_Variance,RoadmapMilestones[[#This Row],[_Task]]))</f>
        <v/>
      </c>
    </row>
    <row r="27" customFormat="false" ht="15" hidden="false" customHeight="false" outlineLevel="0" collapsed="false">
      <c r="B27" s="42" t="str">
        <f aca="false">IFERROR(MATCH(SMALL(tsk_MilestoneOrder,ROW()-ROW(RoadmapMilestones[[#Headers],[_Task]])),tsk_MilestoneOrder,0),"")</f>
        <v/>
      </c>
      <c r="C27" s="20" t="str">
        <f aca="false">IF(RoadmapMilestones[[#This Row],[_Task]]="","",INDEX(tsk_WBS,RoadmapMilestones[[#This Row],[_Task]])&amp;"")</f>
        <v/>
      </c>
      <c r="D27" s="20" t="str">
        <f aca="false">IF(RoadmapMilestones[[#This Row],[_Task]]="","",INDEX(tsk_Name,RoadmapMilestones[[#This Row],[_Task]])&amp;"")</f>
        <v/>
      </c>
      <c r="E27" s="52" t="str">
        <f aca="false">IF(RoadmapMilestones[[#This Row],[_Task]]="","",IF(N(INDEX(tsk_PlanFinish,RoadmapMilestones[[#This Row],[_Task]]))=0,"",INDEX(tsk_PlanFinish,RoadmapMilestones[[#This Row],[_Task]])))</f>
        <v/>
      </c>
      <c r="F27" s="52" t="str">
        <f aca="false">IF(RoadmapMilestones[[#This Row],[_Task]]="","",IF(N(INDEX(tsk_Deadline,RoadmapMilestones[[#This Row],[_Task]]))=0,"",INDEX(tsk_Deadline,RoadmapMilestones[[#This Row],[_Task]])))</f>
        <v/>
      </c>
      <c r="G27" s="52" t="str">
        <f aca="false">IF(RoadmapMilestones[[#This Row],[_Task]]="","",IF(N(INDEX(tsk_FcFinish,RoadmapMilestones[[#This Row],[_Task]]))=0,"",INDEX(tsk_FcFinish,RoadmapMilestones[[#This Row],[_Task]])))</f>
        <v/>
      </c>
      <c r="H27" s="20" t="str">
        <f aca="false">IF(RoadmapMilestones[[#This Row],[_Task]]="","",INDEX(tsk_DeadlineCheck,RoadmapMilestones[[#This Row],[_Task]])&amp;"")</f>
        <v/>
      </c>
      <c r="I27" s="20" t="str">
        <f aca="false">IF(RoadmapMilestones[[#This Row],[_Task]]="","",INDEX(tsk_Status,RoadmapMilestones[[#This Row],[_Task]])&amp;"")</f>
        <v/>
      </c>
      <c r="J27" s="44" t="str">
        <f aca="false">IF(RoadmapMilestones[[#This Row],[_Task]]="","",INDEX(tsk_Variance,RoadmapMilestones[[#This Row],[_Task]]))</f>
        <v/>
      </c>
    </row>
    <row r="28" customFormat="false" ht="15" hidden="false" customHeight="false" outlineLevel="0" collapsed="false">
      <c r="B28" s="42" t="str">
        <f aca="false">IFERROR(MATCH(SMALL(tsk_MilestoneOrder,ROW()-ROW(RoadmapMilestones[[#Headers],[_Task]])),tsk_MilestoneOrder,0),"")</f>
        <v/>
      </c>
      <c r="C28" s="20" t="str">
        <f aca="false">IF(RoadmapMilestones[[#This Row],[_Task]]="","",INDEX(tsk_WBS,RoadmapMilestones[[#This Row],[_Task]])&amp;"")</f>
        <v/>
      </c>
      <c r="D28" s="20" t="str">
        <f aca="false">IF(RoadmapMilestones[[#This Row],[_Task]]="","",INDEX(tsk_Name,RoadmapMilestones[[#This Row],[_Task]])&amp;"")</f>
        <v/>
      </c>
      <c r="E28" s="52" t="str">
        <f aca="false">IF(RoadmapMilestones[[#This Row],[_Task]]="","",IF(N(INDEX(tsk_PlanFinish,RoadmapMilestones[[#This Row],[_Task]]))=0,"",INDEX(tsk_PlanFinish,RoadmapMilestones[[#This Row],[_Task]])))</f>
        <v/>
      </c>
      <c r="F28" s="52" t="str">
        <f aca="false">IF(RoadmapMilestones[[#This Row],[_Task]]="","",IF(N(INDEX(tsk_Deadline,RoadmapMilestones[[#This Row],[_Task]]))=0,"",INDEX(tsk_Deadline,RoadmapMilestones[[#This Row],[_Task]])))</f>
        <v/>
      </c>
      <c r="G28" s="52" t="str">
        <f aca="false">IF(RoadmapMilestones[[#This Row],[_Task]]="","",IF(N(INDEX(tsk_FcFinish,RoadmapMilestones[[#This Row],[_Task]]))=0,"",INDEX(tsk_FcFinish,RoadmapMilestones[[#This Row],[_Task]])))</f>
        <v/>
      </c>
      <c r="H28" s="20" t="str">
        <f aca="false">IF(RoadmapMilestones[[#This Row],[_Task]]="","",INDEX(tsk_DeadlineCheck,RoadmapMilestones[[#This Row],[_Task]])&amp;"")</f>
        <v/>
      </c>
      <c r="I28" s="20" t="str">
        <f aca="false">IF(RoadmapMilestones[[#This Row],[_Task]]="","",INDEX(tsk_Status,RoadmapMilestones[[#This Row],[_Task]])&amp;"")</f>
        <v/>
      </c>
      <c r="J28" s="44" t="str">
        <f aca="false">IF(RoadmapMilestones[[#This Row],[_Task]]="","",INDEX(tsk_Variance,RoadmapMilestones[[#This Row],[_Task]]))</f>
        <v/>
      </c>
    </row>
    <row r="29" customFormat="false" ht="15" hidden="false" customHeight="false" outlineLevel="0" collapsed="false">
      <c r="B29" s="42" t="str">
        <f aca="false">IFERROR(MATCH(SMALL(tsk_MilestoneOrder,ROW()-ROW(RoadmapMilestones[[#Headers],[_Task]])),tsk_MilestoneOrder,0),"")</f>
        <v/>
      </c>
      <c r="C29" s="20" t="str">
        <f aca="false">IF(RoadmapMilestones[[#This Row],[_Task]]="","",INDEX(tsk_WBS,RoadmapMilestones[[#This Row],[_Task]])&amp;"")</f>
        <v/>
      </c>
      <c r="D29" s="20" t="str">
        <f aca="false">IF(RoadmapMilestones[[#This Row],[_Task]]="","",INDEX(tsk_Name,RoadmapMilestones[[#This Row],[_Task]])&amp;"")</f>
        <v/>
      </c>
      <c r="E29" s="52" t="str">
        <f aca="false">IF(RoadmapMilestones[[#This Row],[_Task]]="","",IF(N(INDEX(tsk_PlanFinish,RoadmapMilestones[[#This Row],[_Task]]))=0,"",INDEX(tsk_PlanFinish,RoadmapMilestones[[#This Row],[_Task]])))</f>
        <v/>
      </c>
      <c r="F29" s="52" t="str">
        <f aca="false">IF(RoadmapMilestones[[#This Row],[_Task]]="","",IF(N(INDEX(tsk_Deadline,RoadmapMilestones[[#This Row],[_Task]]))=0,"",INDEX(tsk_Deadline,RoadmapMilestones[[#This Row],[_Task]])))</f>
        <v/>
      </c>
      <c r="G29" s="52" t="str">
        <f aca="false">IF(RoadmapMilestones[[#This Row],[_Task]]="","",IF(N(INDEX(tsk_FcFinish,RoadmapMilestones[[#This Row],[_Task]]))=0,"",INDEX(tsk_FcFinish,RoadmapMilestones[[#This Row],[_Task]])))</f>
        <v/>
      </c>
      <c r="H29" s="20" t="str">
        <f aca="false">IF(RoadmapMilestones[[#This Row],[_Task]]="","",INDEX(tsk_DeadlineCheck,RoadmapMilestones[[#This Row],[_Task]])&amp;"")</f>
        <v/>
      </c>
      <c r="I29" s="20" t="str">
        <f aca="false">IF(RoadmapMilestones[[#This Row],[_Task]]="","",INDEX(tsk_Status,RoadmapMilestones[[#This Row],[_Task]])&amp;"")</f>
        <v/>
      </c>
      <c r="J29" s="44" t="str">
        <f aca="false">IF(RoadmapMilestones[[#This Row],[_Task]]="","",INDEX(tsk_Variance,RoadmapMilestones[[#This Row],[_Task]]))</f>
        <v/>
      </c>
    </row>
    <row r="30" customFormat="false" ht="15" hidden="false" customHeight="false" outlineLevel="0" collapsed="false">
      <c r="B30" s="42" t="str">
        <f aca="false">IFERROR(MATCH(SMALL(tsk_MilestoneOrder,ROW()-ROW(RoadmapMilestones[[#Headers],[_Task]])),tsk_MilestoneOrder,0),"")</f>
        <v/>
      </c>
      <c r="C30" s="20" t="str">
        <f aca="false">IF(RoadmapMilestones[[#This Row],[_Task]]="","",INDEX(tsk_WBS,RoadmapMilestones[[#This Row],[_Task]])&amp;"")</f>
        <v/>
      </c>
      <c r="D30" s="20" t="str">
        <f aca="false">IF(RoadmapMilestones[[#This Row],[_Task]]="","",INDEX(tsk_Name,RoadmapMilestones[[#This Row],[_Task]])&amp;"")</f>
        <v/>
      </c>
      <c r="E30" s="52" t="str">
        <f aca="false">IF(RoadmapMilestones[[#This Row],[_Task]]="","",IF(N(INDEX(tsk_PlanFinish,RoadmapMilestones[[#This Row],[_Task]]))=0,"",INDEX(tsk_PlanFinish,RoadmapMilestones[[#This Row],[_Task]])))</f>
        <v/>
      </c>
      <c r="F30" s="52" t="str">
        <f aca="false">IF(RoadmapMilestones[[#This Row],[_Task]]="","",IF(N(INDEX(tsk_Deadline,RoadmapMilestones[[#This Row],[_Task]]))=0,"",INDEX(tsk_Deadline,RoadmapMilestones[[#This Row],[_Task]])))</f>
        <v/>
      </c>
      <c r="G30" s="52" t="str">
        <f aca="false">IF(RoadmapMilestones[[#This Row],[_Task]]="","",IF(N(INDEX(tsk_FcFinish,RoadmapMilestones[[#This Row],[_Task]]))=0,"",INDEX(tsk_FcFinish,RoadmapMilestones[[#This Row],[_Task]])))</f>
        <v/>
      </c>
      <c r="H30" s="20" t="str">
        <f aca="false">IF(RoadmapMilestones[[#This Row],[_Task]]="","",INDEX(tsk_DeadlineCheck,RoadmapMilestones[[#This Row],[_Task]])&amp;"")</f>
        <v/>
      </c>
      <c r="I30" s="20" t="str">
        <f aca="false">IF(RoadmapMilestones[[#This Row],[_Task]]="","",INDEX(tsk_Status,RoadmapMilestones[[#This Row],[_Task]])&amp;"")</f>
        <v/>
      </c>
      <c r="J30" s="44" t="str">
        <f aca="false">IF(RoadmapMilestones[[#This Row],[_Task]]="","",INDEX(tsk_Variance,RoadmapMilestones[[#This Row],[_Task]]))</f>
        <v/>
      </c>
    </row>
    <row r="31" customFormat="false" ht="15" hidden="false" customHeight="false" outlineLevel="0" collapsed="false">
      <c r="B31" s="42" t="str">
        <f aca="false">IFERROR(MATCH(SMALL(tsk_MilestoneOrder,ROW()-ROW(RoadmapMilestones[[#Headers],[_Task]])),tsk_MilestoneOrder,0),"")</f>
        <v/>
      </c>
      <c r="C31" s="20" t="str">
        <f aca="false">IF(RoadmapMilestones[[#This Row],[_Task]]="","",INDEX(tsk_WBS,RoadmapMilestones[[#This Row],[_Task]])&amp;"")</f>
        <v/>
      </c>
      <c r="D31" s="20" t="str">
        <f aca="false">IF(RoadmapMilestones[[#This Row],[_Task]]="","",INDEX(tsk_Name,RoadmapMilestones[[#This Row],[_Task]])&amp;"")</f>
        <v/>
      </c>
      <c r="E31" s="52" t="str">
        <f aca="false">IF(RoadmapMilestones[[#This Row],[_Task]]="","",IF(N(INDEX(tsk_PlanFinish,RoadmapMilestones[[#This Row],[_Task]]))=0,"",INDEX(tsk_PlanFinish,RoadmapMilestones[[#This Row],[_Task]])))</f>
        <v/>
      </c>
      <c r="F31" s="52" t="str">
        <f aca="false">IF(RoadmapMilestones[[#This Row],[_Task]]="","",IF(N(INDEX(tsk_Deadline,RoadmapMilestones[[#This Row],[_Task]]))=0,"",INDEX(tsk_Deadline,RoadmapMilestones[[#This Row],[_Task]])))</f>
        <v/>
      </c>
      <c r="G31" s="52" t="str">
        <f aca="false">IF(RoadmapMilestones[[#This Row],[_Task]]="","",IF(N(INDEX(tsk_FcFinish,RoadmapMilestones[[#This Row],[_Task]]))=0,"",INDEX(tsk_FcFinish,RoadmapMilestones[[#This Row],[_Task]])))</f>
        <v/>
      </c>
      <c r="H31" s="20" t="str">
        <f aca="false">IF(RoadmapMilestones[[#This Row],[_Task]]="","",INDEX(tsk_DeadlineCheck,RoadmapMilestones[[#This Row],[_Task]])&amp;"")</f>
        <v/>
      </c>
      <c r="I31" s="20" t="str">
        <f aca="false">IF(RoadmapMilestones[[#This Row],[_Task]]="","",INDEX(tsk_Status,RoadmapMilestones[[#This Row],[_Task]])&amp;"")</f>
        <v/>
      </c>
      <c r="J31" s="44" t="str">
        <f aca="false">IF(RoadmapMilestones[[#This Row],[_Task]]="","",INDEX(tsk_Variance,RoadmapMilestones[[#This Row],[_Task]]))</f>
        <v/>
      </c>
    </row>
    <row r="32" customFormat="false" ht="15" hidden="false" customHeight="false" outlineLevel="0" collapsed="false">
      <c r="B32" s="42" t="str">
        <f aca="false">IFERROR(MATCH(SMALL(tsk_MilestoneOrder,ROW()-ROW(RoadmapMilestones[[#Headers],[_Task]])),tsk_MilestoneOrder,0),"")</f>
        <v/>
      </c>
      <c r="C32" s="20" t="str">
        <f aca="false">IF(RoadmapMilestones[[#This Row],[_Task]]="","",INDEX(tsk_WBS,RoadmapMilestones[[#This Row],[_Task]])&amp;"")</f>
        <v/>
      </c>
      <c r="D32" s="20" t="str">
        <f aca="false">IF(RoadmapMilestones[[#This Row],[_Task]]="","",INDEX(tsk_Name,RoadmapMilestones[[#This Row],[_Task]])&amp;"")</f>
        <v/>
      </c>
      <c r="E32" s="52" t="str">
        <f aca="false">IF(RoadmapMilestones[[#This Row],[_Task]]="","",IF(N(INDEX(tsk_PlanFinish,RoadmapMilestones[[#This Row],[_Task]]))=0,"",INDEX(tsk_PlanFinish,RoadmapMilestones[[#This Row],[_Task]])))</f>
        <v/>
      </c>
      <c r="F32" s="52" t="str">
        <f aca="false">IF(RoadmapMilestones[[#This Row],[_Task]]="","",IF(N(INDEX(tsk_Deadline,RoadmapMilestones[[#This Row],[_Task]]))=0,"",INDEX(tsk_Deadline,RoadmapMilestones[[#This Row],[_Task]])))</f>
        <v/>
      </c>
      <c r="G32" s="52" t="str">
        <f aca="false">IF(RoadmapMilestones[[#This Row],[_Task]]="","",IF(N(INDEX(tsk_FcFinish,RoadmapMilestones[[#This Row],[_Task]]))=0,"",INDEX(tsk_FcFinish,RoadmapMilestones[[#This Row],[_Task]])))</f>
        <v/>
      </c>
      <c r="H32" s="20" t="str">
        <f aca="false">IF(RoadmapMilestones[[#This Row],[_Task]]="","",INDEX(tsk_DeadlineCheck,RoadmapMilestones[[#This Row],[_Task]])&amp;"")</f>
        <v/>
      </c>
      <c r="I32" s="20" t="str">
        <f aca="false">IF(RoadmapMilestones[[#This Row],[_Task]]="","",INDEX(tsk_Status,RoadmapMilestones[[#This Row],[_Task]])&amp;"")</f>
        <v/>
      </c>
      <c r="J32" s="44" t="str">
        <f aca="false">IF(RoadmapMilestones[[#This Row],[_Task]]="","",INDEX(tsk_Variance,RoadmapMilestones[[#This Row],[_Task]]))</f>
        <v/>
      </c>
    </row>
    <row r="33" customFormat="false" ht="15" hidden="false" customHeight="false" outlineLevel="0" collapsed="false">
      <c r="B33" s="42" t="str">
        <f aca="false">IFERROR(MATCH(SMALL(tsk_MilestoneOrder,ROW()-ROW(RoadmapMilestones[[#Headers],[_Task]])),tsk_MilestoneOrder,0),"")</f>
        <v/>
      </c>
      <c r="C33" s="20" t="str">
        <f aca="false">IF(RoadmapMilestones[[#This Row],[_Task]]="","",INDEX(tsk_WBS,RoadmapMilestones[[#This Row],[_Task]])&amp;"")</f>
        <v/>
      </c>
      <c r="D33" s="20" t="str">
        <f aca="false">IF(RoadmapMilestones[[#This Row],[_Task]]="","",INDEX(tsk_Name,RoadmapMilestones[[#This Row],[_Task]])&amp;"")</f>
        <v/>
      </c>
      <c r="E33" s="52" t="str">
        <f aca="false">IF(RoadmapMilestones[[#This Row],[_Task]]="","",IF(N(INDEX(tsk_PlanFinish,RoadmapMilestones[[#This Row],[_Task]]))=0,"",INDEX(tsk_PlanFinish,RoadmapMilestones[[#This Row],[_Task]])))</f>
        <v/>
      </c>
      <c r="F33" s="52" t="str">
        <f aca="false">IF(RoadmapMilestones[[#This Row],[_Task]]="","",IF(N(INDEX(tsk_Deadline,RoadmapMilestones[[#This Row],[_Task]]))=0,"",INDEX(tsk_Deadline,RoadmapMilestones[[#This Row],[_Task]])))</f>
        <v/>
      </c>
      <c r="G33" s="52" t="str">
        <f aca="false">IF(RoadmapMilestones[[#This Row],[_Task]]="","",IF(N(INDEX(tsk_FcFinish,RoadmapMilestones[[#This Row],[_Task]]))=0,"",INDEX(tsk_FcFinish,RoadmapMilestones[[#This Row],[_Task]])))</f>
        <v/>
      </c>
      <c r="H33" s="20" t="str">
        <f aca="false">IF(RoadmapMilestones[[#This Row],[_Task]]="","",INDEX(tsk_DeadlineCheck,RoadmapMilestones[[#This Row],[_Task]])&amp;"")</f>
        <v/>
      </c>
      <c r="I33" s="20" t="str">
        <f aca="false">IF(RoadmapMilestones[[#This Row],[_Task]]="","",INDEX(tsk_Status,RoadmapMilestones[[#This Row],[_Task]])&amp;"")</f>
        <v/>
      </c>
      <c r="J33" s="44" t="str">
        <f aca="false">IF(RoadmapMilestones[[#This Row],[_Task]]="","",INDEX(tsk_Variance,RoadmapMilestones[[#This Row],[_Task]]))</f>
        <v/>
      </c>
    </row>
    <row r="34" customFormat="false" ht="15" hidden="false" customHeight="false" outlineLevel="0" collapsed="false">
      <c r="B34" s="42" t="str">
        <f aca="false">IFERROR(MATCH(SMALL(tsk_MilestoneOrder,ROW()-ROW(RoadmapMilestones[[#Headers],[_Task]])),tsk_MilestoneOrder,0),"")</f>
        <v/>
      </c>
      <c r="C34" s="20" t="str">
        <f aca="false">IF(RoadmapMilestones[[#This Row],[_Task]]="","",INDEX(tsk_WBS,RoadmapMilestones[[#This Row],[_Task]])&amp;"")</f>
        <v/>
      </c>
      <c r="D34" s="20" t="str">
        <f aca="false">IF(RoadmapMilestones[[#This Row],[_Task]]="","",INDEX(tsk_Name,RoadmapMilestones[[#This Row],[_Task]])&amp;"")</f>
        <v/>
      </c>
      <c r="E34" s="52" t="str">
        <f aca="false">IF(RoadmapMilestones[[#This Row],[_Task]]="","",IF(N(INDEX(tsk_PlanFinish,RoadmapMilestones[[#This Row],[_Task]]))=0,"",INDEX(tsk_PlanFinish,RoadmapMilestones[[#This Row],[_Task]])))</f>
        <v/>
      </c>
      <c r="F34" s="52" t="str">
        <f aca="false">IF(RoadmapMilestones[[#This Row],[_Task]]="","",IF(N(INDEX(tsk_Deadline,RoadmapMilestones[[#This Row],[_Task]]))=0,"",INDEX(tsk_Deadline,RoadmapMilestones[[#This Row],[_Task]])))</f>
        <v/>
      </c>
      <c r="G34" s="52" t="str">
        <f aca="false">IF(RoadmapMilestones[[#This Row],[_Task]]="","",IF(N(INDEX(tsk_FcFinish,RoadmapMilestones[[#This Row],[_Task]]))=0,"",INDEX(tsk_FcFinish,RoadmapMilestones[[#This Row],[_Task]])))</f>
        <v/>
      </c>
      <c r="H34" s="20" t="str">
        <f aca="false">IF(RoadmapMilestones[[#This Row],[_Task]]="","",INDEX(tsk_DeadlineCheck,RoadmapMilestones[[#This Row],[_Task]])&amp;"")</f>
        <v/>
      </c>
      <c r="I34" s="20" t="str">
        <f aca="false">IF(RoadmapMilestones[[#This Row],[_Task]]="","",INDEX(tsk_Status,RoadmapMilestones[[#This Row],[_Task]])&amp;"")</f>
        <v/>
      </c>
      <c r="J34" s="44" t="str">
        <f aca="false">IF(RoadmapMilestones[[#This Row],[_Task]]="","",INDEX(tsk_Variance,RoadmapMilestones[[#This Row],[_Task]]))</f>
        <v/>
      </c>
    </row>
    <row r="35" customFormat="false" ht="15" hidden="false" customHeight="false" outlineLevel="0" collapsed="false">
      <c r="B35" s="42" t="str">
        <f aca="false">IFERROR(MATCH(SMALL(tsk_MilestoneOrder,ROW()-ROW(RoadmapMilestones[[#Headers],[_Task]])),tsk_MilestoneOrder,0),"")</f>
        <v/>
      </c>
      <c r="C35" s="20" t="str">
        <f aca="false">IF(RoadmapMilestones[[#This Row],[_Task]]="","",INDEX(tsk_WBS,RoadmapMilestones[[#This Row],[_Task]])&amp;"")</f>
        <v/>
      </c>
      <c r="D35" s="20" t="str">
        <f aca="false">IF(RoadmapMilestones[[#This Row],[_Task]]="","",INDEX(tsk_Name,RoadmapMilestones[[#This Row],[_Task]])&amp;"")</f>
        <v/>
      </c>
      <c r="E35" s="52" t="str">
        <f aca="false">IF(RoadmapMilestones[[#This Row],[_Task]]="","",IF(N(INDEX(tsk_PlanFinish,RoadmapMilestones[[#This Row],[_Task]]))=0,"",INDEX(tsk_PlanFinish,RoadmapMilestones[[#This Row],[_Task]])))</f>
        <v/>
      </c>
      <c r="F35" s="52" t="str">
        <f aca="false">IF(RoadmapMilestones[[#This Row],[_Task]]="","",IF(N(INDEX(tsk_Deadline,RoadmapMilestones[[#This Row],[_Task]]))=0,"",INDEX(tsk_Deadline,RoadmapMilestones[[#This Row],[_Task]])))</f>
        <v/>
      </c>
      <c r="G35" s="52" t="str">
        <f aca="false">IF(RoadmapMilestones[[#This Row],[_Task]]="","",IF(N(INDEX(tsk_FcFinish,RoadmapMilestones[[#This Row],[_Task]]))=0,"",INDEX(tsk_FcFinish,RoadmapMilestones[[#This Row],[_Task]])))</f>
        <v/>
      </c>
      <c r="H35" s="20" t="str">
        <f aca="false">IF(RoadmapMilestones[[#This Row],[_Task]]="","",INDEX(tsk_DeadlineCheck,RoadmapMilestones[[#This Row],[_Task]])&amp;"")</f>
        <v/>
      </c>
      <c r="I35" s="20" t="str">
        <f aca="false">IF(RoadmapMilestones[[#This Row],[_Task]]="","",INDEX(tsk_Status,RoadmapMilestones[[#This Row],[_Task]])&amp;"")</f>
        <v/>
      </c>
      <c r="J35" s="44" t="str">
        <f aca="false">IF(RoadmapMilestones[[#This Row],[_Task]]="","",INDEX(tsk_Variance,RoadmapMilestones[[#This Row],[_Task]]))</f>
        <v/>
      </c>
    </row>
    <row r="37" customFormat="false" ht="15" hidden="false" customHeight="false" outlineLevel="0" collapsed="false">
      <c r="C37" s="53"/>
      <c r="D37" s="54" t="s">
        <v>192</v>
      </c>
      <c r="E37" s="55"/>
      <c r="F37" s="54" t="s">
        <v>193</v>
      </c>
      <c r="G37" s="56"/>
      <c r="H37" s="54" t="s">
        <v>194</v>
      </c>
      <c r="I37" s="57"/>
      <c r="J37" s="54" t="s">
        <v>195</v>
      </c>
    </row>
    <row r="38" customFormat="false" ht="15" hidden="false" customHeight="false" outlineLevel="0" collapsed="false">
      <c r="C38" s="58"/>
      <c r="D38" s="54" t="s">
        <v>189</v>
      </c>
      <c r="E38" s="59"/>
      <c r="F38" s="54" t="s">
        <v>196</v>
      </c>
      <c r="G38" s="60"/>
      <c r="H38" s="54" t="s">
        <v>197</v>
      </c>
    </row>
    <row r="39" customFormat="false" ht="15" hidden="false" customHeight="false" outlineLevel="0" collapsed="false">
      <c r="C39" s="2" t="s">
        <v>198</v>
      </c>
    </row>
  </sheetData>
  <sheetProtection sheet="true" formatColumns="false" formatRows="false" sort="false" autoFilter="false"/>
  <conditionalFormatting sqref="M8:M17">
    <cfRule type="expression" priority="2" aboveAverage="0" equalAverage="0" bottom="0" percent="0" rank="0" text="" dxfId="18">
      <formula>M8="Green"</formula>
    </cfRule>
    <cfRule type="expression" priority="3" aboveAverage="0" equalAverage="0" bottom="0" percent="0" rank="0" text="" dxfId="19">
      <formula>M8="Amber"</formula>
    </cfRule>
    <cfRule type="expression" priority="4" aboveAverage="0" equalAverage="0" bottom="0" percent="0" rank="0" text="" dxfId="20">
      <formula>M8="Red"</formula>
    </cfRule>
  </conditionalFormatting>
  <conditionalFormatting sqref="R8:AI17">
    <cfRule type="expression" priority="5" aboveAverage="0" equalAverage="0" bottom="0" percent="0" rank="0" text="" dxfId="25">
      <formula>AND(AND(ISNUMBER($H8),ISNUMBER($I8),R$5&lt;=$I8,EDATE(R$5,1)&gt;$H8),N($J8)&gt;0,R$5&lt;$H8+($I8-$H8+1)*N($J8))</formula>
    </cfRule>
    <cfRule type="expression" priority="6" aboveAverage="0" equalAverage="0" bottom="0" percent="0" rank="0" text="" dxfId="26">
      <formula>AND(AND(ISNUMBER($H8),ISNUMBER($I8),R$5&lt;=$I8,EDATE(R$5,1)&gt;$H8),N($K8)&gt;0)</formula>
    </cfRule>
    <cfRule type="expression" priority="7" aboveAverage="0" equalAverage="0" bottom="0" percent="0" rank="0" text="" dxfId="27">
      <formula>AND(ISNUMBER($H8),ISNUMBER($I8),R$5&lt;=$I8,EDATE(R$5,1)&gt;$H8)</formula>
    </cfRule>
    <cfRule type="expression" priority="8" aboveAverage="0" equalAverage="0" bottom="0" percent="0" rank="0" text="" dxfId="28">
      <formula>AND(ISNUMBER($F8),ISNUMBER($G8),R$5&lt;=$G8,EDATE(R$5,1)&gt;$F8)</formula>
    </cfRule>
    <cfRule type="expression" priority="9" aboveAverage="0" equalAverage="0" bottom="0" percent="0" rank="0" text="" dxfId="29">
      <formula>AND(StatusDate&gt;=R$5,StatusDate&lt;EDATE(R$5,1))</formula>
    </cfRule>
  </conditionalFormatting>
  <conditionalFormatting sqref="R21:AI35">
    <cfRule type="expression" priority="10" aboveAverage="0" equalAverage="0" bottom="0" percent="0" rank="0" text="" dxfId="30">
      <formula>AND(AND(ISNUMBER($G21),$G21&gt;=R$5,$G21&lt;EDATE(R$5,1)),LEFT($H21,4)="Late")</formula>
    </cfRule>
    <cfRule type="expression" priority="11" aboveAverage="0" equalAverage="0" bottom="0" percent="0" rank="0" text="" dxfId="31">
      <formula>AND(ISNUMBER($G21),$G21&gt;=R$5,$G21&lt;EDATE(R$5,1))</formula>
    </cfRule>
    <cfRule type="expression" priority="12" aboveAverage="0" equalAverage="0" bottom="0" percent="0" rank="0" text="" dxfId="28">
      <formula>AND(ISNUMBER($E21),$E21&gt;=R$5,$E21&lt;EDATE(R$5,1))</formula>
    </cfRule>
    <cfRule type="expression" priority="13" aboveAverage="0" equalAverage="0" bottom="0" percent="0" rank="0" text="" dxfId="32">
      <formula>AND(ISNUMBER($F21),$F21&gt;=R$5,$F21&lt;EDATE(R$5,1))</formula>
    </cfRule>
    <cfRule type="expression" priority="14" aboveAverage="0" equalAverage="0" bottom="0" percent="0" rank="0" text="" dxfId="29">
      <formula>AND(StatusDate&gt;=R$5,StatusDate&lt;EDATE(R$5,1))</formula>
    </cfRule>
  </conditionalFormatting>
  <conditionalFormatting sqref="H21:H35">
    <cfRule type="expression" priority="15" aboveAverage="0" equalAverage="0" bottom="0" percent="0" rank="0" text="" dxfId="23">
      <formula>LEFT($H21,4)="Late"</formula>
    </cfRule>
  </conditionalFormatting>
  <printOptions headings="false" gridLines="false" gridLinesSet="true" horizontalCentered="true" verticalCentered="false"/>
  <pageMargins left="0.75" right="0.75" top="0.6" bottom="0.6" header="0.3" footer="0.3"/>
  <pageSetup paperSize="1" scale="100" fitToWidth="1" fitToHeight="1" pageOrder="downThenOver" orientation="landscape" blackAndWhite="false" draft="false" cellComments="none" horizontalDpi="300" verticalDpi="300" copies="1"/>
  <headerFooter differentFirst="false" differentOddEven="false">
    <oddHeader>&amp;L&amp;"Arial,Regular"&amp;8 &amp;A&amp;R&amp;"Arial,Regular"&amp;8 &amp;F</oddHeader>
    <oddFooter>&amp;L&amp;"Arial,Regular"&amp;8 Project Planner template 1.0&amp;R&amp;"Arial,Regular"&amp;8 Page &amp;P of &amp;N</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4" t="s">
        <v>199</v>
      </c>
    </row>
    <row r="2" customFormat="false" ht="15" hidden="false" customHeight="false" outlineLevel="0" collapsed="false">
      <c r="A2" s="2" t="s">
        <v>200</v>
      </c>
    </row>
    <row r="4" customFormat="false" ht="23.85" hidden="false" customHeight="false" outlineLevel="0" collapsed="false">
      <c r="B4" s="17" t="s">
        <v>201</v>
      </c>
      <c r="C4" s="17" t="s">
        <v>117</v>
      </c>
      <c r="D4" s="17" t="s">
        <v>202</v>
      </c>
      <c r="E4" s="17" t="s">
        <v>173</v>
      </c>
      <c r="F4" s="28" t="s">
        <v>203</v>
      </c>
      <c r="G4" s="18" t="s">
        <v>204</v>
      </c>
      <c r="I4" s="18" t="s">
        <v>205</v>
      </c>
      <c r="K4" s="18" t="s">
        <v>206</v>
      </c>
      <c r="M4" s="18" t="s">
        <v>207</v>
      </c>
      <c r="O4" s="18" t="s">
        <v>208</v>
      </c>
      <c r="Q4" s="18" t="s">
        <v>209</v>
      </c>
      <c r="S4" s="18" t="s">
        <v>210</v>
      </c>
      <c r="U4" s="18" t="s">
        <v>120</v>
      </c>
      <c r="W4" s="18" t="s">
        <v>211</v>
      </c>
      <c r="Y4" s="18" t="s">
        <v>212</v>
      </c>
      <c r="AA4" s="18" t="s">
        <v>213</v>
      </c>
      <c r="AC4" s="18" t="s">
        <v>214</v>
      </c>
      <c r="AE4" s="18" t="s">
        <v>215</v>
      </c>
      <c r="AF4" s="18" t="s">
        <v>216</v>
      </c>
      <c r="AG4" s="18" t="s">
        <v>217</v>
      </c>
      <c r="AH4" s="18" t="s">
        <v>218</v>
      </c>
      <c r="AI4" s="18" t="s">
        <v>219</v>
      </c>
      <c r="AJ4" s="18" t="s">
        <v>220</v>
      </c>
      <c r="AK4" s="18" t="s">
        <v>221</v>
      </c>
      <c r="AL4" s="18" t="s">
        <v>222</v>
      </c>
      <c r="AM4" s="18" t="s">
        <v>223</v>
      </c>
      <c r="AN4" s="18" t="s">
        <v>224</v>
      </c>
      <c r="AO4" s="18" t="s">
        <v>225</v>
      </c>
      <c r="AP4" s="18" t="s">
        <v>226</v>
      </c>
      <c r="AQ4" s="18" t="s">
        <v>227</v>
      </c>
      <c r="AR4" s="18" t="s">
        <v>228</v>
      </c>
      <c r="AS4" s="18" t="s">
        <v>229</v>
      </c>
      <c r="AT4" s="18" t="s">
        <v>230</v>
      </c>
    </row>
    <row r="5" customFormat="false" ht="15" hidden="false" customHeight="false" outlineLevel="0" collapsed="false">
      <c r="B5" s="61" t="s">
        <v>231</v>
      </c>
      <c r="C5" s="62" t="n">
        <f aca="false">MAX(1,N(ProjectStartDate))</f>
        <v>46272</v>
      </c>
      <c r="D5" s="63" t="s">
        <v>232</v>
      </c>
      <c r="E5" s="2" t="s">
        <v>233</v>
      </c>
      <c r="G5" s="23" t="s">
        <v>234</v>
      </c>
      <c r="I5" s="23" t="s">
        <v>235</v>
      </c>
      <c r="K5" s="23" t="s">
        <v>9</v>
      </c>
      <c r="M5" s="23" t="s">
        <v>236</v>
      </c>
      <c r="O5" s="23" t="s">
        <v>237</v>
      </c>
      <c r="Q5" s="23" t="s">
        <v>238</v>
      </c>
      <c r="S5" s="23" t="n">
        <v>1</v>
      </c>
      <c r="U5" s="23" t="s">
        <v>239</v>
      </c>
      <c r="W5" s="23" t="s">
        <v>240</v>
      </c>
      <c r="Y5" s="23" t="s">
        <v>241</v>
      </c>
      <c r="AA5" s="23" t="s">
        <v>242</v>
      </c>
      <c r="AC5" s="23" t="s">
        <v>243</v>
      </c>
      <c r="AE5" s="23" t="s">
        <v>12</v>
      </c>
      <c r="AF5" s="23" t="n">
        <v>14</v>
      </c>
      <c r="AG5" s="23" t="n">
        <v>3</v>
      </c>
      <c r="AH5" s="23" t="n">
        <v>10</v>
      </c>
      <c r="AI5" s="23" t="s">
        <v>148</v>
      </c>
      <c r="AJ5" s="23" t="s">
        <v>244</v>
      </c>
      <c r="AK5" s="23" t="s">
        <v>245</v>
      </c>
      <c r="AL5" s="23" t="s">
        <v>246</v>
      </c>
      <c r="AM5" s="23" t="s">
        <v>247</v>
      </c>
      <c r="AN5" s="23" t="s">
        <v>139</v>
      </c>
      <c r="AO5" s="64" t="n">
        <v>0</v>
      </c>
      <c r="AP5" s="64" t="n">
        <v>0.15</v>
      </c>
      <c r="AQ5" s="64" t="n">
        <v>0.4</v>
      </c>
      <c r="AR5" s="64" t="n">
        <v>0.7</v>
      </c>
      <c r="AS5" s="64" t="n">
        <v>0.85</v>
      </c>
      <c r="AT5" s="64" t="n">
        <v>1</v>
      </c>
    </row>
    <row r="6" customFormat="false" ht="15" hidden="false" customHeight="false" outlineLevel="0" collapsed="false">
      <c r="B6" s="61" t="s">
        <v>248</v>
      </c>
      <c r="C6" s="62" t="n">
        <f aca="false">IF(N(StatusDateInput)&gt;0,StatusDateInput,ProjectStart)</f>
        <v>46320</v>
      </c>
      <c r="D6" s="63" t="s">
        <v>249</v>
      </c>
      <c r="E6" s="2" t="s">
        <v>250</v>
      </c>
      <c r="G6" s="23" t="s">
        <v>251</v>
      </c>
      <c r="I6" s="23" t="s">
        <v>252</v>
      </c>
      <c r="K6" s="23" t="s">
        <v>253</v>
      </c>
      <c r="M6" s="23" t="s">
        <v>254</v>
      </c>
      <c r="O6" s="23" t="s">
        <v>255</v>
      </c>
      <c r="Q6" s="23" t="s">
        <v>256</v>
      </c>
      <c r="S6" s="23" t="n">
        <v>7</v>
      </c>
      <c r="U6" s="23" t="s">
        <v>257</v>
      </c>
      <c r="W6" s="23" t="s">
        <v>258</v>
      </c>
      <c r="Y6" s="23" t="s">
        <v>142</v>
      </c>
      <c r="AA6" s="23" t="s">
        <v>259</v>
      </c>
      <c r="AC6" s="23" t="s">
        <v>260</v>
      </c>
      <c r="AE6" s="23" t="s">
        <v>261</v>
      </c>
      <c r="AF6" s="23" t="n">
        <v>28</v>
      </c>
      <c r="AG6" s="23" t="n">
        <v>5</v>
      </c>
      <c r="AH6" s="23" t="n">
        <v>15</v>
      </c>
      <c r="AI6" s="23" t="s">
        <v>148</v>
      </c>
      <c r="AJ6" s="23" t="s">
        <v>262</v>
      </c>
      <c r="AK6" s="23" t="s">
        <v>263</v>
      </c>
      <c r="AL6" s="23" t="s">
        <v>264</v>
      </c>
      <c r="AM6" s="23" t="s">
        <v>265</v>
      </c>
      <c r="AN6" s="23" t="s">
        <v>139</v>
      </c>
      <c r="AO6" s="64" t="n">
        <v>0</v>
      </c>
      <c r="AP6" s="64" t="n">
        <v>0.1</v>
      </c>
      <c r="AQ6" s="64" t="n">
        <v>0.5</v>
      </c>
      <c r="AR6" s="64" t="n">
        <v>0.85</v>
      </c>
      <c r="AS6" s="64" t="n">
        <v>0.95</v>
      </c>
      <c r="AT6" s="64" t="n">
        <v>1</v>
      </c>
    </row>
    <row r="7" customFormat="false" ht="15" hidden="false" customHeight="false" outlineLevel="0" collapsed="false">
      <c r="B7" s="61" t="s">
        <v>266</v>
      </c>
      <c r="C7" s="62" t="n">
        <f aca="false">WORKDAY.INTL(StatusDate-1,1,WorkWeek,Holidays)</f>
        <v>46321</v>
      </c>
      <c r="D7" s="63" t="s">
        <v>267</v>
      </c>
      <c r="E7" s="2"/>
      <c r="G7" s="23" t="s">
        <v>268</v>
      </c>
      <c r="K7" s="23" t="s">
        <v>269</v>
      </c>
      <c r="M7" s="23" t="s">
        <v>270</v>
      </c>
      <c r="Q7" s="23" t="s">
        <v>271</v>
      </c>
      <c r="S7" s="23" t="n">
        <v>30</v>
      </c>
      <c r="U7" s="23" t="s">
        <v>272</v>
      </c>
      <c r="W7" s="23" t="s">
        <v>273</v>
      </c>
      <c r="Y7" s="23" t="s">
        <v>274</v>
      </c>
      <c r="AA7" s="23" t="s">
        <v>275</v>
      </c>
      <c r="AC7" s="23" t="s">
        <v>259</v>
      </c>
      <c r="AE7" s="23" t="s">
        <v>276</v>
      </c>
      <c r="AF7" s="23" t="n">
        <v>14</v>
      </c>
      <c r="AG7" s="23" t="n">
        <v>2</v>
      </c>
      <c r="AH7" s="23" t="n">
        <v>5</v>
      </c>
      <c r="AI7" s="23" t="s">
        <v>148</v>
      </c>
      <c r="AJ7" s="23" t="s">
        <v>244</v>
      </c>
      <c r="AK7" s="23" t="s">
        <v>277</v>
      </c>
      <c r="AL7" s="23" t="s">
        <v>278</v>
      </c>
      <c r="AM7" s="23" t="s">
        <v>279</v>
      </c>
      <c r="AN7" s="23" t="s">
        <v>139</v>
      </c>
      <c r="AO7" s="64" t="n">
        <v>0</v>
      </c>
      <c r="AP7" s="64" t="n">
        <v>0.15</v>
      </c>
      <c r="AQ7" s="64" t="n">
        <v>0.5</v>
      </c>
      <c r="AR7" s="64" t="n">
        <v>0.8</v>
      </c>
      <c r="AS7" s="64" t="n">
        <v>0.95</v>
      </c>
      <c r="AT7" s="64" t="n">
        <v>1</v>
      </c>
    </row>
    <row r="8" customFormat="false" ht="15" hidden="false" customHeight="false" outlineLevel="0" collapsed="false">
      <c r="B8" s="61" t="s">
        <v>280</v>
      </c>
      <c r="C8" s="6" t="s">
        <v>237</v>
      </c>
      <c r="D8" s="63" t="s">
        <v>281</v>
      </c>
      <c r="E8" s="2" t="s">
        <v>282</v>
      </c>
      <c r="G8" s="23" t="s">
        <v>283</v>
      </c>
      <c r="K8" s="23" t="s">
        <v>284</v>
      </c>
      <c r="M8" s="23" t="s">
        <v>285</v>
      </c>
      <c r="S8" s="23" t="n">
        <v>91</v>
      </c>
      <c r="W8" s="23" t="s">
        <v>286</v>
      </c>
      <c r="AA8" s="23" t="s">
        <v>287</v>
      </c>
      <c r="AC8" s="23" t="s">
        <v>275</v>
      </c>
      <c r="AE8" s="23"/>
      <c r="AF8" s="23"/>
      <c r="AG8" s="23"/>
      <c r="AH8" s="23"/>
      <c r="AI8" s="23"/>
      <c r="AJ8" s="23"/>
      <c r="AK8" s="23"/>
      <c r="AL8" s="23"/>
      <c r="AM8" s="23"/>
      <c r="AN8" s="23"/>
      <c r="AO8" s="64"/>
      <c r="AP8" s="64"/>
      <c r="AQ8" s="64"/>
      <c r="AR8" s="64"/>
      <c r="AS8" s="64"/>
      <c r="AT8" s="64"/>
    </row>
    <row r="9" customFormat="false" ht="15" hidden="false" customHeight="false" outlineLevel="0" collapsed="false">
      <c r="B9" s="61" t="s">
        <v>288</v>
      </c>
      <c r="C9" s="64" t="n">
        <v>1</v>
      </c>
      <c r="D9" s="63" t="s">
        <v>289</v>
      </c>
      <c r="E9" s="2" t="s">
        <v>290</v>
      </c>
      <c r="M9" s="23" t="s">
        <v>291</v>
      </c>
      <c r="W9" s="23" t="s">
        <v>292</v>
      </c>
      <c r="AC9" s="23" t="s">
        <v>293</v>
      </c>
      <c r="AE9" s="23"/>
      <c r="AF9" s="23"/>
      <c r="AG9" s="23"/>
      <c r="AH9" s="23"/>
      <c r="AI9" s="23"/>
      <c r="AJ9" s="23"/>
      <c r="AK9" s="23"/>
      <c r="AL9" s="23"/>
      <c r="AM9" s="23"/>
      <c r="AN9" s="23"/>
      <c r="AO9" s="64"/>
      <c r="AP9" s="64"/>
      <c r="AQ9" s="64"/>
      <c r="AR9" s="64"/>
      <c r="AS9" s="64"/>
      <c r="AT9" s="64"/>
    </row>
    <row r="10" customFormat="false" ht="15" hidden="false" customHeight="false" outlineLevel="0" collapsed="false">
      <c r="B10" s="61" t="s">
        <v>294</v>
      </c>
      <c r="C10" s="6" t="s">
        <v>237</v>
      </c>
      <c r="D10" s="63" t="s">
        <v>295</v>
      </c>
      <c r="E10" s="2" t="s">
        <v>296</v>
      </c>
      <c r="M10" s="23" t="s">
        <v>297</v>
      </c>
      <c r="W10" s="23" t="s">
        <v>298</v>
      </c>
      <c r="AE10" s="23"/>
      <c r="AF10" s="23"/>
      <c r="AG10" s="23"/>
      <c r="AH10" s="23"/>
      <c r="AI10" s="23"/>
      <c r="AJ10" s="23"/>
      <c r="AK10" s="23"/>
      <c r="AL10" s="23"/>
      <c r="AM10" s="23"/>
      <c r="AN10" s="23"/>
      <c r="AO10" s="64"/>
      <c r="AP10" s="64"/>
      <c r="AQ10" s="64"/>
      <c r="AR10" s="64"/>
      <c r="AS10" s="64"/>
      <c r="AT10" s="64"/>
    </row>
    <row r="11" customFormat="false" ht="15" hidden="false" customHeight="false" outlineLevel="0" collapsed="false">
      <c r="B11" s="61" t="s">
        <v>299</v>
      </c>
      <c r="C11" s="6" t="s">
        <v>237</v>
      </c>
      <c r="D11" s="63" t="s">
        <v>300</v>
      </c>
      <c r="E11" s="2"/>
      <c r="M11" s="23" t="s">
        <v>301</v>
      </c>
    </row>
    <row r="12" customFormat="false" ht="15" hidden="false" customHeight="false" outlineLevel="0" collapsed="false">
      <c r="B12" s="61" t="s">
        <v>302</v>
      </c>
      <c r="C12" s="6" t="s">
        <v>237</v>
      </c>
      <c r="D12" s="63" t="s">
        <v>303</v>
      </c>
      <c r="E12" s="2"/>
      <c r="M12" s="23" t="s">
        <v>304</v>
      </c>
    </row>
    <row r="13" customFormat="false" ht="15" hidden="false" customHeight="false" outlineLevel="0" collapsed="false">
      <c r="B13" s="61" t="s">
        <v>305</v>
      </c>
      <c r="C13" s="6" t="s">
        <v>237</v>
      </c>
      <c r="D13" s="63" t="s">
        <v>306</v>
      </c>
      <c r="E13" s="2"/>
    </row>
    <row r="14" customFormat="false" ht="15" hidden="false" customHeight="false" outlineLevel="0" collapsed="false">
      <c r="B14" s="61" t="s">
        <v>307</v>
      </c>
      <c r="C14" s="6" t="s">
        <v>237</v>
      </c>
      <c r="D14" s="63" t="s">
        <v>308</v>
      </c>
      <c r="E14" s="2"/>
      <c r="G14" s="2" t="s">
        <v>309</v>
      </c>
    </row>
    <row r="15" customFormat="false" ht="15" hidden="false" customHeight="false" outlineLevel="0" collapsed="false">
      <c r="B15" s="61" t="s">
        <v>310</v>
      </c>
      <c r="C15" s="6" t="s">
        <v>255</v>
      </c>
      <c r="D15" s="63" t="s">
        <v>311</v>
      </c>
      <c r="E15" s="2"/>
    </row>
    <row r="16" customFormat="false" ht="15" hidden="false" customHeight="false" outlineLevel="0" collapsed="false">
      <c r="B16" s="61" t="s">
        <v>312</v>
      </c>
      <c r="C16" s="6" t="s">
        <v>255</v>
      </c>
      <c r="D16" s="63" t="s">
        <v>313</v>
      </c>
      <c r="E16" s="2"/>
    </row>
    <row r="17" customFormat="false" ht="15" hidden="false" customHeight="false" outlineLevel="0" collapsed="false">
      <c r="B17" s="61" t="s">
        <v>314</v>
      </c>
      <c r="C17" s="65" t="str">
        <f aca="false">IF(WorkingWeek="Mon-Fri","0000011",IF(WorkingWeek="Sun-Thu","0000110",IF(WorkingWeek="Mon-Sat","0000001",IF(WorkMon="Yes","0","1")&amp;IF(WorkTue="Yes","0","1")&amp;IF(WorkWed="Yes","0","1")&amp;IF(WorkThu="Yes","0","1")&amp;IF(WorkFri="Yes","0","1")&amp;IF(WorkSat="Yes","0","1")&amp;IF(WorkSun="Yes","0","1"))))</f>
        <v>0000011</v>
      </c>
      <c r="D17" s="63" t="s">
        <v>315</v>
      </c>
      <c r="E17" s="2" t="s">
        <v>316</v>
      </c>
    </row>
    <row r="18" customFormat="false" ht="15" hidden="false" customHeight="false" outlineLevel="0" collapsed="false">
      <c r="B18" s="61" t="s">
        <v>317</v>
      </c>
      <c r="C18" s="7" t="n">
        <f aca="false">MAX(ProjectStart,StatusDate-14)</f>
        <v>46306</v>
      </c>
      <c r="D18" s="63" t="s">
        <v>318</v>
      </c>
      <c r="E18" s="2" t="s">
        <v>319</v>
      </c>
    </row>
    <row r="19" customFormat="false" ht="15" hidden="false" customHeight="false" outlineLevel="0" collapsed="false">
      <c r="B19" s="61" t="s">
        <v>320</v>
      </c>
      <c r="C19" s="7" t="n">
        <f aca="false">ViewFrom-WEEKDAY(ViewFrom,3)</f>
        <v>46300</v>
      </c>
      <c r="D19" s="63" t="s">
        <v>321</v>
      </c>
      <c r="E19" s="2" t="s">
        <v>322</v>
      </c>
    </row>
    <row r="20" customFormat="false" ht="15" hidden="false" customHeight="false" outlineLevel="0" collapsed="false">
      <c r="B20" s="61" t="s">
        <v>323</v>
      </c>
      <c r="C20" s="66" t="n">
        <v>1</v>
      </c>
      <c r="D20" s="63" t="s">
        <v>324</v>
      </c>
      <c r="E20" s="2" t="s">
        <v>325</v>
      </c>
    </row>
    <row r="21" customFormat="false" ht="15" hidden="false" customHeight="false" outlineLevel="0" collapsed="false">
      <c r="B21" s="61" t="s">
        <v>326</v>
      </c>
      <c r="C21" s="66" t="n">
        <v>9</v>
      </c>
      <c r="D21" s="63" t="s">
        <v>327</v>
      </c>
      <c r="E21" s="2" t="s">
        <v>328</v>
      </c>
    </row>
    <row r="22" customFormat="false" ht="15" hidden="false" customHeight="false" outlineLevel="0" collapsed="false">
      <c r="B22" s="61" t="s">
        <v>329</v>
      </c>
      <c r="C22" s="6" t="s">
        <v>237</v>
      </c>
      <c r="D22" s="63" t="s">
        <v>330</v>
      </c>
      <c r="E22" s="2" t="s">
        <v>331</v>
      </c>
    </row>
    <row r="23" customFormat="false" ht="15" hidden="false" customHeight="false" outlineLevel="0" collapsed="false">
      <c r="B23" s="61" t="s">
        <v>332</v>
      </c>
      <c r="C23" s="67" t="n">
        <f aca="false">DATE(YEAR(ProjectStart),MONTH(ProjectStart),1)</f>
        <v>46266</v>
      </c>
      <c r="D23" s="63" t="s">
        <v>333</v>
      </c>
      <c r="E23" s="2" t="s">
        <v>334</v>
      </c>
    </row>
    <row r="24" customFormat="false" ht="15" hidden="false" customHeight="false" outlineLevel="0" collapsed="false">
      <c r="B24" s="61" t="s">
        <v>335</v>
      </c>
      <c r="C24" s="64" t="n">
        <v>0.8</v>
      </c>
      <c r="D24" s="63" t="s">
        <v>336</v>
      </c>
      <c r="E24" s="2" t="s">
        <v>337</v>
      </c>
    </row>
    <row r="25" customFormat="false" ht="15" hidden="false" customHeight="false" outlineLevel="0" collapsed="false">
      <c r="B25" s="61" t="s">
        <v>338</v>
      </c>
      <c r="C25" s="68" t="n">
        <f aca="false">MAX(tsk_People)</f>
        <v>2</v>
      </c>
      <c r="D25" s="63" t="s">
        <v>339</v>
      </c>
      <c r="E25" s="2" t="s">
        <v>340</v>
      </c>
    </row>
    <row r="26" customFormat="false" ht="15" hidden="false" customHeight="false" outlineLevel="0" collapsed="false">
      <c r="B26" s="61" t="s">
        <v>341</v>
      </c>
      <c r="C26" s="66" t="n">
        <v>0</v>
      </c>
      <c r="D26" s="63" t="s">
        <v>342</v>
      </c>
      <c r="E26" s="2" t="s">
        <v>343</v>
      </c>
    </row>
    <row r="27" customFormat="false" ht="15" hidden="false" customHeight="false" outlineLevel="0" collapsed="false">
      <c r="B27" s="61" t="s">
        <v>344</v>
      </c>
      <c r="C27" s="62" t="n">
        <f aca="false">MAX(tsk_LeafFcstFinish)</f>
        <v>46324</v>
      </c>
      <c r="D27" s="63" t="s">
        <v>345</v>
      </c>
      <c r="E27" s="2" t="s">
        <v>346</v>
      </c>
    </row>
    <row r="28" customFormat="false" ht="15" hidden="false" customHeight="false" outlineLevel="0" collapsed="false">
      <c r="B28" s="61" t="s">
        <v>347</v>
      </c>
      <c r="C28" s="62" t="n">
        <f aca="false">MAX(tsk_PlanFinish)</f>
        <v>46318</v>
      </c>
      <c r="D28" s="63" t="s">
        <v>348</v>
      </c>
      <c r="E28" s="2" t="s">
        <v>349</v>
      </c>
    </row>
    <row r="29" customFormat="false" ht="15" hidden="false" customHeight="false" outlineLevel="0" collapsed="false">
      <c r="B29" s="61" t="s">
        <v>350</v>
      </c>
      <c r="C29" s="65" t="n">
        <f aca="false">COUNT(tsk_BaseStart)&gt;0</f>
        <v>1</v>
      </c>
      <c r="D29" s="63" t="s">
        <v>351</v>
      </c>
      <c r="E29" s="2" t="s">
        <v>352</v>
      </c>
    </row>
    <row r="30" customFormat="false" ht="15" hidden="false" customHeight="false" outlineLevel="0" collapsed="false">
      <c r="B30" s="61" t="s">
        <v>353</v>
      </c>
      <c r="C30" s="69" t="n">
        <f aca="false">IF(ProjectFinish&gt;=PlannedFinish,NETWORKDAYS.INTL(PlannedFinish,ProjectFinish,WorkWeek,Holidays)-1,1-NETWORKDAYS.INTL(ProjectFinish,PlannedFinish,WorkWeek,Holidays))</f>
        <v>4</v>
      </c>
      <c r="D30" s="63" t="s">
        <v>354</v>
      </c>
      <c r="E30" s="2" t="s">
        <v>355</v>
      </c>
    </row>
    <row r="31" customFormat="false" ht="15" hidden="false" customHeight="false" outlineLevel="0" collapsed="false">
      <c r="B31" s="61" t="s">
        <v>356</v>
      </c>
      <c r="C31" s="66" t="n">
        <v>10</v>
      </c>
      <c r="D31" s="63" t="s">
        <v>357</v>
      </c>
      <c r="E31" s="2" t="s">
        <v>358</v>
      </c>
    </row>
    <row r="32" customFormat="false" ht="15" hidden="false" customHeight="false" outlineLevel="0" collapsed="false">
      <c r="B32" s="61" t="s">
        <v>359</v>
      </c>
      <c r="C32" s="62" t="n">
        <f aca="false">WORKDAY.INTL(StatusDate-1,LookaheadDays,WorkWeek,Holidays)</f>
        <v>46332</v>
      </c>
      <c r="D32" s="63" t="s">
        <v>360</v>
      </c>
      <c r="E32" s="2"/>
    </row>
    <row r="33" customFormat="false" ht="15" hidden="false" customHeight="false" outlineLevel="0" collapsed="false">
      <c r="B33" s="61" t="s">
        <v>361</v>
      </c>
      <c r="C33" s="66" t="n">
        <f aca="false">IFERROR(INDEX(ProjectPresets[Amber Slip],MATCH(ProjectType,ProjectPresets[Project Type],0)),3)</f>
        <v>3</v>
      </c>
      <c r="D33" s="63" t="s">
        <v>362</v>
      </c>
      <c r="E33" s="2" t="s">
        <v>363</v>
      </c>
    </row>
    <row r="34" customFormat="false" ht="15" hidden="false" customHeight="false" outlineLevel="0" collapsed="false">
      <c r="B34" s="61" t="s">
        <v>364</v>
      </c>
      <c r="C34" s="66" t="n">
        <f aca="false">IFERROR(INDEX(ProjectPresets[Red Slip],MATCH(ProjectType,ProjectPresets[Project Type],0)),10)</f>
        <v>10</v>
      </c>
      <c r="D34" s="63" t="s">
        <v>365</v>
      </c>
      <c r="E34" s="2" t="s">
        <v>366</v>
      </c>
    </row>
    <row r="35" customFormat="false" ht="15" hidden="false" customHeight="false" outlineLevel="0" collapsed="false">
      <c r="B35" s="61" t="s">
        <v>367</v>
      </c>
      <c r="C35" s="70" t="n">
        <v>0.95</v>
      </c>
      <c r="D35" s="63" t="s">
        <v>368</v>
      </c>
      <c r="E35" s="2" t="s">
        <v>369</v>
      </c>
    </row>
    <row r="36" customFormat="false" ht="15" hidden="false" customHeight="false" outlineLevel="0" collapsed="false">
      <c r="B36" s="61" t="s">
        <v>370</v>
      </c>
      <c r="C36" s="70" t="n">
        <v>0.85</v>
      </c>
      <c r="D36" s="63" t="s">
        <v>371</v>
      </c>
      <c r="E36" s="2"/>
    </row>
    <row r="37" customFormat="false" ht="15" hidden="false" customHeight="false" outlineLevel="0" collapsed="false">
      <c r="B37" s="61" t="s">
        <v>372</v>
      </c>
      <c r="C37" s="66" t="n">
        <v>15</v>
      </c>
      <c r="D37" s="63" t="s">
        <v>373</v>
      </c>
      <c r="E37" s="2" t="s">
        <v>374</v>
      </c>
    </row>
    <row r="38" customFormat="false" ht="15" hidden="false" customHeight="false" outlineLevel="0" collapsed="false">
      <c r="B38" s="61" t="s">
        <v>375</v>
      </c>
      <c r="C38" s="66" t="n">
        <v>8</v>
      </c>
      <c r="D38" s="63" t="s">
        <v>376</v>
      </c>
      <c r="E38" s="2"/>
    </row>
    <row r="39" customFormat="false" ht="15" hidden="false" customHeight="false" outlineLevel="0" collapsed="false">
      <c r="B39" s="61" t="s">
        <v>377</v>
      </c>
      <c r="C39" s="7" t="n">
        <f aca="false">MAX(2,ViewFrom-WEEKDAY(ViewFrom,3))</f>
        <v>46300</v>
      </c>
      <c r="D39" s="63" t="s">
        <v>378</v>
      </c>
      <c r="E39" s="2" t="s">
        <v>379</v>
      </c>
    </row>
    <row r="40" customFormat="false" ht="15" hidden="false" customHeight="false" outlineLevel="0" collapsed="false">
      <c r="B40" s="61" t="s">
        <v>380</v>
      </c>
      <c r="C40" s="68" t="n">
        <f aca="false">MAX(tsk_UID)+1</f>
        <v>214</v>
      </c>
      <c r="D40" s="63" t="s">
        <v>381</v>
      </c>
      <c r="E40" s="2" t="s">
        <v>382</v>
      </c>
    </row>
    <row r="41" customFormat="false" ht="15" hidden="false" customHeight="false" outlineLevel="0" collapsed="false">
      <c r="B41" s="61" t="s">
        <v>383</v>
      </c>
      <c r="C41" s="6" t="s">
        <v>255</v>
      </c>
      <c r="D41" s="63" t="s">
        <v>384</v>
      </c>
      <c r="E41" s="2" t="s">
        <v>385</v>
      </c>
    </row>
    <row r="42" customFormat="false" ht="15" hidden="false" customHeight="false" outlineLevel="0" collapsed="false">
      <c r="B42" s="61" t="s">
        <v>386</v>
      </c>
      <c r="C42" s="68" t="n">
        <f aca="false">COUNTIF(tsk_Issues,"*is used twice*")</f>
        <v>0</v>
      </c>
      <c r="D42" s="63" t="s">
        <v>387</v>
      </c>
      <c r="E42" s="2" t="s">
        <v>388</v>
      </c>
    </row>
    <row r="43" customFormat="false" ht="15" hidden="false" customHeight="false" outlineLevel="0" collapsed="false">
      <c r="B43" s="61" t="s">
        <v>389</v>
      </c>
      <c r="C43" s="68" t="n">
        <f aca="false">COUNTIF(tsk_Issues,"No UID*")</f>
        <v>0</v>
      </c>
      <c r="D43" s="63" t="s">
        <v>390</v>
      </c>
      <c r="E43" s="2" t="s">
        <v>391</v>
      </c>
    </row>
    <row r="45" customFormat="false" ht="15" hidden="false" customHeight="false" outlineLevel="0" collapsed="false">
      <c r="B45" s="28" t="s">
        <v>392</v>
      </c>
    </row>
    <row r="46" customFormat="false" ht="15" hidden="false" customHeight="false" outlineLevel="0" collapsed="false">
      <c r="B46" s="18" t="s">
        <v>393</v>
      </c>
      <c r="C46" s="18" t="s">
        <v>394</v>
      </c>
    </row>
    <row r="47" customFormat="false" ht="15" hidden="false" customHeight="false" outlineLevel="0" collapsed="false">
      <c r="B47" s="23" t="str">
        <f aca="false">IFERROR(INDEX(ProjectPresets[[Stage 1]:[Stage 6]],MATCH(ProjectType,ProjectPresets[Project Type],0),ROW()-ROW(StageTable[[#Headers],[Stage]]))&amp;"","")</f>
        <v>Not Started</v>
      </c>
      <c r="C47" s="64" t="n">
        <f aca="false">N(IFERROR(INDEX(ProjectPresets[[% 1]:[% 6]],MATCH(ProjectType,ProjectPresets[Project Type],0),ROW()-ROW(StageTable[[#Headers],[Stage]])),0))</f>
        <v>0</v>
      </c>
    </row>
    <row r="48" customFormat="false" ht="15" hidden="false" customHeight="false" outlineLevel="0" collapsed="false">
      <c r="B48" s="23" t="str">
        <f aca="false">IFERROR(INDEX(ProjectPresets[[Stage 1]:[Stage 6]],MATCH(ProjectType,ProjectPresets[Project Type],0),ROW()-ROW(StageTable[[#Headers],[Stage]]))&amp;"","")</f>
        <v>Design</v>
      </c>
      <c r="C48" s="64" t="n">
        <f aca="false">N(IFERROR(INDEX(ProjectPresets[[% 1]:[% 6]],MATCH(ProjectType,ProjectPresets[Project Type],0),ROW()-ROW(StageTable[[#Headers],[Stage]])),0))</f>
        <v>0.15</v>
      </c>
    </row>
    <row r="49" customFormat="false" ht="15" hidden="false" customHeight="false" outlineLevel="0" collapsed="false">
      <c r="B49" s="23" t="str">
        <f aca="false">IFERROR(INDEX(ProjectPresets[[Stage 1]:[Stage 6]],MATCH(ProjectType,ProjectPresets[Project Type],0),ROW()-ROW(StageTable[[#Headers],[Stage]]))&amp;"","")</f>
        <v>In Development</v>
      </c>
      <c r="C49" s="64" t="n">
        <f aca="false">N(IFERROR(INDEX(ProjectPresets[[% 1]:[% 6]],MATCH(ProjectType,ProjectPresets[Project Type],0),ROW()-ROW(StageTable[[#Headers],[Stage]])),0))</f>
        <v>0.4</v>
      </c>
    </row>
    <row r="50" customFormat="false" ht="15" hidden="false" customHeight="false" outlineLevel="0" collapsed="false">
      <c r="B50" s="23" t="str">
        <f aca="false">IFERROR(INDEX(ProjectPresets[[Stage 1]:[Stage 6]],MATCH(ProjectType,ProjectPresets[Project Type],0),ROW()-ROW(StageTable[[#Headers],[Stage]]))&amp;"","")</f>
        <v>Test Ready</v>
      </c>
      <c r="C50" s="64" t="n">
        <f aca="false">N(IFERROR(INDEX(ProjectPresets[[% 1]:[% 6]],MATCH(ProjectType,ProjectPresets[Project Type],0),ROW()-ROW(StageTable[[#Headers],[Stage]])),0))</f>
        <v>0.7</v>
      </c>
    </row>
    <row r="51" customFormat="false" ht="15" hidden="false" customHeight="false" outlineLevel="0" collapsed="false">
      <c r="B51" s="23" t="str">
        <f aca="false">IFERROR(INDEX(ProjectPresets[[Stage 1]:[Stage 6]],MATCH(ProjectType,ProjectPresets[Project Type],0),ROW()-ROW(StageTable[[#Headers],[Stage]]))&amp;"","")</f>
        <v>In Testing</v>
      </c>
      <c r="C51" s="64" t="n">
        <f aca="false">N(IFERROR(INDEX(ProjectPresets[[% 1]:[% 6]],MATCH(ProjectType,ProjectPresets[Project Type],0),ROW()-ROW(StageTable[[#Headers],[Stage]])),0))</f>
        <v>0.85</v>
      </c>
    </row>
    <row r="52" customFormat="false" ht="15" hidden="false" customHeight="false" outlineLevel="0" collapsed="false">
      <c r="B52" s="23" t="str">
        <f aca="false">IFERROR(INDEX(ProjectPresets[[Stage 1]:[Stage 6]],MATCH(ProjectType,ProjectPresets[Project Type],0),ROW()-ROW(StageTable[[#Headers],[Stage]]))&amp;"","")</f>
        <v>Complete</v>
      </c>
      <c r="C52" s="64" t="n">
        <f aca="false">N(IFERROR(INDEX(ProjectPresets[[% 1]:[% 6]],MATCH(ProjectType,ProjectPresets[Project Type],0),ROW()-ROW(StageTable[[#Headers],[Stage]])),0))</f>
        <v>1</v>
      </c>
    </row>
    <row r="54" customFormat="false" ht="15" hidden="false" customHeight="false" outlineLevel="0" collapsed="false">
      <c r="B54" s="28" t="s">
        <v>395</v>
      </c>
    </row>
    <row r="55" customFormat="false" ht="15" hidden="false" customHeight="false" outlineLevel="0" collapsed="false">
      <c r="B55" s="18" t="s">
        <v>396</v>
      </c>
      <c r="C55" s="18" t="s">
        <v>397</v>
      </c>
    </row>
    <row r="56" customFormat="false" ht="15" hidden="false" customHeight="false" outlineLevel="0" collapsed="false">
      <c r="B56" s="7" t="n">
        <v>46380</v>
      </c>
      <c r="C56" s="23" t="s">
        <v>398</v>
      </c>
    </row>
    <row r="57" customFormat="false" ht="15" hidden="false" customHeight="false" outlineLevel="0" collapsed="false">
      <c r="B57" s="7" t="n">
        <v>46381</v>
      </c>
      <c r="C57" s="23" t="s">
        <v>399</v>
      </c>
    </row>
    <row r="58" customFormat="false" ht="15" hidden="false" customHeight="false" outlineLevel="0" collapsed="false">
      <c r="B58" s="7" t="n">
        <v>46387</v>
      </c>
      <c r="C58" s="23" t="s">
        <v>400</v>
      </c>
    </row>
    <row r="59" customFormat="false" ht="15" hidden="false" customHeight="false" outlineLevel="0" collapsed="false">
      <c r="B59" s="7" t="n">
        <v>46388</v>
      </c>
      <c r="C59" s="23" t="s">
        <v>401</v>
      </c>
    </row>
    <row r="60" customFormat="false" ht="15" hidden="false" customHeight="false" outlineLevel="0" collapsed="false">
      <c r="B60" s="7"/>
      <c r="C60" s="23"/>
    </row>
    <row r="61" customFormat="false" ht="15" hidden="false" customHeight="false" outlineLevel="0" collapsed="false">
      <c r="B61" s="7"/>
      <c r="C61" s="23"/>
    </row>
    <row r="62" customFormat="false" ht="15" hidden="false" customHeight="false" outlineLevel="0" collapsed="false">
      <c r="B62" s="7"/>
      <c r="C62" s="23"/>
    </row>
    <row r="63" customFormat="false" ht="15" hidden="false" customHeight="false" outlineLevel="0" collapsed="false">
      <c r="B63" s="7"/>
      <c r="C63" s="23"/>
    </row>
    <row r="64" customFormat="false" ht="15" hidden="false" customHeight="false" outlineLevel="0" collapsed="false">
      <c r="B64" s="7"/>
      <c r="C64" s="23"/>
    </row>
    <row r="65" customFormat="false" ht="15" hidden="false" customHeight="false" outlineLevel="0" collapsed="false">
      <c r="B65" s="7"/>
      <c r="C65" s="23"/>
    </row>
    <row r="66" customFormat="false" ht="15" hidden="false" customHeight="false" outlineLevel="0" collapsed="false">
      <c r="B66" s="7"/>
      <c r="C66" s="23"/>
    </row>
    <row r="67" customFormat="false" ht="15" hidden="false" customHeight="false" outlineLevel="0" collapsed="false">
      <c r="B67" s="7"/>
      <c r="C67" s="23"/>
    </row>
    <row r="68" customFormat="false" ht="15" hidden="false" customHeight="false" outlineLevel="0" collapsed="false">
      <c r="B68" s="7"/>
      <c r="C68" s="23"/>
    </row>
    <row r="69" customFormat="false" ht="15" hidden="false" customHeight="false" outlineLevel="0" collapsed="false">
      <c r="B69" s="7"/>
      <c r="C69" s="23"/>
    </row>
    <row r="70" customFormat="false" ht="15" hidden="false" customHeight="false" outlineLevel="0" collapsed="false">
      <c r="B70" s="7"/>
      <c r="C70" s="23"/>
    </row>
    <row r="71" customFormat="false" ht="15" hidden="false" customHeight="false" outlineLevel="0" collapsed="false">
      <c r="B71" s="7"/>
      <c r="C71" s="23"/>
    </row>
    <row r="72" customFormat="false" ht="15" hidden="false" customHeight="false" outlineLevel="0" collapsed="false">
      <c r="B72" s="7"/>
      <c r="C72" s="23"/>
    </row>
    <row r="73" customFormat="false" ht="15" hidden="false" customHeight="false" outlineLevel="0" collapsed="false">
      <c r="B73" s="7"/>
      <c r="C73" s="23"/>
    </row>
    <row r="74" customFormat="false" ht="15" hidden="false" customHeight="false" outlineLevel="0" collapsed="false">
      <c r="B74" s="7"/>
      <c r="C74" s="23"/>
    </row>
    <row r="75" customFormat="false" ht="15" hidden="false" customHeight="false" outlineLevel="0" collapsed="false">
      <c r="B75" s="7"/>
      <c r="C75" s="23"/>
    </row>
    <row r="76" customFormat="false" ht="15" hidden="false" customHeight="false" outlineLevel="0" collapsed="false">
      <c r="B76" s="7"/>
      <c r="C76" s="23"/>
    </row>
    <row r="77" customFormat="false" ht="15" hidden="false" customHeight="false" outlineLevel="0" collapsed="false">
      <c r="B77" s="7"/>
      <c r="C77" s="23"/>
    </row>
    <row r="78" customFormat="false" ht="15" hidden="false" customHeight="false" outlineLevel="0" collapsed="false">
      <c r="B78" s="7"/>
      <c r="C78" s="23"/>
    </row>
    <row r="79" customFormat="false" ht="15" hidden="false" customHeight="false" outlineLevel="0" collapsed="false">
      <c r="B79" s="7"/>
      <c r="C79" s="23"/>
    </row>
    <row r="80" customFormat="false" ht="15" hidden="false" customHeight="false" outlineLevel="0" collapsed="false">
      <c r="B80" s="7"/>
      <c r="C80" s="23"/>
    </row>
    <row r="81" customFormat="false" ht="15" hidden="false" customHeight="false" outlineLevel="0" collapsed="false">
      <c r="B81" s="7"/>
      <c r="C81" s="23"/>
    </row>
    <row r="82" customFormat="false" ht="15" hidden="false" customHeight="false" outlineLevel="0" collapsed="false">
      <c r="B82" s="7"/>
      <c r="C82" s="23"/>
    </row>
    <row r="83" customFormat="false" ht="15" hidden="false" customHeight="false" outlineLevel="0" collapsed="false">
      <c r="B83" s="7"/>
      <c r="C83" s="23"/>
    </row>
    <row r="84" customFormat="false" ht="15" hidden="false" customHeight="false" outlineLevel="0" collapsed="false">
      <c r="B84" s="7"/>
      <c r="C84" s="23"/>
    </row>
    <row r="85" customFormat="false" ht="15" hidden="false" customHeight="false" outlineLevel="0" collapsed="false">
      <c r="B85" s="7"/>
      <c r="C85" s="23"/>
    </row>
    <row r="86" customFormat="false" ht="15" hidden="false" customHeight="false" outlineLevel="0" collapsed="false">
      <c r="B86" s="7"/>
      <c r="C86" s="23"/>
    </row>
    <row r="87" customFormat="false" ht="15" hidden="false" customHeight="false" outlineLevel="0" collapsed="false">
      <c r="B87" s="7"/>
      <c r="C87" s="23"/>
    </row>
    <row r="88" customFormat="false" ht="15" hidden="false" customHeight="false" outlineLevel="0" collapsed="false">
      <c r="B88" s="7"/>
      <c r="C88" s="23"/>
    </row>
    <row r="89" customFormat="false" ht="15" hidden="false" customHeight="false" outlineLevel="0" collapsed="false">
      <c r="B89" s="7"/>
      <c r="C89" s="23"/>
    </row>
    <row r="90" customFormat="false" ht="15" hidden="false" customHeight="false" outlineLevel="0" collapsed="false">
      <c r="B90" s="7"/>
      <c r="C90" s="23"/>
    </row>
    <row r="91" customFormat="false" ht="15" hidden="false" customHeight="false" outlineLevel="0" collapsed="false">
      <c r="B91" s="7"/>
      <c r="C91" s="23"/>
    </row>
    <row r="92" customFormat="false" ht="15" hidden="false" customHeight="false" outlineLevel="0" collapsed="false">
      <c r="B92" s="7"/>
      <c r="C92" s="23"/>
    </row>
    <row r="93" customFormat="false" ht="15" hidden="false" customHeight="false" outlineLevel="0" collapsed="false">
      <c r="B93" s="7"/>
      <c r="C93" s="23"/>
    </row>
    <row r="94" customFormat="false" ht="15" hidden="false" customHeight="false" outlineLevel="0" collapsed="false">
      <c r="B94" s="7"/>
      <c r="C94" s="23"/>
    </row>
    <row r="95" customFormat="false" ht="15" hidden="false" customHeight="false" outlineLevel="0" collapsed="false">
      <c r="B95" s="7"/>
      <c r="C95" s="23"/>
    </row>
    <row r="96" customFormat="false" ht="15" hidden="false" customHeight="false" outlineLevel="0" collapsed="false">
      <c r="B96" s="7"/>
      <c r="C96" s="23"/>
    </row>
    <row r="97" customFormat="false" ht="15" hidden="false" customHeight="false" outlineLevel="0" collapsed="false">
      <c r="B97" s="7"/>
      <c r="C97" s="23"/>
    </row>
    <row r="98" customFormat="false" ht="15" hidden="false" customHeight="false" outlineLevel="0" collapsed="false">
      <c r="B98" s="7"/>
      <c r="C98" s="23"/>
    </row>
    <row r="99" customFormat="false" ht="15" hidden="false" customHeight="false" outlineLevel="0" collapsed="false">
      <c r="B99" s="7"/>
      <c r="C99" s="23"/>
    </row>
    <row r="100" customFormat="false" ht="15" hidden="false" customHeight="false" outlineLevel="0" collapsed="false">
      <c r="B100" s="7"/>
      <c r="C100" s="23"/>
    </row>
    <row r="101" customFormat="false" ht="15" hidden="false" customHeight="false" outlineLevel="0" collapsed="false">
      <c r="B101" s="7"/>
      <c r="C101" s="23"/>
    </row>
    <row r="102" customFormat="false" ht="15" hidden="false" customHeight="false" outlineLevel="0" collapsed="false">
      <c r="B102" s="7"/>
      <c r="C102" s="23"/>
    </row>
    <row r="103" customFormat="false" ht="15" hidden="false" customHeight="false" outlineLevel="0" collapsed="false">
      <c r="B103" s="7"/>
      <c r="C103" s="23"/>
    </row>
    <row r="104" customFormat="false" ht="15" hidden="false" customHeight="false" outlineLevel="0" collapsed="false">
      <c r="B104" s="7"/>
      <c r="C104" s="23"/>
    </row>
    <row r="105" customFormat="false" ht="15" hidden="false" customHeight="false" outlineLevel="0" collapsed="false">
      <c r="B105" s="7"/>
      <c r="C105" s="23"/>
    </row>
    <row r="106" customFormat="false" ht="15" hidden="false" customHeight="false" outlineLevel="0" collapsed="false">
      <c r="B106" s="7"/>
      <c r="C106" s="23"/>
    </row>
    <row r="107" customFormat="false" ht="15" hidden="false" customHeight="false" outlineLevel="0" collapsed="false">
      <c r="B107" s="7"/>
      <c r="C107" s="23"/>
    </row>
    <row r="108" customFormat="false" ht="15" hidden="false" customHeight="false" outlineLevel="0" collapsed="false">
      <c r="B108" s="7"/>
      <c r="C108" s="23"/>
    </row>
    <row r="109" customFormat="false" ht="15" hidden="false" customHeight="false" outlineLevel="0" collapsed="false">
      <c r="B109" s="7"/>
      <c r="C109" s="23"/>
    </row>
    <row r="110" customFormat="false" ht="15" hidden="false" customHeight="false" outlineLevel="0" collapsed="false">
      <c r="B110" s="7"/>
      <c r="C110" s="23"/>
    </row>
    <row r="111" customFormat="false" ht="15" hidden="false" customHeight="false" outlineLevel="0" collapsed="false">
      <c r="B111" s="7"/>
      <c r="C111" s="23"/>
    </row>
    <row r="112" customFormat="false" ht="15" hidden="false" customHeight="false" outlineLevel="0" collapsed="false">
      <c r="B112" s="7"/>
      <c r="C112" s="23"/>
    </row>
    <row r="113" customFormat="false" ht="15" hidden="false" customHeight="false" outlineLevel="0" collapsed="false">
      <c r="B113" s="7"/>
      <c r="C113" s="23"/>
    </row>
    <row r="114" customFormat="false" ht="15" hidden="false" customHeight="false" outlineLevel="0" collapsed="false">
      <c r="B114" s="7"/>
      <c r="C114" s="23"/>
    </row>
    <row r="115" customFormat="false" ht="15" hidden="false" customHeight="false" outlineLevel="0" collapsed="false">
      <c r="B115" s="7"/>
      <c r="C115" s="23"/>
    </row>
    <row r="116" customFormat="false" ht="15" hidden="false" customHeight="false" outlineLevel="0" collapsed="false">
      <c r="B116" s="7"/>
      <c r="C116" s="23"/>
    </row>
    <row r="117" customFormat="false" ht="15" hidden="false" customHeight="false" outlineLevel="0" collapsed="false">
      <c r="B117" s="7"/>
      <c r="C117" s="23"/>
    </row>
    <row r="118" customFormat="false" ht="15" hidden="false" customHeight="false" outlineLevel="0" collapsed="false">
      <c r="B118" s="7"/>
      <c r="C118" s="23"/>
    </row>
    <row r="119" customFormat="false" ht="15" hidden="false" customHeight="false" outlineLevel="0" collapsed="false">
      <c r="B119" s="7"/>
      <c r="C119" s="23"/>
    </row>
    <row r="120" customFormat="false" ht="15" hidden="false" customHeight="false" outlineLevel="0" collapsed="false">
      <c r="B120" s="7"/>
      <c r="C120" s="23"/>
    </row>
    <row r="121" customFormat="false" ht="15" hidden="false" customHeight="false" outlineLevel="0" collapsed="false">
      <c r="B121" s="7"/>
      <c r="C121" s="23"/>
    </row>
    <row r="122" customFormat="false" ht="15" hidden="false" customHeight="false" outlineLevel="0" collapsed="false">
      <c r="B122" s="7"/>
      <c r="C122" s="23"/>
    </row>
    <row r="123" customFormat="false" ht="15" hidden="false" customHeight="false" outlineLevel="0" collapsed="false">
      <c r="B123" s="7"/>
      <c r="C123" s="23"/>
    </row>
    <row r="124" customFormat="false" ht="15" hidden="false" customHeight="false" outlineLevel="0" collapsed="false">
      <c r="B124" s="7"/>
      <c r="C124" s="23"/>
    </row>
    <row r="125" customFormat="false" ht="15" hidden="false" customHeight="false" outlineLevel="0" collapsed="false">
      <c r="B125" s="7"/>
      <c r="C125" s="23"/>
    </row>
    <row r="126" customFormat="false" ht="15" hidden="false" customHeight="false" outlineLevel="0" collapsed="false">
      <c r="B126" s="7"/>
      <c r="C126" s="23"/>
    </row>
    <row r="127" customFormat="false" ht="15" hidden="false" customHeight="false" outlineLevel="0" collapsed="false">
      <c r="B127" s="7"/>
      <c r="C127" s="23"/>
    </row>
    <row r="128" customFormat="false" ht="15" hidden="false" customHeight="false" outlineLevel="0" collapsed="false">
      <c r="B128" s="7"/>
      <c r="C128" s="23"/>
    </row>
    <row r="129" customFormat="false" ht="15" hidden="false" customHeight="false" outlineLevel="0" collapsed="false">
      <c r="B129" s="7"/>
      <c r="C129" s="23"/>
    </row>
    <row r="130" customFormat="false" ht="15" hidden="false" customHeight="false" outlineLevel="0" collapsed="false">
      <c r="B130" s="7"/>
      <c r="C130" s="23"/>
    </row>
    <row r="131" customFormat="false" ht="15" hidden="false" customHeight="false" outlineLevel="0" collapsed="false">
      <c r="B131" s="7"/>
      <c r="C131" s="23"/>
    </row>
    <row r="132" customFormat="false" ht="15" hidden="false" customHeight="false" outlineLevel="0" collapsed="false">
      <c r="B132" s="7"/>
      <c r="C132" s="23"/>
    </row>
    <row r="133" customFormat="false" ht="15" hidden="false" customHeight="false" outlineLevel="0" collapsed="false">
      <c r="B133" s="7"/>
      <c r="C133" s="23"/>
    </row>
    <row r="134" customFormat="false" ht="15" hidden="false" customHeight="false" outlineLevel="0" collapsed="false">
      <c r="B134" s="7"/>
      <c r="C134" s="23"/>
    </row>
    <row r="135" customFormat="false" ht="15" hidden="false" customHeight="false" outlineLevel="0" collapsed="false">
      <c r="B135" s="7"/>
      <c r="C135" s="23"/>
    </row>
    <row r="136" customFormat="false" ht="15" hidden="false" customHeight="false" outlineLevel="0" collapsed="false">
      <c r="B136" s="7"/>
      <c r="C136" s="23"/>
    </row>
    <row r="137" customFormat="false" ht="15" hidden="false" customHeight="false" outlineLevel="0" collapsed="false">
      <c r="B137" s="7"/>
      <c r="C137" s="23"/>
    </row>
    <row r="138" customFormat="false" ht="15" hidden="false" customHeight="false" outlineLevel="0" collapsed="false">
      <c r="B138" s="7"/>
      <c r="C138" s="23"/>
    </row>
    <row r="139" customFormat="false" ht="15" hidden="false" customHeight="false" outlineLevel="0" collapsed="false">
      <c r="B139" s="7"/>
      <c r="C139" s="23"/>
    </row>
    <row r="140" customFormat="false" ht="15" hidden="false" customHeight="false" outlineLevel="0" collapsed="false">
      <c r="B140" s="7"/>
      <c r="C140" s="23"/>
    </row>
    <row r="141" customFormat="false" ht="15" hidden="false" customHeight="false" outlineLevel="0" collapsed="false">
      <c r="B141" s="7"/>
      <c r="C141" s="23"/>
    </row>
    <row r="142" customFormat="false" ht="15" hidden="false" customHeight="false" outlineLevel="0" collapsed="false">
      <c r="B142" s="7"/>
      <c r="C142" s="23"/>
    </row>
    <row r="143" customFormat="false" ht="15" hidden="false" customHeight="false" outlineLevel="0" collapsed="false">
      <c r="B143" s="7"/>
      <c r="C143" s="23"/>
    </row>
    <row r="144" customFormat="false" ht="15" hidden="false" customHeight="false" outlineLevel="0" collapsed="false">
      <c r="B144" s="7"/>
      <c r="C144" s="23"/>
    </row>
    <row r="145" customFormat="false" ht="15" hidden="false" customHeight="false" outlineLevel="0" collapsed="false">
      <c r="B145" s="7"/>
      <c r="C145" s="23"/>
    </row>
    <row r="146" customFormat="false" ht="15" hidden="false" customHeight="false" outlineLevel="0" collapsed="false">
      <c r="B146" s="7"/>
      <c r="C146" s="23"/>
    </row>
    <row r="147" customFormat="false" ht="15" hidden="false" customHeight="false" outlineLevel="0" collapsed="false">
      <c r="B147" s="7"/>
      <c r="C147" s="23"/>
    </row>
    <row r="148" customFormat="false" ht="15" hidden="false" customHeight="false" outlineLevel="0" collapsed="false">
      <c r="B148" s="7"/>
      <c r="C148" s="23"/>
    </row>
    <row r="149" customFormat="false" ht="15" hidden="false" customHeight="false" outlineLevel="0" collapsed="false">
      <c r="B149" s="7"/>
      <c r="C149" s="23"/>
    </row>
    <row r="150" customFormat="false" ht="15" hidden="false" customHeight="false" outlineLevel="0" collapsed="false">
      <c r="B150" s="7"/>
      <c r="C150" s="23"/>
    </row>
    <row r="151" customFormat="false" ht="15" hidden="false" customHeight="false" outlineLevel="0" collapsed="false">
      <c r="B151" s="7"/>
      <c r="C151" s="23"/>
    </row>
    <row r="152" customFormat="false" ht="15" hidden="false" customHeight="false" outlineLevel="0" collapsed="false">
      <c r="B152" s="7"/>
      <c r="C152" s="23"/>
    </row>
    <row r="153" customFormat="false" ht="15" hidden="false" customHeight="false" outlineLevel="0" collapsed="false">
      <c r="B153" s="7"/>
      <c r="C153" s="23"/>
    </row>
    <row r="154" customFormat="false" ht="15" hidden="false" customHeight="false" outlineLevel="0" collapsed="false">
      <c r="B154" s="7"/>
      <c r="C154" s="23"/>
    </row>
    <row r="155" customFormat="false" ht="15" hidden="false" customHeight="false" outlineLevel="0" collapsed="false">
      <c r="B155" s="7"/>
      <c r="C155" s="23"/>
    </row>
  </sheetData>
  <dataValidations count="3">
    <dataValidation allowBlank="false" errorStyle="stop" operator="between" showDropDown="false" showErrorMessage="false" showInputMessage="false" sqref="C8 C10:C16 C22 C41"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M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1"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8" min="7" style="0" width="6"/>
    <col collapsed="false" customWidth="true" hidden="true" outlineLevel="1" max="9" min="9" style="0" width="16"/>
    <col collapsed="false" customWidth="true" hidden="true" outlineLevel="1" max="11" min="10" style="0" width="6"/>
    <col collapsed="false" customWidth="true" hidden="true" outlineLevel="1" max="12" min="12" style="0" width="16"/>
    <col collapsed="false" customWidth="true" hidden="true" outlineLevel="1" max="14" min="13" style="0" width="6"/>
    <col collapsed="false" customWidth="true" hidden="true" outlineLevel="1" max="15" min="15" style="0" width="16"/>
    <col collapsed="false" customWidth="true" hidden="true" outlineLevel="1" max="17" min="16" style="0" width="6"/>
    <col collapsed="false" customWidth="true" hidden="true" outlineLevel="1" max="18" min="18" style="0" width="16"/>
    <col collapsed="false" customWidth="true" hidden="false" outlineLevel="0" max="19" min="19" style="0" width="18"/>
    <col collapsed="false" customWidth="true" hidden="false" outlineLevel="0" max="20" min="20" style="0" width="7"/>
    <col collapsed="false" customWidth="true" hidden="true" outlineLevel="1" max="21" min="21" style="0" width="18"/>
    <col collapsed="false" customWidth="true" hidden="true" outlineLevel="1" max="22" min="22" style="0" width="7"/>
    <col collapsed="false" customWidth="true" hidden="true" outlineLevel="1" max="23" min="23" style="0" width="18"/>
    <col collapsed="false" customWidth="true" hidden="true" outlineLevel="1" max="24" min="24" style="0" width="7"/>
    <col collapsed="false" customWidth="true" hidden="true" outlineLevel="1" max="25" min="25" style="0" width="18"/>
    <col collapsed="false" customWidth="true" hidden="true" outlineLevel="1" max="26" min="26" style="0" width="7"/>
    <col collapsed="false" customWidth="true" hidden="true" outlineLevel="1" max="27" min="27" style="0" width="20"/>
    <col collapsed="false" customWidth="true" hidden="false" outlineLevel="0" max="28" min="28" style="0" width="14"/>
    <col collapsed="false" customWidth="true" hidden="false" outlineLevel="0" max="32" min="29" style="0" width="15"/>
    <col collapsed="false" customWidth="true" hidden="true" outlineLevel="0" max="33" min="33" style="0" width="10"/>
    <col collapsed="false" customWidth="true" hidden="false" outlineLevel="0" max="34" min="34" style="0" width="40"/>
    <col collapsed="false" customWidth="true" hidden="false" outlineLevel="0" max="35" min="35" style="0" width="34"/>
    <col collapsed="false" customWidth="true" hidden="false" outlineLevel="0" max="36" min="36" style="0" width="15"/>
    <col collapsed="false" customWidth="true" hidden="true" outlineLevel="1" max="37" min="37" style="0" width="8"/>
    <col collapsed="false" customWidth="true" hidden="true" outlineLevel="1" max="38" min="38" style="0" width="20"/>
    <col collapsed="false" customWidth="true" hidden="true" outlineLevel="1" max="39" min="39" style="0" width="15"/>
    <col collapsed="false" customWidth="true" hidden="false" outlineLevel="0" max="40" min="40" style="0" width="8"/>
    <col collapsed="false" customWidth="true" hidden="true" outlineLevel="1" max="41" min="41" style="0" width="12"/>
    <col collapsed="false" customWidth="true" hidden="true" outlineLevel="1" max="42" min="42" style="0" width="8"/>
    <col collapsed="false" customWidth="true" hidden="true" outlineLevel="1" max="44" min="43" style="0" width="15"/>
    <col collapsed="false" customWidth="true" hidden="true" outlineLevel="1" max="45" min="45" style="0" width="8"/>
    <col collapsed="false" customWidth="true" hidden="true" outlineLevel="1" max="47" min="46" style="0" width="15"/>
    <col collapsed="false" customWidth="true" hidden="true" outlineLevel="1" max="49" min="48" style="0" width="8"/>
    <col collapsed="false" customWidth="true" hidden="true" outlineLevel="1" max="50" min="50" style="0" width="12"/>
    <col collapsed="false" customWidth="true" hidden="true" outlineLevel="1" max="51" min="51" style="0" width="24"/>
    <col collapsed="false" customWidth="true" hidden="true" outlineLevel="1" max="53" min="52" style="0" width="9"/>
    <col collapsed="false" customWidth="true" hidden="true" outlineLevel="1" max="54" min="54" style="0" width="14"/>
    <col collapsed="false" customWidth="true" hidden="true" outlineLevel="1" max="55" min="55" style="0" width="8"/>
    <col collapsed="false" customWidth="true" hidden="true" outlineLevel="1" max="56" min="56" style="0" width="6"/>
    <col collapsed="false" customWidth="true" hidden="false" outlineLevel="0" max="57" min="57" style="0" width="9"/>
    <col collapsed="false" customWidth="true" hidden="true" outlineLevel="1" max="58" min="58" style="0" width="16"/>
    <col collapsed="false" customWidth="true" hidden="true" outlineLevel="1" max="59" min="59" style="0" width="22"/>
    <col collapsed="false" customWidth="true" hidden="true" outlineLevel="1" max="60" min="60" style="0" width="9"/>
    <col collapsed="false" customWidth="true" hidden="false" outlineLevel="0" max="61" min="61" style="0" width="8"/>
    <col collapsed="false" customWidth="true" hidden="true" outlineLevel="1" max="62" min="62" style="0" width="11"/>
    <col collapsed="false" customWidth="true" hidden="false" outlineLevel="0" max="63" min="63" style="0" width="9"/>
    <col collapsed="false" customWidth="true" hidden="true" outlineLevel="1" max="64" min="64" style="0" width="9"/>
    <col collapsed="false" customWidth="true" hidden="true" outlineLevel="1" max="66" min="65" style="0" width="15"/>
    <col collapsed="false" customWidth="true" hidden="true" outlineLevel="1" max="68" min="67" style="0" width="9"/>
    <col collapsed="false" customWidth="true" hidden="true" outlineLevel="1" max="70" min="69" style="0" width="15"/>
    <col collapsed="false" customWidth="true" hidden="true" outlineLevel="1" max="72" min="71" style="0" width="9"/>
    <col collapsed="false" customWidth="true" hidden="true" outlineLevel="2" max="206" min="73" style="0" width="11"/>
    <col collapsed="false" customWidth="true" hidden="false" outlineLevel="0" max="207" min="207" style="0" width="1"/>
    <col collapsed="false" customWidth="true" hidden="false" outlineLevel="0" max="357" min="208" style="0" width="2.9"/>
  </cols>
  <sheetData>
    <row r="1" customFormat="false" ht="19.7" hidden="false" customHeight="false" outlineLevel="0" collapsed="false">
      <c r="A1" s="14" t="str">
        <f aca="false">ProjectName&amp;"  -  Task Entry"</f>
        <v>Customer Portal Implementation  -  Task Entry</v>
      </c>
      <c r="GZ1" s="71"/>
      <c r="HA1" s="72" t="s">
        <v>195</v>
      </c>
      <c r="HK1" s="55"/>
      <c r="HL1" s="72" t="s">
        <v>402</v>
      </c>
      <c r="HV1" s="73"/>
      <c r="HW1" s="72" t="s">
        <v>403</v>
      </c>
      <c r="IG1" s="74"/>
      <c r="IH1" s="72" t="s">
        <v>404</v>
      </c>
      <c r="IR1" s="56"/>
      <c r="IS1" s="72" t="s">
        <v>405</v>
      </c>
      <c r="JC1" s="75"/>
      <c r="JD1" s="72" t="s">
        <v>406</v>
      </c>
    </row>
    <row r="2" customFormat="false" ht="15" hidden="false" customHeight="false" outlineLevel="0" collapsed="false">
      <c r="A2" s="2" t="s">
        <v>407</v>
      </c>
      <c r="GZ2" s="76"/>
      <c r="HA2" s="72" t="s">
        <v>408</v>
      </c>
      <c r="HK2" s="58"/>
      <c r="HL2" s="72" t="s">
        <v>409</v>
      </c>
      <c r="HV2" s="59"/>
      <c r="HW2" s="72" t="s">
        <v>191</v>
      </c>
      <c r="IG2" s="77"/>
      <c r="IH2" s="72" t="s">
        <v>410</v>
      </c>
      <c r="IR2" s="78"/>
      <c r="IS2" s="72" t="s">
        <v>411</v>
      </c>
    </row>
    <row r="3" customFormat="false" ht="15" hidden="false" customHeight="false" outlineLevel="0" collapsed="false">
      <c r="A3" s="28" t="str">
        <f aca="false">"Next free UID for a new row: "&amp;NextFreeUID</f>
        <v>Next free UID for a new row: 214</v>
      </c>
      <c r="AA3" s="79" t="s">
        <v>412</v>
      </c>
      <c r="G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T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U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V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W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X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Y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Z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A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B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C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D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E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F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G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H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I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J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K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L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MM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N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MO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P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MQ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MR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MS3" s="80"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8" t="s">
        <v>413</v>
      </c>
      <c r="F4" s="28" t="s">
        <v>414</v>
      </c>
      <c r="H4" s="28" t="s">
        <v>415</v>
      </c>
      <c r="S4" s="28" t="s">
        <v>416</v>
      </c>
      <c r="T4" s="28" t="s">
        <v>417</v>
      </c>
      <c r="AB4" s="28" t="s">
        <v>418</v>
      </c>
      <c r="AJ4" s="28" t="s">
        <v>419</v>
      </c>
      <c r="AN4" s="28" t="s">
        <v>420</v>
      </c>
      <c r="BE4" s="28" t="s">
        <v>421</v>
      </c>
      <c r="BI4" s="28" t="s">
        <v>422</v>
      </c>
      <c r="BK4" s="28" t="s">
        <v>423</v>
      </c>
      <c r="BU4" s="28" t="s">
        <v>424</v>
      </c>
      <c r="G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H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I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J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K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L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MR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1"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7" t="s">
        <v>425</v>
      </c>
      <c r="B5" s="18" t="s">
        <v>426</v>
      </c>
      <c r="C5" s="18" t="s">
        <v>427</v>
      </c>
      <c r="D5" s="18" t="s">
        <v>428</v>
      </c>
      <c r="E5" s="18" t="s">
        <v>60</v>
      </c>
      <c r="F5" s="18" t="s">
        <v>429</v>
      </c>
      <c r="G5" s="18" t="s">
        <v>430</v>
      </c>
      <c r="H5" s="18" t="s">
        <v>431</v>
      </c>
      <c r="I5" s="18" t="s">
        <v>432</v>
      </c>
      <c r="J5" s="18" t="s">
        <v>433</v>
      </c>
      <c r="K5" s="18" t="s">
        <v>434</v>
      </c>
      <c r="L5" s="18" t="s">
        <v>435</v>
      </c>
      <c r="M5" s="18" t="s">
        <v>436</v>
      </c>
      <c r="N5" s="18" t="s">
        <v>437</v>
      </c>
      <c r="O5" s="18" t="s">
        <v>438</v>
      </c>
      <c r="P5" s="18" t="s">
        <v>439</v>
      </c>
      <c r="Q5" s="18" t="s">
        <v>440</v>
      </c>
      <c r="R5" s="18" t="s">
        <v>73</v>
      </c>
      <c r="S5" s="18" t="s">
        <v>441</v>
      </c>
      <c r="T5" s="18" t="s">
        <v>442</v>
      </c>
      <c r="U5" s="18" t="s">
        <v>443</v>
      </c>
      <c r="V5" s="18" t="s">
        <v>444</v>
      </c>
      <c r="W5" s="18" t="s">
        <v>445</v>
      </c>
      <c r="X5" s="18" t="s">
        <v>446</v>
      </c>
      <c r="Y5" s="18" t="s">
        <v>447</v>
      </c>
      <c r="Z5" s="18" t="s">
        <v>448</v>
      </c>
      <c r="AA5" s="18" t="s">
        <v>163</v>
      </c>
      <c r="AB5" s="18" t="s">
        <v>393</v>
      </c>
      <c r="AC5" s="18" t="s">
        <v>449</v>
      </c>
      <c r="AD5" s="18" t="s">
        <v>450</v>
      </c>
      <c r="AE5" s="17" t="s">
        <v>169</v>
      </c>
      <c r="AF5" s="17" t="s">
        <v>164</v>
      </c>
      <c r="AG5" s="17" t="s">
        <v>451</v>
      </c>
      <c r="AH5" s="18" t="s">
        <v>173</v>
      </c>
      <c r="AI5" s="17" t="s">
        <v>452</v>
      </c>
      <c r="AJ5" s="18" t="s">
        <v>191</v>
      </c>
      <c r="AK5" s="18" t="s">
        <v>75</v>
      </c>
      <c r="AL5" s="18" t="s">
        <v>207</v>
      </c>
      <c r="AM5" s="18" t="s">
        <v>453</v>
      </c>
      <c r="AN5" s="17" t="s">
        <v>165</v>
      </c>
      <c r="AO5" s="17" t="s">
        <v>135</v>
      </c>
      <c r="AP5" s="17" t="s">
        <v>166</v>
      </c>
      <c r="AQ5" s="17" t="s">
        <v>183</v>
      </c>
      <c r="AR5" s="17" t="s">
        <v>184</v>
      </c>
      <c r="AS5" s="17" t="s">
        <v>454</v>
      </c>
      <c r="AT5" s="17" t="s">
        <v>146</v>
      </c>
      <c r="AU5" s="17" t="s">
        <v>455</v>
      </c>
      <c r="AV5" s="17" t="s">
        <v>170</v>
      </c>
      <c r="AW5" s="17" t="s">
        <v>456</v>
      </c>
      <c r="AX5" s="17" t="s">
        <v>168</v>
      </c>
      <c r="AY5" s="17" t="s">
        <v>457</v>
      </c>
      <c r="AZ5" s="18" t="s">
        <v>394</v>
      </c>
      <c r="BA5" s="17" t="s">
        <v>167</v>
      </c>
      <c r="BB5" s="17" t="s">
        <v>458</v>
      </c>
      <c r="BC5" s="17" t="s">
        <v>180</v>
      </c>
      <c r="BD5" s="17" t="s">
        <v>459</v>
      </c>
      <c r="BE5" s="17" t="s">
        <v>238</v>
      </c>
      <c r="BF5" s="18" t="s">
        <v>182</v>
      </c>
      <c r="BG5" s="17" t="s">
        <v>460</v>
      </c>
      <c r="BH5" s="17" t="s">
        <v>461</v>
      </c>
      <c r="BI5" s="18" t="s">
        <v>462</v>
      </c>
      <c r="BJ5" s="18" t="s">
        <v>463</v>
      </c>
      <c r="BK5" s="17" t="s">
        <v>464</v>
      </c>
      <c r="BL5" s="17" t="s">
        <v>465</v>
      </c>
      <c r="BM5" s="17" t="s">
        <v>466</v>
      </c>
      <c r="BN5" s="17" t="s">
        <v>467</v>
      </c>
      <c r="BO5" s="17" t="s">
        <v>468</v>
      </c>
      <c r="BP5" s="17" t="s">
        <v>469</v>
      </c>
      <c r="BQ5" s="18" t="s">
        <v>470</v>
      </c>
      <c r="BR5" s="18" t="s">
        <v>471</v>
      </c>
      <c r="BS5" s="18" t="s">
        <v>472</v>
      </c>
      <c r="BT5" s="18" t="s">
        <v>473</v>
      </c>
      <c r="BU5" s="41" t="s">
        <v>474</v>
      </c>
      <c r="BV5" s="41" t="s">
        <v>475</v>
      </c>
      <c r="BW5" s="41" t="s">
        <v>476</v>
      </c>
      <c r="BX5" s="41" t="s">
        <v>477</v>
      </c>
      <c r="BY5" s="41" t="s">
        <v>478</v>
      </c>
      <c r="BZ5" s="41" t="s">
        <v>479</v>
      </c>
      <c r="CA5" s="41" t="s">
        <v>480</v>
      </c>
      <c r="CB5" s="41" t="s">
        <v>481</v>
      </c>
      <c r="CC5" s="41" t="s">
        <v>482</v>
      </c>
      <c r="CD5" s="41" t="s">
        <v>483</v>
      </c>
      <c r="CE5" s="41" t="s">
        <v>484</v>
      </c>
      <c r="CF5" s="41" t="s">
        <v>485</v>
      </c>
      <c r="CG5" s="41" t="s">
        <v>486</v>
      </c>
      <c r="CH5" s="41" t="s">
        <v>487</v>
      </c>
      <c r="CI5" s="41" t="s">
        <v>488</v>
      </c>
      <c r="CJ5" s="41" t="s">
        <v>489</v>
      </c>
      <c r="CK5" s="41" t="s">
        <v>490</v>
      </c>
      <c r="CL5" s="41" t="s">
        <v>491</v>
      </c>
      <c r="CM5" s="41" t="s">
        <v>492</v>
      </c>
      <c r="CN5" s="41" t="s">
        <v>493</v>
      </c>
      <c r="CO5" s="41" t="s">
        <v>494</v>
      </c>
      <c r="CP5" s="41" t="s">
        <v>495</v>
      </c>
      <c r="CQ5" s="41" t="s">
        <v>496</v>
      </c>
      <c r="CR5" s="41" t="s">
        <v>497</v>
      </c>
      <c r="CS5" s="41" t="s">
        <v>498</v>
      </c>
      <c r="CT5" s="41" t="s">
        <v>499</v>
      </c>
      <c r="CU5" s="41" t="s">
        <v>500</v>
      </c>
      <c r="CV5" s="41" t="s">
        <v>501</v>
      </c>
      <c r="CW5" s="41" t="s">
        <v>502</v>
      </c>
      <c r="CX5" s="41" t="s">
        <v>503</v>
      </c>
      <c r="CY5" s="41" t="s">
        <v>504</v>
      </c>
      <c r="CZ5" s="41" t="s">
        <v>505</v>
      </c>
      <c r="DA5" s="41" t="s">
        <v>506</v>
      </c>
      <c r="DB5" s="41" t="s">
        <v>507</v>
      </c>
      <c r="DC5" s="41" t="s">
        <v>508</v>
      </c>
      <c r="DD5" s="41" t="s">
        <v>509</v>
      </c>
      <c r="DE5" s="41" t="s">
        <v>510</v>
      </c>
      <c r="DF5" s="41" t="s">
        <v>511</v>
      </c>
      <c r="DG5" s="41" t="s">
        <v>512</v>
      </c>
      <c r="DH5" s="41" t="s">
        <v>513</v>
      </c>
      <c r="DI5" s="41" t="s">
        <v>514</v>
      </c>
      <c r="DJ5" s="41" t="s">
        <v>515</v>
      </c>
      <c r="DK5" s="41" t="s">
        <v>516</v>
      </c>
      <c r="DL5" s="41" t="s">
        <v>517</v>
      </c>
      <c r="DM5" s="41" t="s">
        <v>518</v>
      </c>
      <c r="DN5" s="41" t="s">
        <v>519</v>
      </c>
      <c r="DO5" s="41" t="s">
        <v>520</v>
      </c>
      <c r="DP5" s="41" t="s">
        <v>521</v>
      </c>
      <c r="DQ5" s="41" t="s">
        <v>522</v>
      </c>
      <c r="DR5" s="41" t="s">
        <v>523</v>
      </c>
      <c r="DS5" s="41" t="s">
        <v>524</v>
      </c>
      <c r="DT5" s="41" t="s">
        <v>525</v>
      </c>
      <c r="DU5" s="41" t="s">
        <v>526</v>
      </c>
      <c r="DV5" s="41" t="s">
        <v>527</v>
      </c>
      <c r="DW5" s="41" t="s">
        <v>528</v>
      </c>
      <c r="DX5" s="41" t="s">
        <v>529</v>
      </c>
      <c r="DY5" s="41" t="s">
        <v>530</v>
      </c>
      <c r="DZ5" s="41" t="s">
        <v>531</v>
      </c>
      <c r="EA5" s="41" t="s">
        <v>532</v>
      </c>
      <c r="EB5" s="41" t="s">
        <v>533</v>
      </c>
      <c r="EC5" s="41" t="s">
        <v>534</v>
      </c>
      <c r="ED5" s="41" t="s">
        <v>535</v>
      </c>
      <c r="EE5" s="41" t="s">
        <v>536</v>
      </c>
      <c r="EF5" s="41" t="s">
        <v>537</v>
      </c>
      <c r="EG5" s="41" t="s">
        <v>538</v>
      </c>
      <c r="EH5" s="41" t="s">
        <v>539</v>
      </c>
      <c r="EI5" s="41" t="s">
        <v>540</v>
      </c>
      <c r="EJ5" s="41" t="s">
        <v>541</v>
      </c>
      <c r="EK5" s="41" t="s">
        <v>542</v>
      </c>
      <c r="EL5" s="41" t="s">
        <v>543</v>
      </c>
      <c r="EM5" s="41" t="s">
        <v>544</v>
      </c>
      <c r="EN5" s="41" t="s">
        <v>545</v>
      </c>
      <c r="EO5" s="41" t="s">
        <v>546</v>
      </c>
      <c r="EP5" s="41" t="s">
        <v>547</v>
      </c>
      <c r="EQ5" s="41" t="s">
        <v>548</v>
      </c>
      <c r="ER5" s="41" t="s">
        <v>549</v>
      </c>
      <c r="ES5" s="41" t="s">
        <v>550</v>
      </c>
      <c r="ET5" s="41" t="s">
        <v>551</v>
      </c>
      <c r="EU5" s="41" t="s">
        <v>552</v>
      </c>
      <c r="EV5" s="41" t="s">
        <v>553</v>
      </c>
      <c r="EW5" s="41" t="s">
        <v>554</v>
      </c>
      <c r="EX5" s="41" t="s">
        <v>555</v>
      </c>
      <c r="EY5" s="41" t="s">
        <v>556</v>
      </c>
      <c r="EZ5" s="41" t="s">
        <v>557</v>
      </c>
      <c r="FA5" s="41" t="s">
        <v>558</v>
      </c>
      <c r="FB5" s="41" t="s">
        <v>559</v>
      </c>
      <c r="FC5" s="41" t="s">
        <v>560</v>
      </c>
      <c r="FD5" s="41" t="s">
        <v>561</v>
      </c>
      <c r="FE5" s="41" t="s">
        <v>562</v>
      </c>
      <c r="FF5" s="41" t="s">
        <v>563</v>
      </c>
      <c r="FG5" s="41" t="s">
        <v>564</v>
      </c>
      <c r="FH5" s="41" t="s">
        <v>565</v>
      </c>
      <c r="FI5" s="41" t="s">
        <v>566</v>
      </c>
      <c r="FJ5" s="41" t="s">
        <v>567</v>
      </c>
      <c r="FK5" s="41" t="s">
        <v>568</v>
      </c>
      <c r="FL5" s="41" t="s">
        <v>569</v>
      </c>
      <c r="FM5" s="41" t="s">
        <v>570</v>
      </c>
      <c r="FN5" s="41" t="s">
        <v>571</v>
      </c>
      <c r="FO5" s="41" t="s">
        <v>572</v>
      </c>
      <c r="FP5" s="41" t="s">
        <v>573</v>
      </c>
      <c r="FQ5" s="41" t="s">
        <v>574</v>
      </c>
      <c r="FR5" s="41" t="s">
        <v>575</v>
      </c>
      <c r="FS5" s="41" t="s">
        <v>576</v>
      </c>
      <c r="FT5" s="41" t="s">
        <v>577</v>
      </c>
      <c r="FU5" s="41" t="s">
        <v>578</v>
      </c>
      <c r="FV5" s="41" t="s">
        <v>579</v>
      </c>
      <c r="FW5" s="41" t="s">
        <v>580</v>
      </c>
      <c r="FX5" s="41" t="s">
        <v>581</v>
      </c>
      <c r="FY5" s="41" t="s">
        <v>582</v>
      </c>
      <c r="FZ5" s="41" t="s">
        <v>583</v>
      </c>
      <c r="GA5" s="41" t="s">
        <v>584</v>
      </c>
      <c r="GB5" s="41" t="s">
        <v>585</v>
      </c>
      <c r="GC5" s="41" t="s">
        <v>586</v>
      </c>
      <c r="GD5" s="41" t="s">
        <v>587</v>
      </c>
      <c r="GE5" s="41" t="s">
        <v>588</v>
      </c>
      <c r="GF5" s="41" t="s">
        <v>589</v>
      </c>
      <c r="GG5" s="41" t="s">
        <v>590</v>
      </c>
      <c r="GH5" s="41" t="s">
        <v>591</v>
      </c>
      <c r="GI5" s="41" t="s">
        <v>592</v>
      </c>
      <c r="GJ5" s="41" t="s">
        <v>593</v>
      </c>
      <c r="GK5" s="41" t="s">
        <v>594</v>
      </c>
      <c r="GL5" s="41" t="s">
        <v>595</v>
      </c>
      <c r="GM5" s="41" t="s">
        <v>596</v>
      </c>
      <c r="GN5" s="41" t="s">
        <v>597</v>
      </c>
      <c r="GO5" s="41" t="s">
        <v>598</v>
      </c>
      <c r="GP5" s="41" t="s">
        <v>599</v>
      </c>
      <c r="GQ5" s="41" t="s">
        <v>600</v>
      </c>
      <c r="GR5" s="41" t="s">
        <v>601</v>
      </c>
      <c r="GS5" s="41" t="s">
        <v>602</v>
      </c>
      <c r="GT5" s="41" t="s">
        <v>603</v>
      </c>
      <c r="GU5" s="41" t="s">
        <v>604</v>
      </c>
      <c r="GV5" s="41" t="s">
        <v>605</v>
      </c>
      <c r="GW5" s="41" t="s">
        <v>606</v>
      </c>
      <c r="GX5" s="41" t="s">
        <v>607</v>
      </c>
      <c r="GZ5" s="82" t="n">
        <f aca="false">IF(GanttPeriod&lt;28,GanttStart+((COLUMN()-COLUMN(gantt_Origin))-1)*GanttPeriod,EDATE(DATE(YEAR(GanttStart),MONTH(GanttStart)-IF(GanttPeriod&gt;=90,MOD(MONTH(GanttStart)-1,3),0),1),((COLUMN()-COLUMN(gantt_Origin))-1)*IF(GanttPeriod&gt;=90,3,1)))</f>
        <v>46300</v>
      </c>
      <c r="HA5" s="82" t="n">
        <f aca="false">IF(GanttPeriod&lt;28,GanttStart+((COLUMN()-COLUMN(gantt_Origin))-1)*GanttPeriod,EDATE(DATE(YEAR(GanttStart),MONTH(GanttStart)-IF(GanttPeriod&gt;=90,MOD(MONTH(GanttStart)-1,3),0),1),((COLUMN()-COLUMN(gantt_Origin))-1)*IF(GanttPeriod&gt;=90,3,1)))</f>
        <v>46301</v>
      </c>
      <c r="HB5" s="82" t="n">
        <f aca="false">IF(GanttPeriod&lt;28,GanttStart+((COLUMN()-COLUMN(gantt_Origin))-1)*GanttPeriod,EDATE(DATE(YEAR(GanttStart),MONTH(GanttStart)-IF(GanttPeriod&gt;=90,MOD(MONTH(GanttStart)-1,3),0),1),((COLUMN()-COLUMN(gantt_Origin))-1)*IF(GanttPeriod&gt;=90,3,1)))</f>
        <v>46302</v>
      </c>
      <c r="HC5" s="82" t="n">
        <f aca="false">IF(GanttPeriod&lt;28,GanttStart+((COLUMN()-COLUMN(gantt_Origin))-1)*GanttPeriod,EDATE(DATE(YEAR(GanttStart),MONTH(GanttStart)-IF(GanttPeriod&gt;=90,MOD(MONTH(GanttStart)-1,3),0),1),((COLUMN()-COLUMN(gantt_Origin))-1)*IF(GanttPeriod&gt;=90,3,1)))</f>
        <v>46303</v>
      </c>
      <c r="HD5" s="82" t="n">
        <f aca="false">IF(GanttPeriod&lt;28,GanttStart+((COLUMN()-COLUMN(gantt_Origin))-1)*GanttPeriod,EDATE(DATE(YEAR(GanttStart),MONTH(GanttStart)-IF(GanttPeriod&gt;=90,MOD(MONTH(GanttStart)-1,3),0),1),((COLUMN()-COLUMN(gantt_Origin))-1)*IF(GanttPeriod&gt;=90,3,1)))</f>
        <v>46304</v>
      </c>
      <c r="HE5" s="82" t="n">
        <f aca="false">IF(GanttPeriod&lt;28,GanttStart+((COLUMN()-COLUMN(gantt_Origin))-1)*GanttPeriod,EDATE(DATE(YEAR(GanttStart),MONTH(GanttStart)-IF(GanttPeriod&gt;=90,MOD(MONTH(GanttStart)-1,3),0),1),((COLUMN()-COLUMN(gantt_Origin))-1)*IF(GanttPeriod&gt;=90,3,1)))</f>
        <v>46305</v>
      </c>
      <c r="HF5" s="82" t="n">
        <f aca="false">IF(GanttPeriod&lt;28,GanttStart+((COLUMN()-COLUMN(gantt_Origin))-1)*GanttPeriod,EDATE(DATE(YEAR(GanttStart),MONTH(GanttStart)-IF(GanttPeriod&gt;=90,MOD(MONTH(GanttStart)-1,3),0),1),((COLUMN()-COLUMN(gantt_Origin))-1)*IF(GanttPeriod&gt;=90,3,1)))</f>
        <v>46306</v>
      </c>
      <c r="HG5" s="82" t="n">
        <f aca="false">IF(GanttPeriod&lt;28,GanttStart+((COLUMN()-COLUMN(gantt_Origin))-1)*GanttPeriod,EDATE(DATE(YEAR(GanttStart),MONTH(GanttStart)-IF(GanttPeriod&gt;=90,MOD(MONTH(GanttStart)-1,3),0),1),((COLUMN()-COLUMN(gantt_Origin))-1)*IF(GanttPeriod&gt;=90,3,1)))</f>
        <v>46307</v>
      </c>
      <c r="HH5" s="82" t="n">
        <f aca="false">IF(GanttPeriod&lt;28,GanttStart+((COLUMN()-COLUMN(gantt_Origin))-1)*GanttPeriod,EDATE(DATE(YEAR(GanttStart),MONTH(GanttStart)-IF(GanttPeriod&gt;=90,MOD(MONTH(GanttStart)-1,3),0),1),((COLUMN()-COLUMN(gantt_Origin))-1)*IF(GanttPeriod&gt;=90,3,1)))</f>
        <v>46308</v>
      </c>
      <c r="HI5" s="82" t="n">
        <f aca="false">IF(GanttPeriod&lt;28,GanttStart+((COLUMN()-COLUMN(gantt_Origin))-1)*GanttPeriod,EDATE(DATE(YEAR(GanttStart),MONTH(GanttStart)-IF(GanttPeriod&gt;=90,MOD(MONTH(GanttStart)-1,3),0),1),((COLUMN()-COLUMN(gantt_Origin))-1)*IF(GanttPeriod&gt;=90,3,1)))</f>
        <v>46309</v>
      </c>
      <c r="HJ5" s="82" t="n">
        <f aca="false">IF(GanttPeriod&lt;28,GanttStart+((COLUMN()-COLUMN(gantt_Origin))-1)*GanttPeriod,EDATE(DATE(YEAR(GanttStart),MONTH(GanttStart)-IF(GanttPeriod&gt;=90,MOD(MONTH(GanttStart)-1,3),0),1),((COLUMN()-COLUMN(gantt_Origin))-1)*IF(GanttPeriod&gt;=90,3,1)))</f>
        <v>46310</v>
      </c>
      <c r="HK5" s="82" t="n">
        <f aca="false">IF(GanttPeriod&lt;28,GanttStart+((COLUMN()-COLUMN(gantt_Origin))-1)*GanttPeriod,EDATE(DATE(YEAR(GanttStart),MONTH(GanttStart)-IF(GanttPeriod&gt;=90,MOD(MONTH(GanttStart)-1,3),0),1),((COLUMN()-COLUMN(gantt_Origin))-1)*IF(GanttPeriod&gt;=90,3,1)))</f>
        <v>46311</v>
      </c>
      <c r="HL5" s="82" t="n">
        <f aca="false">IF(GanttPeriod&lt;28,GanttStart+((COLUMN()-COLUMN(gantt_Origin))-1)*GanttPeriod,EDATE(DATE(YEAR(GanttStart),MONTH(GanttStart)-IF(GanttPeriod&gt;=90,MOD(MONTH(GanttStart)-1,3),0),1),((COLUMN()-COLUMN(gantt_Origin))-1)*IF(GanttPeriod&gt;=90,3,1)))</f>
        <v>46312</v>
      </c>
      <c r="HM5" s="82" t="n">
        <f aca="false">IF(GanttPeriod&lt;28,GanttStart+((COLUMN()-COLUMN(gantt_Origin))-1)*GanttPeriod,EDATE(DATE(YEAR(GanttStart),MONTH(GanttStart)-IF(GanttPeriod&gt;=90,MOD(MONTH(GanttStart)-1,3),0),1),((COLUMN()-COLUMN(gantt_Origin))-1)*IF(GanttPeriod&gt;=90,3,1)))</f>
        <v>46313</v>
      </c>
      <c r="HN5" s="82" t="n">
        <f aca="false">IF(GanttPeriod&lt;28,GanttStart+((COLUMN()-COLUMN(gantt_Origin))-1)*GanttPeriod,EDATE(DATE(YEAR(GanttStart),MONTH(GanttStart)-IF(GanttPeriod&gt;=90,MOD(MONTH(GanttStart)-1,3),0),1),((COLUMN()-COLUMN(gantt_Origin))-1)*IF(GanttPeriod&gt;=90,3,1)))</f>
        <v>46314</v>
      </c>
      <c r="HO5" s="82" t="n">
        <f aca="false">IF(GanttPeriod&lt;28,GanttStart+((COLUMN()-COLUMN(gantt_Origin))-1)*GanttPeriod,EDATE(DATE(YEAR(GanttStart),MONTH(GanttStart)-IF(GanttPeriod&gt;=90,MOD(MONTH(GanttStart)-1,3),0),1),((COLUMN()-COLUMN(gantt_Origin))-1)*IF(GanttPeriod&gt;=90,3,1)))</f>
        <v>46315</v>
      </c>
      <c r="HP5" s="82" t="n">
        <f aca="false">IF(GanttPeriod&lt;28,GanttStart+((COLUMN()-COLUMN(gantt_Origin))-1)*GanttPeriod,EDATE(DATE(YEAR(GanttStart),MONTH(GanttStart)-IF(GanttPeriod&gt;=90,MOD(MONTH(GanttStart)-1,3),0),1),((COLUMN()-COLUMN(gantt_Origin))-1)*IF(GanttPeriod&gt;=90,3,1)))</f>
        <v>46316</v>
      </c>
      <c r="HQ5" s="82" t="n">
        <f aca="false">IF(GanttPeriod&lt;28,GanttStart+((COLUMN()-COLUMN(gantt_Origin))-1)*GanttPeriod,EDATE(DATE(YEAR(GanttStart),MONTH(GanttStart)-IF(GanttPeriod&gt;=90,MOD(MONTH(GanttStart)-1,3),0),1),((COLUMN()-COLUMN(gantt_Origin))-1)*IF(GanttPeriod&gt;=90,3,1)))</f>
        <v>46317</v>
      </c>
      <c r="HR5" s="82" t="n">
        <f aca="false">IF(GanttPeriod&lt;28,GanttStart+((COLUMN()-COLUMN(gantt_Origin))-1)*GanttPeriod,EDATE(DATE(YEAR(GanttStart),MONTH(GanttStart)-IF(GanttPeriod&gt;=90,MOD(MONTH(GanttStart)-1,3),0),1),((COLUMN()-COLUMN(gantt_Origin))-1)*IF(GanttPeriod&gt;=90,3,1)))</f>
        <v>46318</v>
      </c>
      <c r="HS5" s="82" t="n">
        <f aca="false">IF(GanttPeriod&lt;28,GanttStart+((COLUMN()-COLUMN(gantt_Origin))-1)*GanttPeriod,EDATE(DATE(YEAR(GanttStart),MONTH(GanttStart)-IF(GanttPeriod&gt;=90,MOD(MONTH(GanttStart)-1,3),0),1),((COLUMN()-COLUMN(gantt_Origin))-1)*IF(GanttPeriod&gt;=90,3,1)))</f>
        <v>46319</v>
      </c>
      <c r="HT5" s="82" t="n">
        <f aca="false">IF(GanttPeriod&lt;28,GanttStart+((COLUMN()-COLUMN(gantt_Origin))-1)*GanttPeriod,EDATE(DATE(YEAR(GanttStart),MONTH(GanttStart)-IF(GanttPeriod&gt;=90,MOD(MONTH(GanttStart)-1,3),0),1),((COLUMN()-COLUMN(gantt_Origin))-1)*IF(GanttPeriod&gt;=90,3,1)))</f>
        <v>46320</v>
      </c>
      <c r="HU5" s="82" t="n">
        <f aca="false">IF(GanttPeriod&lt;28,GanttStart+((COLUMN()-COLUMN(gantt_Origin))-1)*GanttPeriod,EDATE(DATE(YEAR(GanttStart),MONTH(GanttStart)-IF(GanttPeriod&gt;=90,MOD(MONTH(GanttStart)-1,3),0),1),((COLUMN()-COLUMN(gantt_Origin))-1)*IF(GanttPeriod&gt;=90,3,1)))</f>
        <v>46321</v>
      </c>
      <c r="HV5" s="82" t="n">
        <f aca="false">IF(GanttPeriod&lt;28,GanttStart+((COLUMN()-COLUMN(gantt_Origin))-1)*GanttPeriod,EDATE(DATE(YEAR(GanttStart),MONTH(GanttStart)-IF(GanttPeriod&gt;=90,MOD(MONTH(GanttStart)-1,3),0),1),((COLUMN()-COLUMN(gantt_Origin))-1)*IF(GanttPeriod&gt;=90,3,1)))</f>
        <v>46322</v>
      </c>
      <c r="HW5" s="82" t="n">
        <f aca="false">IF(GanttPeriod&lt;28,GanttStart+((COLUMN()-COLUMN(gantt_Origin))-1)*GanttPeriod,EDATE(DATE(YEAR(GanttStart),MONTH(GanttStart)-IF(GanttPeriod&gt;=90,MOD(MONTH(GanttStart)-1,3),0),1),((COLUMN()-COLUMN(gantt_Origin))-1)*IF(GanttPeriod&gt;=90,3,1)))</f>
        <v>46323</v>
      </c>
      <c r="HX5" s="82" t="n">
        <f aca="false">IF(GanttPeriod&lt;28,GanttStart+((COLUMN()-COLUMN(gantt_Origin))-1)*GanttPeriod,EDATE(DATE(YEAR(GanttStart),MONTH(GanttStart)-IF(GanttPeriod&gt;=90,MOD(MONTH(GanttStart)-1,3),0),1),((COLUMN()-COLUMN(gantt_Origin))-1)*IF(GanttPeriod&gt;=90,3,1)))</f>
        <v>46324</v>
      </c>
      <c r="HY5" s="82" t="n">
        <f aca="false">IF(GanttPeriod&lt;28,GanttStart+((COLUMN()-COLUMN(gantt_Origin))-1)*GanttPeriod,EDATE(DATE(YEAR(GanttStart),MONTH(GanttStart)-IF(GanttPeriod&gt;=90,MOD(MONTH(GanttStart)-1,3),0),1),((COLUMN()-COLUMN(gantt_Origin))-1)*IF(GanttPeriod&gt;=90,3,1)))</f>
        <v>46325</v>
      </c>
      <c r="HZ5" s="82" t="n">
        <f aca="false">IF(GanttPeriod&lt;28,GanttStart+((COLUMN()-COLUMN(gantt_Origin))-1)*GanttPeriod,EDATE(DATE(YEAR(GanttStart),MONTH(GanttStart)-IF(GanttPeriod&gt;=90,MOD(MONTH(GanttStart)-1,3),0),1),((COLUMN()-COLUMN(gantt_Origin))-1)*IF(GanttPeriod&gt;=90,3,1)))</f>
        <v>46326</v>
      </c>
      <c r="IA5" s="82" t="n">
        <f aca="false">IF(GanttPeriod&lt;28,GanttStart+((COLUMN()-COLUMN(gantt_Origin))-1)*GanttPeriod,EDATE(DATE(YEAR(GanttStart),MONTH(GanttStart)-IF(GanttPeriod&gt;=90,MOD(MONTH(GanttStart)-1,3),0),1),((COLUMN()-COLUMN(gantt_Origin))-1)*IF(GanttPeriod&gt;=90,3,1)))</f>
        <v>46327</v>
      </c>
      <c r="IB5" s="82" t="n">
        <f aca="false">IF(GanttPeriod&lt;28,GanttStart+((COLUMN()-COLUMN(gantt_Origin))-1)*GanttPeriod,EDATE(DATE(YEAR(GanttStart),MONTH(GanttStart)-IF(GanttPeriod&gt;=90,MOD(MONTH(GanttStart)-1,3),0),1),((COLUMN()-COLUMN(gantt_Origin))-1)*IF(GanttPeriod&gt;=90,3,1)))</f>
        <v>46328</v>
      </c>
      <c r="IC5" s="82" t="n">
        <f aca="false">IF(GanttPeriod&lt;28,GanttStart+((COLUMN()-COLUMN(gantt_Origin))-1)*GanttPeriod,EDATE(DATE(YEAR(GanttStart),MONTH(GanttStart)-IF(GanttPeriod&gt;=90,MOD(MONTH(GanttStart)-1,3),0),1),((COLUMN()-COLUMN(gantt_Origin))-1)*IF(GanttPeriod&gt;=90,3,1)))</f>
        <v>46329</v>
      </c>
      <c r="ID5" s="82" t="n">
        <f aca="false">IF(GanttPeriod&lt;28,GanttStart+((COLUMN()-COLUMN(gantt_Origin))-1)*GanttPeriod,EDATE(DATE(YEAR(GanttStart),MONTH(GanttStart)-IF(GanttPeriod&gt;=90,MOD(MONTH(GanttStart)-1,3),0),1),((COLUMN()-COLUMN(gantt_Origin))-1)*IF(GanttPeriod&gt;=90,3,1)))</f>
        <v>46330</v>
      </c>
      <c r="IE5" s="82" t="n">
        <f aca="false">IF(GanttPeriod&lt;28,GanttStart+((COLUMN()-COLUMN(gantt_Origin))-1)*GanttPeriod,EDATE(DATE(YEAR(GanttStart),MONTH(GanttStart)-IF(GanttPeriod&gt;=90,MOD(MONTH(GanttStart)-1,3),0),1),((COLUMN()-COLUMN(gantt_Origin))-1)*IF(GanttPeriod&gt;=90,3,1)))</f>
        <v>46331</v>
      </c>
      <c r="IF5" s="82" t="n">
        <f aca="false">IF(GanttPeriod&lt;28,GanttStart+((COLUMN()-COLUMN(gantt_Origin))-1)*GanttPeriod,EDATE(DATE(YEAR(GanttStart),MONTH(GanttStart)-IF(GanttPeriod&gt;=90,MOD(MONTH(GanttStart)-1,3),0),1),((COLUMN()-COLUMN(gantt_Origin))-1)*IF(GanttPeriod&gt;=90,3,1)))</f>
        <v>46332</v>
      </c>
      <c r="IG5" s="82" t="n">
        <f aca="false">IF(GanttPeriod&lt;28,GanttStart+((COLUMN()-COLUMN(gantt_Origin))-1)*GanttPeriod,EDATE(DATE(YEAR(GanttStart),MONTH(GanttStart)-IF(GanttPeriod&gt;=90,MOD(MONTH(GanttStart)-1,3),0),1),((COLUMN()-COLUMN(gantt_Origin))-1)*IF(GanttPeriod&gt;=90,3,1)))</f>
        <v>46333</v>
      </c>
      <c r="IH5" s="82" t="n">
        <f aca="false">IF(GanttPeriod&lt;28,GanttStart+((COLUMN()-COLUMN(gantt_Origin))-1)*GanttPeriod,EDATE(DATE(YEAR(GanttStart),MONTH(GanttStart)-IF(GanttPeriod&gt;=90,MOD(MONTH(GanttStart)-1,3),0),1),((COLUMN()-COLUMN(gantt_Origin))-1)*IF(GanttPeriod&gt;=90,3,1)))</f>
        <v>46334</v>
      </c>
      <c r="II5" s="82" t="n">
        <f aca="false">IF(GanttPeriod&lt;28,GanttStart+((COLUMN()-COLUMN(gantt_Origin))-1)*GanttPeriod,EDATE(DATE(YEAR(GanttStart),MONTH(GanttStart)-IF(GanttPeriod&gt;=90,MOD(MONTH(GanttStart)-1,3),0),1),((COLUMN()-COLUMN(gantt_Origin))-1)*IF(GanttPeriod&gt;=90,3,1)))</f>
        <v>46335</v>
      </c>
      <c r="IJ5" s="82" t="n">
        <f aca="false">IF(GanttPeriod&lt;28,GanttStart+((COLUMN()-COLUMN(gantt_Origin))-1)*GanttPeriod,EDATE(DATE(YEAR(GanttStart),MONTH(GanttStart)-IF(GanttPeriod&gt;=90,MOD(MONTH(GanttStart)-1,3),0),1),((COLUMN()-COLUMN(gantt_Origin))-1)*IF(GanttPeriod&gt;=90,3,1)))</f>
        <v>46336</v>
      </c>
      <c r="IK5" s="82" t="n">
        <f aca="false">IF(GanttPeriod&lt;28,GanttStart+((COLUMN()-COLUMN(gantt_Origin))-1)*GanttPeriod,EDATE(DATE(YEAR(GanttStart),MONTH(GanttStart)-IF(GanttPeriod&gt;=90,MOD(MONTH(GanttStart)-1,3),0),1),((COLUMN()-COLUMN(gantt_Origin))-1)*IF(GanttPeriod&gt;=90,3,1)))</f>
        <v>46337</v>
      </c>
      <c r="IL5" s="82" t="n">
        <f aca="false">IF(GanttPeriod&lt;28,GanttStart+((COLUMN()-COLUMN(gantt_Origin))-1)*GanttPeriod,EDATE(DATE(YEAR(GanttStart),MONTH(GanttStart)-IF(GanttPeriod&gt;=90,MOD(MONTH(GanttStart)-1,3),0),1),((COLUMN()-COLUMN(gantt_Origin))-1)*IF(GanttPeriod&gt;=90,3,1)))</f>
        <v>46338</v>
      </c>
      <c r="IM5" s="82" t="n">
        <f aca="false">IF(GanttPeriod&lt;28,GanttStart+((COLUMN()-COLUMN(gantt_Origin))-1)*GanttPeriod,EDATE(DATE(YEAR(GanttStart),MONTH(GanttStart)-IF(GanttPeriod&gt;=90,MOD(MONTH(GanttStart)-1,3),0),1),((COLUMN()-COLUMN(gantt_Origin))-1)*IF(GanttPeriod&gt;=90,3,1)))</f>
        <v>46339</v>
      </c>
      <c r="IN5" s="82" t="n">
        <f aca="false">IF(GanttPeriod&lt;28,GanttStart+((COLUMN()-COLUMN(gantt_Origin))-1)*GanttPeriod,EDATE(DATE(YEAR(GanttStart),MONTH(GanttStart)-IF(GanttPeriod&gt;=90,MOD(MONTH(GanttStart)-1,3),0),1),((COLUMN()-COLUMN(gantt_Origin))-1)*IF(GanttPeriod&gt;=90,3,1)))</f>
        <v>46340</v>
      </c>
      <c r="IO5" s="82" t="n">
        <f aca="false">IF(GanttPeriod&lt;28,GanttStart+((COLUMN()-COLUMN(gantt_Origin))-1)*GanttPeriod,EDATE(DATE(YEAR(GanttStart),MONTH(GanttStart)-IF(GanttPeriod&gt;=90,MOD(MONTH(GanttStart)-1,3),0),1),((COLUMN()-COLUMN(gantt_Origin))-1)*IF(GanttPeriod&gt;=90,3,1)))</f>
        <v>46341</v>
      </c>
      <c r="IP5" s="82" t="n">
        <f aca="false">IF(GanttPeriod&lt;28,GanttStart+((COLUMN()-COLUMN(gantt_Origin))-1)*GanttPeriod,EDATE(DATE(YEAR(GanttStart),MONTH(GanttStart)-IF(GanttPeriod&gt;=90,MOD(MONTH(GanttStart)-1,3),0),1),((COLUMN()-COLUMN(gantt_Origin))-1)*IF(GanttPeriod&gt;=90,3,1)))</f>
        <v>46342</v>
      </c>
      <c r="IQ5" s="82" t="n">
        <f aca="false">IF(GanttPeriod&lt;28,GanttStart+((COLUMN()-COLUMN(gantt_Origin))-1)*GanttPeriod,EDATE(DATE(YEAR(GanttStart),MONTH(GanttStart)-IF(GanttPeriod&gt;=90,MOD(MONTH(GanttStart)-1,3),0),1),((COLUMN()-COLUMN(gantt_Origin))-1)*IF(GanttPeriod&gt;=90,3,1)))</f>
        <v>46343</v>
      </c>
      <c r="IR5" s="82" t="n">
        <f aca="false">IF(GanttPeriod&lt;28,GanttStart+((COLUMN()-COLUMN(gantt_Origin))-1)*GanttPeriod,EDATE(DATE(YEAR(GanttStart),MONTH(GanttStart)-IF(GanttPeriod&gt;=90,MOD(MONTH(GanttStart)-1,3),0),1),((COLUMN()-COLUMN(gantt_Origin))-1)*IF(GanttPeriod&gt;=90,3,1)))</f>
        <v>46344</v>
      </c>
      <c r="IS5" s="82" t="n">
        <f aca="false">IF(GanttPeriod&lt;28,GanttStart+((COLUMN()-COLUMN(gantt_Origin))-1)*GanttPeriod,EDATE(DATE(YEAR(GanttStart),MONTH(GanttStart)-IF(GanttPeriod&gt;=90,MOD(MONTH(GanttStart)-1,3),0),1),((COLUMN()-COLUMN(gantt_Origin))-1)*IF(GanttPeriod&gt;=90,3,1)))</f>
        <v>46345</v>
      </c>
      <c r="IT5" s="82" t="n">
        <f aca="false">IF(GanttPeriod&lt;28,GanttStart+((COLUMN()-COLUMN(gantt_Origin))-1)*GanttPeriod,EDATE(DATE(YEAR(GanttStart),MONTH(GanttStart)-IF(GanttPeriod&gt;=90,MOD(MONTH(GanttStart)-1,3),0),1),((COLUMN()-COLUMN(gantt_Origin))-1)*IF(GanttPeriod&gt;=90,3,1)))</f>
        <v>46346</v>
      </c>
      <c r="IU5" s="82" t="n">
        <f aca="false">IF(GanttPeriod&lt;28,GanttStart+((COLUMN()-COLUMN(gantt_Origin))-1)*GanttPeriod,EDATE(DATE(YEAR(GanttStart),MONTH(GanttStart)-IF(GanttPeriod&gt;=90,MOD(MONTH(GanttStart)-1,3),0),1),((COLUMN()-COLUMN(gantt_Origin))-1)*IF(GanttPeriod&gt;=90,3,1)))</f>
        <v>46347</v>
      </c>
      <c r="IV5" s="82" t="n">
        <f aca="false">IF(GanttPeriod&lt;28,GanttStart+((COLUMN()-COLUMN(gantt_Origin))-1)*GanttPeriod,EDATE(DATE(YEAR(GanttStart),MONTH(GanttStart)-IF(GanttPeriod&gt;=90,MOD(MONTH(GanttStart)-1,3),0),1),((COLUMN()-COLUMN(gantt_Origin))-1)*IF(GanttPeriod&gt;=90,3,1)))</f>
        <v>46348</v>
      </c>
      <c r="IW5" s="82" t="n">
        <f aca="false">IF(GanttPeriod&lt;28,GanttStart+((COLUMN()-COLUMN(gantt_Origin))-1)*GanttPeriod,EDATE(DATE(YEAR(GanttStart),MONTH(GanttStart)-IF(GanttPeriod&gt;=90,MOD(MONTH(GanttStart)-1,3),0),1),((COLUMN()-COLUMN(gantt_Origin))-1)*IF(GanttPeriod&gt;=90,3,1)))</f>
        <v>46349</v>
      </c>
      <c r="IX5" s="82" t="n">
        <f aca="false">IF(GanttPeriod&lt;28,GanttStart+((COLUMN()-COLUMN(gantt_Origin))-1)*GanttPeriod,EDATE(DATE(YEAR(GanttStart),MONTH(GanttStart)-IF(GanttPeriod&gt;=90,MOD(MONTH(GanttStart)-1,3),0),1),((COLUMN()-COLUMN(gantt_Origin))-1)*IF(GanttPeriod&gt;=90,3,1)))</f>
        <v>46350</v>
      </c>
      <c r="IY5" s="82" t="n">
        <f aca="false">IF(GanttPeriod&lt;28,GanttStart+((COLUMN()-COLUMN(gantt_Origin))-1)*GanttPeriod,EDATE(DATE(YEAR(GanttStart),MONTH(GanttStart)-IF(GanttPeriod&gt;=90,MOD(MONTH(GanttStart)-1,3),0),1),((COLUMN()-COLUMN(gantt_Origin))-1)*IF(GanttPeriod&gt;=90,3,1)))</f>
        <v>46351</v>
      </c>
      <c r="IZ5" s="82" t="n">
        <f aca="false">IF(GanttPeriod&lt;28,GanttStart+((COLUMN()-COLUMN(gantt_Origin))-1)*GanttPeriod,EDATE(DATE(YEAR(GanttStart),MONTH(GanttStart)-IF(GanttPeriod&gt;=90,MOD(MONTH(GanttStart)-1,3),0),1),((COLUMN()-COLUMN(gantt_Origin))-1)*IF(GanttPeriod&gt;=90,3,1)))</f>
        <v>46352</v>
      </c>
      <c r="JA5" s="82" t="n">
        <f aca="false">IF(GanttPeriod&lt;28,GanttStart+((COLUMN()-COLUMN(gantt_Origin))-1)*GanttPeriod,EDATE(DATE(YEAR(GanttStart),MONTH(GanttStart)-IF(GanttPeriod&gt;=90,MOD(MONTH(GanttStart)-1,3),0),1),((COLUMN()-COLUMN(gantt_Origin))-1)*IF(GanttPeriod&gt;=90,3,1)))</f>
        <v>46353</v>
      </c>
      <c r="JB5" s="82" t="n">
        <f aca="false">IF(GanttPeriod&lt;28,GanttStart+((COLUMN()-COLUMN(gantt_Origin))-1)*GanttPeriod,EDATE(DATE(YEAR(GanttStart),MONTH(GanttStart)-IF(GanttPeriod&gt;=90,MOD(MONTH(GanttStart)-1,3),0),1),((COLUMN()-COLUMN(gantt_Origin))-1)*IF(GanttPeriod&gt;=90,3,1)))</f>
        <v>46354</v>
      </c>
      <c r="JC5" s="82" t="n">
        <f aca="false">IF(GanttPeriod&lt;28,GanttStart+((COLUMN()-COLUMN(gantt_Origin))-1)*GanttPeriod,EDATE(DATE(YEAR(GanttStart),MONTH(GanttStart)-IF(GanttPeriod&gt;=90,MOD(MONTH(GanttStart)-1,3),0),1),((COLUMN()-COLUMN(gantt_Origin))-1)*IF(GanttPeriod&gt;=90,3,1)))</f>
        <v>46355</v>
      </c>
      <c r="JD5" s="82" t="n">
        <f aca="false">IF(GanttPeriod&lt;28,GanttStart+((COLUMN()-COLUMN(gantt_Origin))-1)*GanttPeriod,EDATE(DATE(YEAR(GanttStart),MONTH(GanttStart)-IF(GanttPeriod&gt;=90,MOD(MONTH(GanttStart)-1,3),0),1),((COLUMN()-COLUMN(gantt_Origin))-1)*IF(GanttPeriod&gt;=90,3,1)))</f>
        <v>46356</v>
      </c>
      <c r="JE5" s="82" t="n">
        <f aca="false">IF(GanttPeriod&lt;28,GanttStart+((COLUMN()-COLUMN(gantt_Origin))-1)*GanttPeriod,EDATE(DATE(YEAR(GanttStart),MONTH(GanttStart)-IF(GanttPeriod&gt;=90,MOD(MONTH(GanttStart)-1,3),0),1),((COLUMN()-COLUMN(gantt_Origin))-1)*IF(GanttPeriod&gt;=90,3,1)))</f>
        <v>46357</v>
      </c>
      <c r="JF5" s="82" t="n">
        <f aca="false">IF(GanttPeriod&lt;28,GanttStart+((COLUMN()-COLUMN(gantt_Origin))-1)*GanttPeriod,EDATE(DATE(YEAR(GanttStart),MONTH(GanttStart)-IF(GanttPeriod&gt;=90,MOD(MONTH(GanttStart)-1,3),0),1),((COLUMN()-COLUMN(gantt_Origin))-1)*IF(GanttPeriod&gt;=90,3,1)))</f>
        <v>46358</v>
      </c>
      <c r="JG5" s="82" t="n">
        <f aca="false">IF(GanttPeriod&lt;28,GanttStart+((COLUMN()-COLUMN(gantt_Origin))-1)*GanttPeriod,EDATE(DATE(YEAR(GanttStart),MONTH(GanttStart)-IF(GanttPeriod&gt;=90,MOD(MONTH(GanttStart)-1,3),0),1),((COLUMN()-COLUMN(gantt_Origin))-1)*IF(GanttPeriod&gt;=90,3,1)))</f>
        <v>46359</v>
      </c>
      <c r="JH5" s="82" t="n">
        <f aca="false">IF(GanttPeriod&lt;28,GanttStart+((COLUMN()-COLUMN(gantt_Origin))-1)*GanttPeriod,EDATE(DATE(YEAR(GanttStart),MONTH(GanttStart)-IF(GanttPeriod&gt;=90,MOD(MONTH(GanttStart)-1,3),0),1),((COLUMN()-COLUMN(gantt_Origin))-1)*IF(GanttPeriod&gt;=90,3,1)))</f>
        <v>46360</v>
      </c>
      <c r="JI5" s="82" t="n">
        <f aca="false">IF(GanttPeriod&lt;28,GanttStart+((COLUMN()-COLUMN(gantt_Origin))-1)*GanttPeriod,EDATE(DATE(YEAR(GanttStart),MONTH(GanttStart)-IF(GanttPeriod&gt;=90,MOD(MONTH(GanttStart)-1,3),0),1),((COLUMN()-COLUMN(gantt_Origin))-1)*IF(GanttPeriod&gt;=90,3,1)))</f>
        <v>46361</v>
      </c>
      <c r="JJ5" s="82" t="n">
        <f aca="false">IF(GanttPeriod&lt;28,GanttStart+((COLUMN()-COLUMN(gantt_Origin))-1)*GanttPeriod,EDATE(DATE(YEAR(GanttStart),MONTH(GanttStart)-IF(GanttPeriod&gt;=90,MOD(MONTH(GanttStart)-1,3),0),1),((COLUMN()-COLUMN(gantt_Origin))-1)*IF(GanttPeriod&gt;=90,3,1)))</f>
        <v>46362</v>
      </c>
      <c r="JK5" s="82" t="n">
        <f aca="false">IF(GanttPeriod&lt;28,GanttStart+((COLUMN()-COLUMN(gantt_Origin))-1)*GanttPeriod,EDATE(DATE(YEAR(GanttStart),MONTH(GanttStart)-IF(GanttPeriod&gt;=90,MOD(MONTH(GanttStart)-1,3),0),1),((COLUMN()-COLUMN(gantt_Origin))-1)*IF(GanttPeriod&gt;=90,3,1)))</f>
        <v>46363</v>
      </c>
      <c r="JL5" s="82" t="n">
        <f aca="false">IF(GanttPeriod&lt;28,GanttStart+((COLUMN()-COLUMN(gantt_Origin))-1)*GanttPeriod,EDATE(DATE(YEAR(GanttStart),MONTH(GanttStart)-IF(GanttPeriod&gt;=90,MOD(MONTH(GanttStart)-1,3),0),1),((COLUMN()-COLUMN(gantt_Origin))-1)*IF(GanttPeriod&gt;=90,3,1)))</f>
        <v>46364</v>
      </c>
      <c r="JM5" s="82" t="n">
        <f aca="false">IF(GanttPeriod&lt;28,GanttStart+((COLUMN()-COLUMN(gantt_Origin))-1)*GanttPeriod,EDATE(DATE(YEAR(GanttStart),MONTH(GanttStart)-IF(GanttPeriod&gt;=90,MOD(MONTH(GanttStart)-1,3),0),1),((COLUMN()-COLUMN(gantt_Origin))-1)*IF(GanttPeriod&gt;=90,3,1)))</f>
        <v>46365</v>
      </c>
      <c r="JN5" s="82" t="n">
        <f aca="false">IF(GanttPeriod&lt;28,GanttStart+((COLUMN()-COLUMN(gantt_Origin))-1)*GanttPeriod,EDATE(DATE(YEAR(GanttStart),MONTH(GanttStart)-IF(GanttPeriod&gt;=90,MOD(MONTH(GanttStart)-1,3),0),1),((COLUMN()-COLUMN(gantt_Origin))-1)*IF(GanttPeriod&gt;=90,3,1)))</f>
        <v>46366</v>
      </c>
      <c r="JO5" s="82" t="n">
        <f aca="false">IF(GanttPeriod&lt;28,GanttStart+((COLUMN()-COLUMN(gantt_Origin))-1)*GanttPeriod,EDATE(DATE(YEAR(GanttStart),MONTH(GanttStart)-IF(GanttPeriod&gt;=90,MOD(MONTH(GanttStart)-1,3),0),1),((COLUMN()-COLUMN(gantt_Origin))-1)*IF(GanttPeriod&gt;=90,3,1)))</f>
        <v>46367</v>
      </c>
      <c r="JP5" s="82" t="n">
        <f aca="false">IF(GanttPeriod&lt;28,GanttStart+((COLUMN()-COLUMN(gantt_Origin))-1)*GanttPeriod,EDATE(DATE(YEAR(GanttStart),MONTH(GanttStart)-IF(GanttPeriod&gt;=90,MOD(MONTH(GanttStart)-1,3),0),1),((COLUMN()-COLUMN(gantt_Origin))-1)*IF(GanttPeriod&gt;=90,3,1)))</f>
        <v>46368</v>
      </c>
      <c r="JQ5" s="82" t="n">
        <f aca="false">IF(GanttPeriod&lt;28,GanttStart+((COLUMN()-COLUMN(gantt_Origin))-1)*GanttPeriod,EDATE(DATE(YEAR(GanttStart),MONTH(GanttStart)-IF(GanttPeriod&gt;=90,MOD(MONTH(GanttStart)-1,3),0),1),((COLUMN()-COLUMN(gantt_Origin))-1)*IF(GanttPeriod&gt;=90,3,1)))</f>
        <v>46369</v>
      </c>
      <c r="JR5" s="82" t="n">
        <f aca="false">IF(GanttPeriod&lt;28,GanttStart+((COLUMN()-COLUMN(gantt_Origin))-1)*GanttPeriod,EDATE(DATE(YEAR(GanttStart),MONTH(GanttStart)-IF(GanttPeriod&gt;=90,MOD(MONTH(GanttStart)-1,3),0),1),((COLUMN()-COLUMN(gantt_Origin))-1)*IF(GanttPeriod&gt;=90,3,1)))</f>
        <v>46370</v>
      </c>
      <c r="JS5" s="82" t="n">
        <f aca="false">IF(GanttPeriod&lt;28,GanttStart+((COLUMN()-COLUMN(gantt_Origin))-1)*GanttPeriod,EDATE(DATE(YEAR(GanttStart),MONTH(GanttStart)-IF(GanttPeriod&gt;=90,MOD(MONTH(GanttStart)-1,3),0),1),((COLUMN()-COLUMN(gantt_Origin))-1)*IF(GanttPeriod&gt;=90,3,1)))</f>
        <v>46371</v>
      </c>
      <c r="JT5" s="82" t="n">
        <f aca="false">IF(GanttPeriod&lt;28,GanttStart+((COLUMN()-COLUMN(gantt_Origin))-1)*GanttPeriod,EDATE(DATE(YEAR(GanttStart),MONTH(GanttStart)-IF(GanttPeriod&gt;=90,MOD(MONTH(GanttStart)-1,3),0),1),((COLUMN()-COLUMN(gantt_Origin))-1)*IF(GanttPeriod&gt;=90,3,1)))</f>
        <v>46372</v>
      </c>
      <c r="JU5" s="82" t="n">
        <f aca="false">IF(GanttPeriod&lt;28,GanttStart+((COLUMN()-COLUMN(gantt_Origin))-1)*GanttPeriod,EDATE(DATE(YEAR(GanttStart),MONTH(GanttStart)-IF(GanttPeriod&gt;=90,MOD(MONTH(GanttStart)-1,3),0),1),((COLUMN()-COLUMN(gantt_Origin))-1)*IF(GanttPeriod&gt;=90,3,1)))</f>
        <v>46373</v>
      </c>
      <c r="JV5" s="82" t="n">
        <f aca="false">IF(GanttPeriod&lt;28,GanttStart+((COLUMN()-COLUMN(gantt_Origin))-1)*GanttPeriod,EDATE(DATE(YEAR(GanttStart),MONTH(GanttStart)-IF(GanttPeriod&gt;=90,MOD(MONTH(GanttStart)-1,3),0),1),((COLUMN()-COLUMN(gantt_Origin))-1)*IF(GanttPeriod&gt;=90,3,1)))</f>
        <v>46374</v>
      </c>
      <c r="JW5" s="82" t="n">
        <f aca="false">IF(GanttPeriod&lt;28,GanttStart+((COLUMN()-COLUMN(gantt_Origin))-1)*GanttPeriod,EDATE(DATE(YEAR(GanttStart),MONTH(GanttStart)-IF(GanttPeriod&gt;=90,MOD(MONTH(GanttStart)-1,3),0),1),((COLUMN()-COLUMN(gantt_Origin))-1)*IF(GanttPeriod&gt;=90,3,1)))</f>
        <v>46375</v>
      </c>
      <c r="JX5" s="82" t="n">
        <f aca="false">IF(GanttPeriod&lt;28,GanttStart+((COLUMN()-COLUMN(gantt_Origin))-1)*GanttPeriod,EDATE(DATE(YEAR(GanttStart),MONTH(GanttStart)-IF(GanttPeriod&gt;=90,MOD(MONTH(GanttStart)-1,3),0),1),((COLUMN()-COLUMN(gantt_Origin))-1)*IF(GanttPeriod&gt;=90,3,1)))</f>
        <v>46376</v>
      </c>
      <c r="JY5" s="82" t="n">
        <f aca="false">IF(GanttPeriod&lt;28,GanttStart+((COLUMN()-COLUMN(gantt_Origin))-1)*GanttPeriod,EDATE(DATE(YEAR(GanttStart),MONTH(GanttStart)-IF(GanttPeriod&gt;=90,MOD(MONTH(GanttStart)-1,3),0),1),((COLUMN()-COLUMN(gantt_Origin))-1)*IF(GanttPeriod&gt;=90,3,1)))</f>
        <v>46377</v>
      </c>
      <c r="JZ5" s="82" t="n">
        <f aca="false">IF(GanttPeriod&lt;28,GanttStart+((COLUMN()-COLUMN(gantt_Origin))-1)*GanttPeriod,EDATE(DATE(YEAR(GanttStart),MONTH(GanttStart)-IF(GanttPeriod&gt;=90,MOD(MONTH(GanttStart)-1,3),0),1),((COLUMN()-COLUMN(gantt_Origin))-1)*IF(GanttPeriod&gt;=90,3,1)))</f>
        <v>46378</v>
      </c>
      <c r="KA5" s="82" t="n">
        <f aca="false">IF(GanttPeriod&lt;28,GanttStart+((COLUMN()-COLUMN(gantt_Origin))-1)*GanttPeriod,EDATE(DATE(YEAR(GanttStart),MONTH(GanttStart)-IF(GanttPeriod&gt;=90,MOD(MONTH(GanttStart)-1,3),0),1),((COLUMN()-COLUMN(gantt_Origin))-1)*IF(GanttPeriod&gt;=90,3,1)))</f>
        <v>46379</v>
      </c>
      <c r="KB5" s="82" t="n">
        <f aca="false">IF(GanttPeriod&lt;28,GanttStart+((COLUMN()-COLUMN(gantt_Origin))-1)*GanttPeriod,EDATE(DATE(YEAR(GanttStart),MONTH(GanttStart)-IF(GanttPeriod&gt;=90,MOD(MONTH(GanttStart)-1,3),0),1),((COLUMN()-COLUMN(gantt_Origin))-1)*IF(GanttPeriod&gt;=90,3,1)))</f>
        <v>46380</v>
      </c>
      <c r="KC5" s="82" t="n">
        <f aca="false">IF(GanttPeriod&lt;28,GanttStart+((COLUMN()-COLUMN(gantt_Origin))-1)*GanttPeriod,EDATE(DATE(YEAR(GanttStart),MONTH(GanttStart)-IF(GanttPeriod&gt;=90,MOD(MONTH(GanttStart)-1,3),0),1),((COLUMN()-COLUMN(gantt_Origin))-1)*IF(GanttPeriod&gt;=90,3,1)))</f>
        <v>46381</v>
      </c>
      <c r="KD5" s="82" t="n">
        <f aca="false">IF(GanttPeriod&lt;28,GanttStart+((COLUMN()-COLUMN(gantt_Origin))-1)*GanttPeriod,EDATE(DATE(YEAR(GanttStart),MONTH(GanttStart)-IF(GanttPeriod&gt;=90,MOD(MONTH(GanttStart)-1,3),0),1),((COLUMN()-COLUMN(gantt_Origin))-1)*IF(GanttPeriod&gt;=90,3,1)))</f>
        <v>46382</v>
      </c>
      <c r="KE5" s="82" t="n">
        <f aca="false">IF(GanttPeriod&lt;28,GanttStart+((COLUMN()-COLUMN(gantt_Origin))-1)*GanttPeriod,EDATE(DATE(YEAR(GanttStart),MONTH(GanttStart)-IF(GanttPeriod&gt;=90,MOD(MONTH(GanttStart)-1,3),0),1),((COLUMN()-COLUMN(gantt_Origin))-1)*IF(GanttPeriod&gt;=90,3,1)))</f>
        <v>46383</v>
      </c>
      <c r="KF5" s="82" t="n">
        <f aca="false">IF(GanttPeriod&lt;28,GanttStart+((COLUMN()-COLUMN(gantt_Origin))-1)*GanttPeriod,EDATE(DATE(YEAR(GanttStart),MONTH(GanttStart)-IF(GanttPeriod&gt;=90,MOD(MONTH(GanttStart)-1,3),0),1),((COLUMN()-COLUMN(gantt_Origin))-1)*IF(GanttPeriod&gt;=90,3,1)))</f>
        <v>46384</v>
      </c>
      <c r="KG5" s="82" t="n">
        <f aca="false">IF(GanttPeriod&lt;28,GanttStart+((COLUMN()-COLUMN(gantt_Origin))-1)*GanttPeriod,EDATE(DATE(YEAR(GanttStart),MONTH(GanttStart)-IF(GanttPeriod&gt;=90,MOD(MONTH(GanttStart)-1,3),0),1),((COLUMN()-COLUMN(gantt_Origin))-1)*IF(GanttPeriod&gt;=90,3,1)))</f>
        <v>46385</v>
      </c>
      <c r="KH5" s="82" t="n">
        <f aca="false">IF(GanttPeriod&lt;28,GanttStart+((COLUMN()-COLUMN(gantt_Origin))-1)*GanttPeriod,EDATE(DATE(YEAR(GanttStart),MONTH(GanttStart)-IF(GanttPeriod&gt;=90,MOD(MONTH(GanttStart)-1,3),0),1),((COLUMN()-COLUMN(gantt_Origin))-1)*IF(GanttPeriod&gt;=90,3,1)))</f>
        <v>46386</v>
      </c>
      <c r="KI5" s="82" t="n">
        <f aca="false">IF(GanttPeriod&lt;28,GanttStart+((COLUMN()-COLUMN(gantt_Origin))-1)*GanttPeriod,EDATE(DATE(YEAR(GanttStart),MONTH(GanttStart)-IF(GanttPeriod&gt;=90,MOD(MONTH(GanttStart)-1,3),0),1),((COLUMN()-COLUMN(gantt_Origin))-1)*IF(GanttPeriod&gt;=90,3,1)))</f>
        <v>46387</v>
      </c>
      <c r="KJ5" s="82" t="n">
        <f aca="false">IF(GanttPeriod&lt;28,GanttStart+((COLUMN()-COLUMN(gantt_Origin))-1)*GanttPeriod,EDATE(DATE(YEAR(GanttStart),MONTH(GanttStart)-IF(GanttPeriod&gt;=90,MOD(MONTH(GanttStart)-1,3),0),1),((COLUMN()-COLUMN(gantt_Origin))-1)*IF(GanttPeriod&gt;=90,3,1)))</f>
        <v>46388</v>
      </c>
      <c r="KK5" s="82" t="n">
        <f aca="false">IF(GanttPeriod&lt;28,GanttStart+((COLUMN()-COLUMN(gantt_Origin))-1)*GanttPeriod,EDATE(DATE(YEAR(GanttStart),MONTH(GanttStart)-IF(GanttPeriod&gt;=90,MOD(MONTH(GanttStart)-1,3),0),1),((COLUMN()-COLUMN(gantt_Origin))-1)*IF(GanttPeriod&gt;=90,3,1)))</f>
        <v>46389</v>
      </c>
      <c r="KL5" s="82" t="n">
        <f aca="false">IF(GanttPeriod&lt;28,GanttStart+((COLUMN()-COLUMN(gantt_Origin))-1)*GanttPeriod,EDATE(DATE(YEAR(GanttStart),MONTH(GanttStart)-IF(GanttPeriod&gt;=90,MOD(MONTH(GanttStart)-1,3),0),1),((COLUMN()-COLUMN(gantt_Origin))-1)*IF(GanttPeriod&gt;=90,3,1)))</f>
        <v>46390</v>
      </c>
      <c r="KM5" s="82" t="n">
        <f aca="false">IF(GanttPeriod&lt;28,GanttStart+((COLUMN()-COLUMN(gantt_Origin))-1)*GanttPeriod,EDATE(DATE(YEAR(GanttStart),MONTH(GanttStart)-IF(GanttPeriod&gt;=90,MOD(MONTH(GanttStart)-1,3),0),1),((COLUMN()-COLUMN(gantt_Origin))-1)*IF(GanttPeriod&gt;=90,3,1)))</f>
        <v>46391</v>
      </c>
      <c r="KN5" s="82" t="n">
        <f aca="false">IF(GanttPeriod&lt;28,GanttStart+((COLUMN()-COLUMN(gantt_Origin))-1)*GanttPeriod,EDATE(DATE(YEAR(GanttStart),MONTH(GanttStart)-IF(GanttPeriod&gt;=90,MOD(MONTH(GanttStart)-1,3),0),1),((COLUMN()-COLUMN(gantt_Origin))-1)*IF(GanttPeriod&gt;=90,3,1)))</f>
        <v>46392</v>
      </c>
      <c r="KO5" s="82" t="n">
        <f aca="false">IF(GanttPeriod&lt;28,GanttStart+((COLUMN()-COLUMN(gantt_Origin))-1)*GanttPeriod,EDATE(DATE(YEAR(GanttStart),MONTH(GanttStart)-IF(GanttPeriod&gt;=90,MOD(MONTH(GanttStart)-1,3),0),1),((COLUMN()-COLUMN(gantt_Origin))-1)*IF(GanttPeriod&gt;=90,3,1)))</f>
        <v>46393</v>
      </c>
      <c r="KP5" s="82" t="n">
        <f aca="false">IF(GanttPeriod&lt;28,GanttStart+((COLUMN()-COLUMN(gantt_Origin))-1)*GanttPeriod,EDATE(DATE(YEAR(GanttStart),MONTH(GanttStart)-IF(GanttPeriod&gt;=90,MOD(MONTH(GanttStart)-1,3),0),1),((COLUMN()-COLUMN(gantt_Origin))-1)*IF(GanttPeriod&gt;=90,3,1)))</f>
        <v>46394</v>
      </c>
      <c r="KQ5" s="82" t="n">
        <f aca="false">IF(GanttPeriod&lt;28,GanttStart+((COLUMN()-COLUMN(gantt_Origin))-1)*GanttPeriod,EDATE(DATE(YEAR(GanttStart),MONTH(GanttStart)-IF(GanttPeriod&gt;=90,MOD(MONTH(GanttStart)-1,3),0),1),((COLUMN()-COLUMN(gantt_Origin))-1)*IF(GanttPeriod&gt;=90,3,1)))</f>
        <v>46395</v>
      </c>
      <c r="KR5" s="82" t="n">
        <f aca="false">IF(GanttPeriod&lt;28,GanttStart+((COLUMN()-COLUMN(gantt_Origin))-1)*GanttPeriod,EDATE(DATE(YEAR(GanttStart),MONTH(GanttStart)-IF(GanttPeriod&gt;=90,MOD(MONTH(GanttStart)-1,3),0),1),((COLUMN()-COLUMN(gantt_Origin))-1)*IF(GanttPeriod&gt;=90,3,1)))</f>
        <v>46396</v>
      </c>
      <c r="KS5" s="82" t="n">
        <f aca="false">IF(GanttPeriod&lt;28,GanttStart+((COLUMN()-COLUMN(gantt_Origin))-1)*GanttPeriod,EDATE(DATE(YEAR(GanttStart),MONTH(GanttStart)-IF(GanttPeriod&gt;=90,MOD(MONTH(GanttStart)-1,3),0),1),((COLUMN()-COLUMN(gantt_Origin))-1)*IF(GanttPeriod&gt;=90,3,1)))</f>
        <v>46397</v>
      </c>
      <c r="KT5" s="82" t="n">
        <f aca="false">IF(GanttPeriod&lt;28,GanttStart+((COLUMN()-COLUMN(gantt_Origin))-1)*GanttPeriod,EDATE(DATE(YEAR(GanttStart),MONTH(GanttStart)-IF(GanttPeriod&gt;=90,MOD(MONTH(GanttStart)-1,3),0),1),((COLUMN()-COLUMN(gantt_Origin))-1)*IF(GanttPeriod&gt;=90,3,1)))</f>
        <v>46398</v>
      </c>
      <c r="KU5" s="82" t="n">
        <f aca="false">IF(GanttPeriod&lt;28,GanttStart+((COLUMN()-COLUMN(gantt_Origin))-1)*GanttPeriod,EDATE(DATE(YEAR(GanttStart),MONTH(GanttStart)-IF(GanttPeriod&gt;=90,MOD(MONTH(GanttStart)-1,3),0),1),((COLUMN()-COLUMN(gantt_Origin))-1)*IF(GanttPeriod&gt;=90,3,1)))</f>
        <v>46399</v>
      </c>
      <c r="KV5" s="82" t="n">
        <f aca="false">IF(GanttPeriod&lt;28,GanttStart+((COLUMN()-COLUMN(gantt_Origin))-1)*GanttPeriod,EDATE(DATE(YEAR(GanttStart),MONTH(GanttStart)-IF(GanttPeriod&gt;=90,MOD(MONTH(GanttStart)-1,3),0),1),((COLUMN()-COLUMN(gantt_Origin))-1)*IF(GanttPeriod&gt;=90,3,1)))</f>
        <v>46400</v>
      </c>
      <c r="KW5" s="82" t="n">
        <f aca="false">IF(GanttPeriod&lt;28,GanttStart+((COLUMN()-COLUMN(gantt_Origin))-1)*GanttPeriod,EDATE(DATE(YEAR(GanttStart),MONTH(GanttStart)-IF(GanttPeriod&gt;=90,MOD(MONTH(GanttStart)-1,3),0),1),((COLUMN()-COLUMN(gantt_Origin))-1)*IF(GanttPeriod&gt;=90,3,1)))</f>
        <v>46401</v>
      </c>
      <c r="KX5" s="82" t="n">
        <f aca="false">IF(GanttPeriod&lt;28,GanttStart+((COLUMN()-COLUMN(gantt_Origin))-1)*GanttPeriod,EDATE(DATE(YEAR(GanttStart),MONTH(GanttStart)-IF(GanttPeriod&gt;=90,MOD(MONTH(GanttStart)-1,3),0),1),((COLUMN()-COLUMN(gantt_Origin))-1)*IF(GanttPeriod&gt;=90,3,1)))</f>
        <v>46402</v>
      </c>
      <c r="KY5" s="82" t="n">
        <f aca="false">IF(GanttPeriod&lt;28,GanttStart+((COLUMN()-COLUMN(gantt_Origin))-1)*GanttPeriod,EDATE(DATE(YEAR(GanttStart),MONTH(GanttStart)-IF(GanttPeriod&gt;=90,MOD(MONTH(GanttStart)-1,3),0),1),((COLUMN()-COLUMN(gantt_Origin))-1)*IF(GanttPeriod&gt;=90,3,1)))</f>
        <v>46403</v>
      </c>
      <c r="KZ5" s="82" t="n">
        <f aca="false">IF(GanttPeriod&lt;28,GanttStart+((COLUMN()-COLUMN(gantt_Origin))-1)*GanttPeriod,EDATE(DATE(YEAR(GanttStart),MONTH(GanttStart)-IF(GanttPeriod&gt;=90,MOD(MONTH(GanttStart)-1,3),0),1),((COLUMN()-COLUMN(gantt_Origin))-1)*IF(GanttPeriod&gt;=90,3,1)))</f>
        <v>46404</v>
      </c>
      <c r="LA5" s="82" t="n">
        <f aca="false">IF(GanttPeriod&lt;28,GanttStart+((COLUMN()-COLUMN(gantt_Origin))-1)*GanttPeriod,EDATE(DATE(YEAR(GanttStart),MONTH(GanttStart)-IF(GanttPeriod&gt;=90,MOD(MONTH(GanttStart)-1,3),0),1),((COLUMN()-COLUMN(gantt_Origin))-1)*IF(GanttPeriod&gt;=90,3,1)))</f>
        <v>46405</v>
      </c>
      <c r="LB5" s="82" t="n">
        <f aca="false">IF(GanttPeriod&lt;28,GanttStart+((COLUMN()-COLUMN(gantt_Origin))-1)*GanttPeriod,EDATE(DATE(YEAR(GanttStart),MONTH(GanttStart)-IF(GanttPeriod&gt;=90,MOD(MONTH(GanttStart)-1,3),0),1),((COLUMN()-COLUMN(gantt_Origin))-1)*IF(GanttPeriod&gt;=90,3,1)))</f>
        <v>46406</v>
      </c>
      <c r="LC5" s="82" t="n">
        <f aca="false">IF(GanttPeriod&lt;28,GanttStart+((COLUMN()-COLUMN(gantt_Origin))-1)*GanttPeriod,EDATE(DATE(YEAR(GanttStart),MONTH(GanttStart)-IF(GanttPeriod&gt;=90,MOD(MONTH(GanttStart)-1,3),0),1),((COLUMN()-COLUMN(gantt_Origin))-1)*IF(GanttPeriod&gt;=90,3,1)))</f>
        <v>46407</v>
      </c>
      <c r="LD5" s="82" t="n">
        <f aca="false">IF(GanttPeriod&lt;28,GanttStart+((COLUMN()-COLUMN(gantt_Origin))-1)*GanttPeriod,EDATE(DATE(YEAR(GanttStart),MONTH(GanttStart)-IF(GanttPeriod&gt;=90,MOD(MONTH(GanttStart)-1,3),0),1),((COLUMN()-COLUMN(gantt_Origin))-1)*IF(GanttPeriod&gt;=90,3,1)))</f>
        <v>46408</v>
      </c>
      <c r="LE5" s="82" t="n">
        <f aca="false">IF(GanttPeriod&lt;28,GanttStart+((COLUMN()-COLUMN(gantt_Origin))-1)*GanttPeriod,EDATE(DATE(YEAR(GanttStart),MONTH(GanttStart)-IF(GanttPeriod&gt;=90,MOD(MONTH(GanttStart)-1,3),0),1),((COLUMN()-COLUMN(gantt_Origin))-1)*IF(GanttPeriod&gt;=90,3,1)))</f>
        <v>46409</v>
      </c>
      <c r="LF5" s="82" t="n">
        <f aca="false">IF(GanttPeriod&lt;28,GanttStart+((COLUMN()-COLUMN(gantt_Origin))-1)*GanttPeriod,EDATE(DATE(YEAR(GanttStart),MONTH(GanttStart)-IF(GanttPeriod&gt;=90,MOD(MONTH(GanttStart)-1,3),0),1),((COLUMN()-COLUMN(gantt_Origin))-1)*IF(GanttPeriod&gt;=90,3,1)))</f>
        <v>46410</v>
      </c>
      <c r="LG5" s="82" t="n">
        <f aca="false">IF(GanttPeriod&lt;28,GanttStart+((COLUMN()-COLUMN(gantt_Origin))-1)*GanttPeriod,EDATE(DATE(YEAR(GanttStart),MONTH(GanttStart)-IF(GanttPeriod&gt;=90,MOD(MONTH(GanttStart)-1,3),0),1),((COLUMN()-COLUMN(gantt_Origin))-1)*IF(GanttPeriod&gt;=90,3,1)))</f>
        <v>46411</v>
      </c>
      <c r="LH5" s="82" t="n">
        <f aca="false">IF(GanttPeriod&lt;28,GanttStart+((COLUMN()-COLUMN(gantt_Origin))-1)*GanttPeriod,EDATE(DATE(YEAR(GanttStart),MONTH(GanttStart)-IF(GanttPeriod&gt;=90,MOD(MONTH(GanttStart)-1,3),0),1),((COLUMN()-COLUMN(gantt_Origin))-1)*IF(GanttPeriod&gt;=90,3,1)))</f>
        <v>46412</v>
      </c>
      <c r="LI5" s="82" t="n">
        <f aca="false">IF(GanttPeriod&lt;28,GanttStart+((COLUMN()-COLUMN(gantt_Origin))-1)*GanttPeriod,EDATE(DATE(YEAR(GanttStart),MONTH(GanttStart)-IF(GanttPeriod&gt;=90,MOD(MONTH(GanttStart)-1,3),0),1),((COLUMN()-COLUMN(gantt_Origin))-1)*IF(GanttPeriod&gt;=90,3,1)))</f>
        <v>46413</v>
      </c>
      <c r="LJ5" s="82" t="n">
        <f aca="false">IF(GanttPeriod&lt;28,GanttStart+((COLUMN()-COLUMN(gantt_Origin))-1)*GanttPeriod,EDATE(DATE(YEAR(GanttStart),MONTH(GanttStart)-IF(GanttPeriod&gt;=90,MOD(MONTH(GanttStart)-1,3),0),1),((COLUMN()-COLUMN(gantt_Origin))-1)*IF(GanttPeriod&gt;=90,3,1)))</f>
        <v>46414</v>
      </c>
      <c r="LK5" s="82" t="n">
        <f aca="false">IF(GanttPeriod&lt;28,GanttStart+((COLUMN()-COLUMN(gantt_Origin))-1)*GanttPeriod,EDATE(DATE(YEAR(GanttStart),MONTH(GanttStart)-IF(GanttPeriod&gt;=90,MOD(MONTH(GanttStart)-1,3),0),1),((COLUMN()-COLUMN(gantt_Origin))-1)*IF(GanttPeriod&gt;=90,3,1)))</f>
        <v>46415</v>
      </c>
      <c r="LL5" s="82" t="n">
        <f aca="false">IF(GanttPeriod&lt;28,GanttStart+((COLUMN()-COLUMN(gantt_Origin))-1)*GanttPeriod,EDATE(DATE(YEAR(GanttStart),MONTH(GanttStart)-IF(GanttPeriod&gt;=90,MOD(MONTH(GanttStart)-1,3),0),1),((COLUMN()-COLUMN(gantt_Origin))-1)*IF(GanttPeriod&gt;=90,3,1)))</f>
        <v>46416</v>
      </c>
      <c r="LM5" s="82" t="n">
        <f aca="false">IF(GanttPeriod&lt;28,GanttStart+((COLUMN()-COLUMN(gantt_Origin))-1)*GanttPeriod,EDATE(DATE(YEAR(GanttStart),MONTH(GanttStart)-IF(GanttPeriod&gt;=90,MOD(MONTH(GanttStart)-1,3),0),1),((COLUMN()-COLUMN(gantt_Origin))-1)*IF(GanttPeriod&gt;=90,3,1)))</f>
        <v>46417</v>
      </c>
      <c r="LN5" s="82" t="n">
        <f aca="false">IF(GanttPeriod&lt;28,GanttStart+((COLUMN()-COLUMN(gantt_Origin))-1)*GanttPeriod,EDATE(DATE(YEAR(GanttStart),MONTH(GanttStart)-IF(GanttPeriod&gt;=90,MOD(MONTH(GanttStart)-1,3),0),1),((COLUMN()-COLUMN(gantt_Origin))-1)*IF(GanttPeriod&gt;=90,3,1)))</f>
        <v>46418</v>
      </c>
      <c r="LO5" s="82" t="n">
        <f aca="false">IF(GanttPeriod&lt;28,GanttStart+((COLUMN()-COLUMN(gantt_Origin))-1)*GanttPeriod,EDATE(DATE(YEAR(GanttStart),MONTH(GanttStart)-IF(GanttPeriod&gt;=90,MOD(MONTH(GanttStart)-1,3),0),1),((COLUMN()-COLUMN(gantt_Origin))-1)*IF(GanttPeriod&gt;=90,3,1)))</f>
        <v>46419</v>
      </c>
      <c r="LP5" s="82" t="n">
        <f aca="false">IF(GanttPeriod&lt;28,GanttStart+((COLUMN()-COLUMN(gantt_Origin))-1)*GanttPeriod,EDATE(DATE(YEAR(GanttStart),MONTH(GanttStart)-IF(GanttPeriod&gt;=90,MOD(MONTH(GanttStart)-1,3),0),1),((COLUMN()-COLUMN(gantt_Origin))-1)*IF(GanttPeriod&gt;=90,3,1)))</f>
        <v>46420</v>
      </c>
      <c r="LQ5" s="82" t="n">
        <f aca="false">IF(GanttPeriod&lt;28,GanttStart+((COLUMN()-COLUMN(gantt_Origin))-1)*GanttPeriod,EDATE(DATE(YEAR(GanttStart),MONTH(GanttStart)-IF(GanttPeriod&gt;=90,MOD(MONTH(GanttStart)-1,3),0),1),((COLUMN()-COLUMN(gantt_Origin))-1)*IF(GanttPeriod&gt;=90,3,1)))</f>
        <v>46421</v>
      </c>
      <c r="LR5" s="82" t="n">
        <f aca="false">IF(GanttPeriod&lt;28,GanttStart+((COLUMN()-COLUMN(gantt_Origin))-1)*GanttPeriod,EDATE(DATE(YEAR(GanttStart),MONTH(GanttStart)-IF(GanttPeriod&gt;=90,MOD(MONTH(GanttStart)-1,3),0),1),((COLUMN()-COLUMN(gantt_Origin))-1)*IF(GanttPeriod&gt;=90,3,1)))</f>
        <v>46422</v>
      </c>
      <c r="LS5" s="82" t="n">
        <f aca="false">IF(GanttPeriod&lt;28,GanttStart+((COLUMN()-COLUMN(gantt_Origin))-1)*GanttPeriod,EDATE(DATE(YEAR(GanttStart),MONTH(GanttStart)-IF(GanttPeriod&gt;=90,MOD(MONTH(GanttStart)-1,3),0),1),((COLUMN()-COLUMN(gantt_Origin))-1)*IF(GanttPeriod&gt;=90,3,1)))</f>
        <v>46423</v>
      </c>
      <c r="LT5" s="82" t="n">
        <f aca="false">IF(GanttPeriod&lt;28,GanttStart+((COLUMN()-COLUMN(gantt_Origin))-1)*GanttPeriod,EDATE(DATE(YEAR(GanttStart),MONTH(GanttStart)-IF(GanttPeriod&gt;=90,MOD(MONTH(GanttStart)-1,3),0),1),((COLUMN()-COLUMN(gantt_Origin))-1)*IF(GanttPeriod&gt;=90,3,1)))</f>
        <v>46424</v>
      </c>
      <c r="LU5" s="82" t="n">
        <f aca="false">IF(GanttPeriod&lt;28,GanttStart+((COLUMN()-COLUMN(gantt_Origin))-1)*GanttPeriod,EDATE(DATE(YEAR(GanttStart),MONTH(GanttStart)-IF(GanttPeriod&gt;=90,MOD(MONTH(GanttStart)-1,3),0),1),((COLUMN()-COLUMN(gantt_Origin))-1)*IF(GanttPeriod&gt;=90,3,1)))</f>
        <v>46425</v>
      </c>
      <c r="LV5" s="82" t="n">
        <f aca="false">IF(GanttPeriod&lt;28,GanttStart+((COLUMN()-COLUMN(gantt_Origin))-1)*GanttPeriod,EDATE(DATE(YEAR(GanttStart),MONTH(GanttStart)-IF(GanttPeriod&gt;=90,MOD(MONTH(GanttStart)-1,3),0),1),((COLUMN()-COLUMN(gantt_Origin))-1)*IF(GanttPeriod&gt;=90,3,1)))</f>
        <v>46426</v>
      </c>
      <c r="LW5" s="82" t="n">
        <f aca="false">IF(GanttPeriod&lt;28,GanttStart+((COLUMN()-COLUMN(gantt_Origin))-1)*GanttPeriod,EDATE(DATE(YEAR(GanttStart),MONTH(GanttStart)-IF(GanttPeriod&gt;=90,MOD(MONTH(GanttStart)-1,3),0),1),((COLUMN()-COLUMN(gantt_Origin))-1)*IF(GanttPeriod&gt;=90,3,1)))</f>
        <v>46427</v>
      </c>
      <c r="LX5" s="82" t="n">
        <f aca="false">IF(GanttPeriod&lt;28,GanttStart+((COLUMN()-COLUMN(gantt_Origin))-1)*GanttPeriod,EDATE(DATE(YEAR(GanttStart),MONTH(GanttStart)-IF(GanttPeriod&gt;=90,MOD(MONTH(GanttStart)-1,3),0),1),((COLUMN()-COLUMN(gantt_Origin))-1)*IF(GanttPeriod&gt;=90,3,1)))</f>
        <v>46428</v>
      </c>
      <c r="LY5" s="82" t="n">
        <f aca="false">IF(GanttPeriod&lt;28,GanttStart+((COLUMN()-COLUMN(gantt_Origin))-1)*GanttPeriod,EDATE(DATE(YEAR(GanttStart),MONTH(GanttStart)-IF(GanttPeriod&gt;=90,MOD(MONTH(GanttStart)-1,3),0),1),((COLUMN()-COLUMN(gantt_Origin))-1)*IF(GanttPeriod&gt;=90,3,1)))</f>
        <v>46429</v>
      </c>
      <c r="LZ5" s="82" t="n">
        <f aca="false">IF(GanttPeriod&lt;28,GanttStart+((COLUMN()-COLUMN(gantt_Origin))-1)*GanttPeriod,EDATE(DATE(YEAR(GanttStart),MONTH(GanttStart)-IF(GanttPeriod&gt;=90,MOD(MONTH(GanttStart)-1,3),0),1),((COLUMN()-COLUMN(gantt_Origin))-1)*IF(GanttPeriod&gt;=90,3,1)))</f>
        <v>46430</v>
      </c>
      <c r="MA5" s="82" t="n">
        <f aca="false">IF(GanttPeriod&lt;28,GanttStart+((COLUMN()-COLUMN(gantt_Origin))-1)*GanttPeriod,EDATE(DATE(YEAR(GanttStart),MONTH(GanttStart)-IF(GanttPeriod&gt;=90,MOD(MONTH(GanttStart)-1,3),0),1),((COLUMN()-COLUMN(gantt_Origin))-1)*IF(GanttPeriod&gt;=90,3,1)))</f>
        <v>46431</v>
      </c>
      <c r="MB5" s="82" t="n">
        <f aca="false">IF(GanttPeriod&lt;28,GanttStart+((COLUMN()-COLUMN(gantt_Origin))-1)*GanttPeriod,EDATE(DATE(YEAR(GanttStart),MONTH(GanttStart)-IF(GanttPeriod&gt;=90,MOD(MONTH(GanttStart)-1,3),0),1),((COLUMN()-COLUMN(gantt_Origin))-1)*IF(GanttPeriod&gt;=90,3,1)))</f>
        <v>46432</v>
      </c>
      <c r="MC5" s="82" t="n">
        <f aca="false">IF(GanttPeriod&lt;28,GanttStart+((COLUMN()-COLUMN(gantt_Origin))-1)*GanttPeriod,EDATE(DATE(YEAR(GanttStart),MONTH(GanttStart)-IF(GanttPeriod&gt;=90,MOD(MONTH(GanttStart)-1,3),0),1),((COLUMN()-COLUMN(gantt_Origin))-1)*IF(GanttPeriod&gt;=90,3,1)))</f>
        <v>46433</v>
      </c>
      <c r="MD5" s="82" t="n">
        <f aca="false">IF(GanttPeriod&lt;28,GanttStart+((COLUMN()-COLUMN(gantt_Origin))-1)*GanttPeriod,EDATE(DATE(YEAR(GanttStart),MONTH(GanttStart)-IF(GanttPeriod&gt;=90,MOD(MONTH(GanttStart)-1,3),0),1),((COLUMN()-COLUMN(gantt_Origin))-1)*IF(GanttPeriod&gt;=90,3,1)))</f>
        <v>46434</v>
      </c>
      <c r="ME5" s="82" t="n">
        <f aca="false">IF(GanttPeriod&lt;28,GanttStart+((COLUMN()-COLUMN(gantt_Origin))-1)*GanttPeriod,EDATE(DATE(YEAR(GanttStart),MONTH(GanttStart)-IF(GanttPeriod&gt;=90,MOD(MONTH(GanttStart)-1,3),0),1),((COLUMN()-COLUMN(gantt_Origin))-1)*IF(GanttPeriod&gt;=90,3,1)))</f>
        <v>46435</v>
      </c>
      <c r="MF5" s="82" t="n">
        <f aca="false">IF(GanttPeriod&lt;28,GanttStart+((COLUMN()-COLUMN(gantt_Origin))-1)*GanttPeriod,EDATE(DATE(YEAR(GanttStart),MONTH(GanttStart)-IF(GanttPeriod&gt;=90,MOD(MONTH(GanttStart)-1,3),0),1),((COLUMN()-COLUMN(gantt_Origin))-1)*IF(GanttPeriod&gt;=90,3,1)))</f>
        <v>46436</v>
      </c>
      <c r="MG5" s="82" t="n">
        <f aca="false">IF(GanttPeriod&lt;28,GanttStart+((COLUMN()-COLUMN(gantt_Origin))-1)*GanttPeriod,EDATE(DATE(YEAR(GanttStart),MONTH(GanttStart)-IF(GanttPeriod&gt;=90,MOD(MONTH(GanttStart)-1,3),0),1),((COLUMN()-COLUMN(gantt_Origin))-1)*IF(GanttPeriod&gt;=90,3,1)))</f>
        <v>46437</v>
      </c>
      <c r="MH5" s="82" t="n">
        <f aca="false">IF(GanttPeriod&lt;28,GanttStart+((COLUMN()-COLUMN(gantt_Origin))-1)*GanttPeriod,EDATE(DATE(YEAR(GanttStart),MONTH(GanttStart)-IF(GanttPeriod&gt;=90,MOD(MONTH(GanttStart)-1,3),0),1),((COLUMN()-COLUMN(gantt_Origin))-1)*IF(GanttPeriod&gt;=90,3,1)))</f>
        <v>46438</v>
      </c>
      <c r="MI5" s="82" t="n">
        <f aca="false">IF(GanttPeriod&lt;28,GanttStart+((COLUMN()-COLUMN(gantt_Origin))-1)*GanttPeriod,EDATE(DATE(YEAR(GanttStart),MONTH(GanttStart)-IF(GanttPeriod&gt;=90,MOD(MONTH(GanttStart)-1,3),0),1),((COLUMN()-COLUMN(gantt_Origin))-1)*IF(GanttPeriod&gt;=90,3,1)))</f>
        <v>46439</v>
      </c>
      <c r="MJ5" s="82" t="n">
        <f aca="false">IF(GanttPeriod&lt;28,GanttStart+((COLUMN()-COLUMN(gantt_Origin))-1)*GanttPeriod,EDATE(DATE(YEAR(GanttStart),MONTH(GanttStart)-IF(GanttPeriod&gt;=90,MOD(MONTH(GanttStart)-1,3),0),1),((COLUMN()-COLUMN(gantt_Origin))-1)*IF(GanttPeriod&gt;=90,3,1)))</f>
        <v>46440</v>
      </c>
      <c r="MK5" s="82" t="n">
        <f aca="false">IF(GanttPeriod&lt;28,GanttStart+((COLUMN()-COLUMN(gantt_Origin))-1)*GanttPeriod,EDATE(DATE(YEAR(GanttStart),MONTH(GanttStart)-IF(GanttPeriod&gt;=90,MOD(MONTH(GanttStart)-1,3),0),1),((COLUMN()-COLUMN(gantt_Origin))-1)*IF(GanttPeriod&gt;=90,3,1)))</f>
        <v>46441</v>
      </c>
      <c r="ML5" s="82" t="n">
        <f aca="false">IF(GanttPeriod&lt;28,GanttStart+((COLUMN()-COLUMN(gantt_Origin))-1)*GanttPeriod,EDATE(DATE(YEAR(GanttStart),MONTH(GanttStart)-IF(GanttPeriod&gt;=90,MOD(MONTH(GanttStart)-1,3),0),1),((COLUMN()-COLUMN(gantt_Origin))-1)*IF(GanttPeriod&gt;=90,3,1)))</f>
        <v>46442</v>
      </c>
      <c r="MM5" s="82" t="n">
        <f aca="false">IF(GanttPeriod&lt;28,GanttStart+((COLUMN()-COLUMN(gantt_Origin))-1)*GanttPeriod,EDATE(DATE(YEAR(GanttStart),MONTH(GanttStart)-IF(GanttPeriod&gt;=90,MOD(MONTH(GanttStart)-1,3),0),1),((COLUMN()-COLUMN(gantt_Origin))-1)*IF(GanttPeriod&gt;=90,3,1)))</f>
        <v>46443</v>
      </c>
      <c r="MN5" s="82" t="n">
        <f aca="false">IF(GanttPeriod&lt;28,GanttStart+((COLUMN()-COLUMN(gantt_Origin))-1)*GanttPeriod,EDATE(DATE(YEAR(GanttStart),MONTH(GanttStart)-IF(GanttPeriod&gt;=90,MOD(MONTH(GanttStart)-1,3),0),1),((COLUMN()-COLUMN(gantt_Origin))-1)*IF(GanttPeriod&gt;=90,3,1)))</f>
        <v>46444</v>
      </c>
      <c r="MO5" s="82" t="n">
        <f aca="false">IF(GanttPeriod&lt;28,GanttStart+((COLUMN()-COLUMN(gantt_Origin))-1)*GanttPeriod,EDATE(DATE(YEAR(GanttStart),MONTH(GanttStart)-IF(GanttPeriod&gt;=90,MOD(MONTH(GanttStart)-1,3),0),1),((COLUMN()-COLUMN(gantt_Origin))-1)*IF(GanttPeriod&gt;=90,3,1)))</f>
        <v>46445</v>
      </c>
      <c r="MP5" s="82" t="n">
        <f aca="false">IF(GanttPeriod&lt;28,GanttStart+((COLUMN()-COLUMN(gantt_Origin))-1)*GanttPeriod,EDATE(DATE(YEAR(GanttStart),MONTH(GanttStart)-IF(GanttPeriod&gt;=90,MOD(MONTH(GanttStart)-1,3),0),1),((COLUMN()-COLUMN(gantt_Origin))-1)*IF(GanttPeriod&gt;=90,3,1)))</f>
        <v>46446</v>
      </c>
      <c r="MQ5" s="82" t="n">
        <f aca="false">IF(GanttPeriod&lt;28,GanttStart+((COLUMN()-COLUMN(gantt_Origin))-1)*GanttPeriod,EDATE(DATE(YEAR(GanttStart),MONTH(GanttStart)-IF(GanttPeriod&gt;=90,MOD(MONTH(GanttStart)-1,3),0),1),((COLUMN()-COLUMN(gantt_Origin))-1)*IF(GanttPeriod&gt;=90,3,1)))</f>
        <v>46447</v>
      </c>
      <c r="MR5" s="82" t="n">
        <f aca="false">IF(GanttPeriod&lt;28,GanttStart+((COLUMN()-COLUMN(gantt_Origin))-1)*GanttPeriod,EDATE(DATE(YEAR(GanttStart),MONTH(GanttStart)-IF(GanttPeriod&gt;=90,MOD(MONTH(GanttStart)-1,3),0),1),((COLUMN()-COLUMN(gantt_Origin))-1)*IF(GanttPeriod&gt;=90,3,1)))</f>
        <v>46448</v>
      </c>
      <c r="MS5" s="82"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1" t="n">
        <f aca="false">IF(Tasks[[#This Row],[Task Name]]="","",COUNTA(Tasks[[#Headers],[Task Name]]:Tasks[[#This Row],[Task Name]])-1)</f>
        <v>1</v>
      </c>
      <c r="B6" s="22" t="n">
        <v>1</v>
      </c>
      <c r="C6" s="22" t="n">
        <v>1</v>
      </c>
      <c r="D6" s="23" t="s">
        <v>608</v>
      </c>
      <c r="E6" s="22"/>
      <c r="F6" s="23"/>
      <c r="G6" s="22"/>
      <c r="H6" s="22"/>
      <c r="I6" s="23"/>
      <c r="J6" s="22"/>
      <c r="K6" s="22"/>
      <c r="L6" s="23"/>
      <c r="M6" s="22"/>
      <c r="N6" s="22"/>
      <c r="O6" s="23"/>
      <c r="P6" s="22"/>
      <c r="Q6" s="22"/>
      <c r="R6" s="23"/>
      <c r="S6" s="23"/>
      <c r="T6" s="83"/>
      <c r="U6" s="23"/>
      <c r="V6" s="83"/>
      <c r="W6" s="23"/>
      <c r="X6" s="83"/>
      <c r="Y6" s="23"/>
      <c r="Z6" s="83"/>
      <c r="AA6" s="23"/>
      <c r="AB6" s="23"/>
      <c r="AC6" s="7"/>
      <c r="AD6" s="7"/>
      <c r="AE6" s="62" t="n">
        <f aca="false">IF(Tasks[[#This Row],[Task Name]]="","",IF(Tasks[[#This Row],[_IsSummary]],MIN(INDEX(Tasks[_ShownFcstStart],Tasks[[#This Row],[_Row]]+1):INDEX(Tasks[_ShownFcstStart],Tasks[[#This Row],[_Row]]+Tasks[[#This Row],[_Descendants]])),Tasks[[#This Row],[_ShownFcstStart]]))</f>
        <v>46272</v>
      </c>
      <c r="AF6" s="62" t="n">
        <f aca="false">IF(Tasks[[#This Row],[Task Name]]="","",IF(Tasks[[#This Row],[_IsSummary]],MAX(INDEX(Tasks[_ShownFcstFinish],Tasks[[#This Row],[_Row]]+1):INDEX(Tasks[_ShownFcstFinish],Tasks[[#This Row],[_Row]]+Tasks[[#This Row],[_Descendants]])),Tasks[[#This Row],[_ShownFcstFinish]]))</f>
        <v>46279</v>
      </c>
      <c r="AG6" s="21" t="str">
        <f aca="false">""</f>
        <v/>
      </c>
      <c r="AH6" s="23" t="s">
        <v>609</v>
      </c>
      <c r="AI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 s="7"/>
      <c r="AK6" s="22" t="s">
        <v>235</v>
      </c>
      <c r="AL6" s="23"/>
      <c r="AM6" s="7"/>
      <c r="AN6" s="46" t="n">
        <f aca="false">IF(Tasks[[#This Row],[Task Name]]="","",IF(Tasks[[#This Row],[Finish]]&gt;=Tasks[[#This Row],[Planned Finish]],NETWORKDAYS.INTL(Tasks[[#This Row],[Planned Finish]],Tasks[[#This Row],[Finish]],WorkWeek,Holidays)-1,1-NETWORKDAYS.INTL(Tasks[[#This Row],[Finish]],Tasks[[#This Row],[Planned Finish]],WorkWeek,Holidays)))</f>
        <v>1</v>
      </c>
      <c r="AO6" s="21" t="str">
        <f aca="false">IF(Tasks[[#This Row],[Task Name]]="","",IF(Tasks[[#This Row],[Progress]]&gt;=1,"Complete",IF(OR(N(Tasks[[#This Row],[Actual Start]])&gt;0,Tasks[[#This Row],[Progress]]&gt;0),IF(Tasks[[#This Row],[Finish Var]]&gt;0,"Behind","In Progress"),IF(Tasks[[#This Row],[Planned Start]]&lt;StatusDate,"Late Start","Not Started"))))</f>
        <v>Complete</v>
      </c>
      <c r="AP6" s="21" t="str">
        <f aca="false">IF(Tasks[[#This Row],[Task Name]]="","",IF(IF(Tasks[[#This Row],[_IsSummary]],COUNTIF(INDEX(Tasks[_LeafCritical],Tasks[[#This Row],[_Row]]+1):INDEX(Tasks[_LeafCritical],Tasks[[#This Row],[_Row]]+Tasks[[#This Row],[_Descendants]]),TRUE())&gt;0,Tasks[[#This Row],[_LeafCritical]]),"Yes",""))</f>
        <v/>
      </c>
      <c r="AQ6" s="62" t="n">
        <f aca="false">IF(Tasks[[#This Row],[Task Name]]="","",IF(N(Tasks[[#This Row],[Baseline Start]])&gt;0,Tasks[[#This Row],[Baseline Start]],Tasks[[#This Row],[_CalcStart]]))</f>
        <v>46272</v>
      </c>
      <c r="AR6" s="62" t="n">
        <f aca="false">IF(Tasks[[#This Row],[Task Name]]="","",IF(N(Tasks[[#This Row],[Baseline Finish]])&gt;0,Tasks[[#This Row],[Baseline Finish]],Tasks[[#This Row],[_CalcFinish]]))</f>
        <v>46276</v>
      </c>
      <c r="AS6" s="46" t="n">
        <f aca="false">IF(Tasks[[#This Row],[Task Name]]="","",IF(Tasks[[#This Row],[Start]]&gt;=Tasks[[#This Row],[Planned Start]],NETWORKDAYS.INTL(Tasks[[#This Row],[Planned Start]],Tasks[[#This Row],[Start]],WorkWeek,Holidays)-1,1-NETWORKDAYS.INTL(Tasks[[#This Row],[Start]],Tasks[[#This Row],[Planned Start]],WorkWeek,Holidays)))</f>
        <v>0</v>
      </c>
      <c r="AT6" s="62" t="n">
        <f aca="false">IF(Tasks[[#This Row],[Task Name]]="","",IF(Tasks[[#This Row],[_IsSummary]],MIN(INDEX(Tasks[_LeafLateStart],Tasks[[#This Row],[_Row]]+1):INDEX(Tasks[_LeafLateStart],Tasks[[#This Row],[_Row]]+Tasks[[#This Row],[_Descendants]])),Tasks[[#This Row],[_LeafLateStart]]))</f>
        <v>46276</v>
      </c>
      <c r="AU6" s="62" t="n">
        <f aca="false">IF(Tasks[[#This Row],[Task Name]]="","",IF(Tasks[[#This Row],[_IsSummary]],MAX(INDEX(Tasks[_LeafLateFinish],Tasks[[#This Row],[_Row]]+1):INDEX(Tasks[_LeafLateFinish],Tasks[[#This Row],[_Row]]+Tasks[[#This Row],[_Descendants]])),Tasks[[#This Row],[_LeafLateFinish]]))</f>
        <v>46282</v>
      </c>
      <c r="AV6" s="46" t="n">
        <f aca="false">IF(Tasks[[#This Row],[Task Name]]="","",IF(Tasks[[#This Row],[_IsSummary]],MIN(INDEX(Tasks[_LeafTotalSlack],Tasks[[#This Row],[_Row]]+1):INDEX(Tasks[_LeafTotalSlack],Tasks[[#This Row],[_Row]]+Tasks[[#This Row],[_Descendants]])),Tasks[[#This Row],[_LeafTotalSlack]]))</f>
        <v>3</v>
      </c>
      <c r="AW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4"/>
      <c r="BA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BD6" s="21" t="str">
        <f aca="false">IF(Tasks[[#This Row],[Task Name]]="","",IF(Tasks[[#This Row],[_Level]]&lt;=OutlineShowLevel,"Yes","No"))</f>
        <v>Yes</v>
      </c>
      <c r="BE6" s="85" t="n">
        <f aca="false">IF(Tasks[[#This Row],[Task Name]]="","",IF(Tasks[[#This Row],[_IsSummary]],SUM(INDEX(Tasks[_LeafTotalWork],Tasks[[#This Row],[_Row]]+1):INDEX(Tasks[_LeafTotalWork],Tasks[[#This Row],[_Row]]+Tasks[[#This Row],[_Descendants]])),Tasks[[#This Row],[_LeafTotalWork]]))</f>
        <v>40</v>
      </c>
      <c r="BF6" s="23" t="s">
        <v>6</v>
      </c>
      <c r="BG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t="str">
        <f aca="false">""</f>
        <v/>
      </c>
      <c r="BI6" s="86"/>
      <c r="BJ6" s="22"/>
      <c r="BK6" s="46" t="n">
        <f aca="false">IF(OR(Tasks[[#This Row],[Task Name]]="",Tasks[[#This Row],[Baseline Duration]]=""),"",Tasks[[#This Row],[_SpanDays]]-N(Tasks[[#This Row],[Baseline Duration]]))</f>
        <v>1</v>
      </c>
      <c r="BL6" s="85" t="n">
        <f aca="false">IF(OR(Tasks[[#This Row],[Task Name]]="",Tasks[[#This Row],[Baseline Work]]=""),"",Tasks[[#This Row],[Work]]-N(Tasks[[#This Row],[Baseline Work]]))</f>
        <v>0</v>
      </c>
      <c r="BM6" s="62" t="n">
        <f aca="false">IF(Tasks[[#This Row],[Task Name]]="","",IF(OR(TakeBaseline="Yes",N(Tasks[[#This Row],[Baseline Start]])=0),Tasks[[#This Row],[Start]],Tasks[[#This Row],[Baseline Start]]))</f>
        <v>46272</v>
      </c>
      <c r="BN6" s="62" t="n">
        <f aca="false">IF(Tasks[[#This Row],[Task Name]]="","",IF(OR(TakeBaseline="Yes",N(Tasks[[#This Row],[Baseline Finish]])=0),Tasks[[#This Row],[Finish]],Tasks[[#This Row],[Baseline Finish]]))</f>
        <v>46276</v>
      </c>
      <c r="BO6" s="21" t="n">
        <f aca="false">IF(Tasks[[#This Row],[Task Name]]="","",IF(OR(TakeBaseline="Yes",N(Tasks[[#This Row],[Baseline Duration]])=0),Tasks[[#This Row],[_SpanDays]],Tasks[[#This Row],[Baseline Duration]]))</f>
        <v>5</v>
      </c>
      <c r="BP6" s="85" t="n">
        <f aca="false">IF(Tasks[[#This Row],[Task Name]]="","",IF(OR(TakeBaseline="Yes",N(Tasks[[#This Row],[Baseline Work]])=0),Tasks[[#This Row],[Work]],Tasks[[#This Row],[Baseline Work]]))</f>
        <v>40</v>
      </c>
      <c r="BQ6" s="7" t="n">
        <v>46272</v>
      </c>
      <c r="BR6" s="7" t="n">
        <v>46276</v>
      </c>
      <c r="BS6" s="22" t="n">
        <v>5</v>
      </c>
      <c r="BT6" s="87" t="n">
        <v>40</v>
      </c>
      <c r="BU6" s="42" t="n">
        <f aca="false">IF(Tasks[[#This Row],[Task Name]]="","",MAX(1,N(Tasks[[#This Row],[Level]])))</f>
        <v>1</v>
      </c>
      <c r="BV6" s="42" t="n">
        <f aca="false">ROW()-ROW(Tasks[[#Headers],[ID]])</f>
        <v>1</v>
      </c>
      <c r="BW6" s="42" t="n">
        <f aca="false">IF(OR(Tasks[[#This Row],[Task Name]]="",Tasks[[#This Row],[_Level]]&lt;=1),0,IFERROR(LOOKUP(2,1/(Tasks[[#Headers],[_Level]]:Tasks[[#This Row],[_Level]]=Tasks[[#This Row],[_Level]]-1),ROW(Tasks[[#Headers],[_Level]]:Tasks[[#This Row],[_Level]])),0))</f>
        <v>0</v>
      </c>
      <c r="BX6" s="42" t="n">
        <f aca="false">IFERROR(N(INDEX(Tasks[_Level],Tasks[[#This Row],[_Row]]+1)),0)</f>
        <v>2</v>
      </c>
      <c r="BY6" s="88" t="b">
        <f aca="false">AND(Tasks[[#This Row],[Task Name]]&lt;&gt;"",Tasks[[#This Row],[_NextLevel]]&gt;Tasks[[#This Row],[_Level]])</f>
        <v>1</v>
      </c>
      <c r="BZ6" s="42" t="n">
        <f aca="false">IF(Tasks[[#This Row],[_IsSummary]],COUNTIF(Tasks[WBS],Tasks[[#This Row],[WBS]]&amp;".*"),0)</f>
        <v>3</v>
      </c>
      <c r="CA6" s="42" t="n">
        <f aca="false">IF(AND(Tasks[[#This Row],[Task Name]]&lt;&gt;"",NOT(Tasks[[#This Row],[_IsSummary]])),1,0)</f>
        <v>0</v>
      </c>
      <c r="CB6" s="42" t="n">
        <f aca="false">IF(N(Tasks[[#This Row],[_Pred1UID]])=0,0,IFERROR(MATCH(Tasks[[#This Row],[_Pred1UID]],Tasks[UID],0),-1))</f>
        <v>0</v>
      </c>
      <c r="CC6" s="42" t="n">
        <f aca="false">IF(N(Tasks[[#This Row],[_Pred2UID]])=0,0,IFERROR(MATCH(Tasks[[#This Row],[_Pred2UID]],Tasks[UID],0),-1))</f>
        <v>0</v>
      </c>
      <c r="CD6" s="42" t="n">
        <f aca="false">IF(N(Tasks[[#This Row],[_Pred3UID]])=0,0,IFERROR(MATCH(Tasks[[#This Row],[_Pred3UID]],Tasks[UID],0),-1))</f>
        <v>0</v>
      </c>
      <c r="CE6" s="42" t="n">
        <f aca="false">IF(N(Tasks[[#This Row],[_Pred4UID]])=0,0,IFERROR(MATCH(Tasks[[#This Row],[_Pred4UID]],Tasks[UID],0),-1))</f>
        <v>0</v>
      </c>
      <c r="CF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 s="89" t="n">
        <f aca="false">IF(OR(Tasks[[#This Row],[_ConstraintCode]]=2,Tasks[[#This Row],[_ConstraintCode]]=3,Tasks[[#This Row],[_ConstraintCode]]=4,Tasks[[#This Row],[_ConstraintCode]]=6),Tasks[[#This Row],[_ConstraintStart]],0)</f>
        <v>0</v>
      </c>
      <c r="CI6" s="89" t="n">
        <f aca="false">IF(OR(Tasks[[#This Row],[_ConstraintCode]]=2,Tasks[[#This Row],[_ConstraintCode]]=3,Tasks[[#This Row],[_ConstraintCode]]=5,Tasks[[#This Row],[_ConstraintCode]]=7),Tasks[[#This Row],[_ConstraintStart]],2958465)</f>
        <v>2958465</v>
      </c>
      <c r="CJ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 s="89" t="str">
        <f aca="false">IF(NOT(Tasks[[#This Row],[_IsLeaf]]=1),"",IF(N(Tasks[[#This Row],[_Days]])&lt;=0,Tasks[[#This Row],[_LeafCalcStart]],WORKDAY.INTL(Tasks[[#This Row],[_LeafCalcStart]],Tasks[[#This Row],[_Days]]-1,WorkWeek,Holidays)))</f>
        <v/>
      </c>
      <c r="CL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 s="42" t="str">
        <f aca="false">IF(Tasks[[#This Row],[_Predecessors]]="","",TRIM(MID(SUBSTITUTE(SUBSTITUTE(SUBSTITUTE(UPPER(Tasks[[#This Row],[_Predecessors]]),";",",")," ",""),",",REPT(" ",99)),1,99)))</f>
        <v/>
      </c>
      <c r="CO6" s="42" t="str">
        <f aca="false">IF(Tasks[[#This Row],[_Pred1Text]]="","",IFERROR(VALUE(LEFT(Tasks[[#This Row],[_Pred1Text]],MIN(FIND("F",Tasks[[#This Row],[_Pred1Text]]&amp;"F"),FIND("S",Tasks[[#This Row],[_Pred1Text]]&amp;"S"),FIND("+",Tasks[[#This Row],[_Pred1Text]]&amp;"+"),FIND("-",Tasks[[#This Row],[_Pred1Text]]&amp;"-"))-1)),""))</f>
        <v/>
      </c>
      <c r="CP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 s="42" t="str">
        <f aca="false">IF(Tasks[[#This Row],[_Pred1Text]]="","",TRIM(MID(SUBSTITUTE(SUBSTITUTE(SUBSTITUTE(UPPER(Tasks[[#This Row],[_Predecessors]]),";",",")," ",""),",",REPT(" ",99)),100,99)))</f>
        <v/>
      </c>
      <c r="CS6" s="42" t="str">
        <f aca="false">IF(Tasks[[#This Row],[_Pred2Text]]="","",IFERROR(VALUE(LEFT(Tasks[[#This Row],[_Pred2Text]],MIN(FIND("F",Tasks[[#This Row],[_Pred2Text]]&amp;"F"),FIND("S",Tasks[[#This Row],[_Pred2Text]]&amp;"S"),FIND("+",Tasks[[#This Row],[_Pred2Text]]&amp;"+"),FIND("-",Tasks[[#This Row],[_Pred2Text]]&amp;"-"))-1)),""))</f>
        <v/>
      </c>
      <c r="CT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 s="42" t="str">
        <f aca="false">IF(Tasks[[#This Row],[_Pred2Text]]="","",TRIM(MID(SUBSTITUTE(SUBSTITUTE(SUBSTITUTE(UPPER(Tasks[[#This Row],[_Predecessors]]),";",",")," ",""),",",REPT(" ",99)),199,99)))</f>
        <v/>
      </c>
      <c r="CW6" s="42" t="str">
        <f aca="false">IF(Tasks[[#This Row],[_Pred3Text]]="","",IFERROR(VALUE(LEFT(Tasks[[#This Row],[_Pred3Text]],MIN(FIND("F",Tasks[[#This Row],[_Pred3Text]]&amp;"F"),FIND("S",Tasks[[#This Row],[_Pred3Text]]&amp;"S"),FIND("+",Tasks[[#This Row],[_Pred3Text]]&amp;"+"),FIND("-",Tasks[[#This Row],[_Pred3Text]]&amp;"-"))-1)),""))</f>
        <v/>
      </c>
      <c r="CX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 s="42" t="str">
        <f aca="false">IF(Tasks[[#This Row],[_Pred3Text]]="","",TRIM(MID(SUBSTITUTE(SUBSTITUTE(SUBSTITUTE(UPPER(Tasks[[#This Row],[_Predecessors]]),";",",")," ",""),",",REPT(" ",99)),298,99)))</f>
        <v/>
      </c>
      <c r="DA6" s="42" t="str">
        <f aca="false">IF(Tasks[[#This Row],[_Pred4Text]]="","",IFERROR(VALUE(LEFT(Tasks[[#This Row],[_Pred4Text]],MIN(FIND("F",Tasks[[#This Row],[_Pred4Text]]&amp;"F"),FIND("S",Tasks[[#This Row],[_Pred4Text]]&amp;"S"),FIND("+",Tasks[[#This Row],[_Pred4Text]]&amp;"+"),FIND("-",Tasks[[#This Row],[_Pred4Text]]&amp;"-"))-1)),""))</f>
        <v/>
      </c>
      <c r="DB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 s="42" t="str">
        <f aca="false">IF(OR(Tasks[[#This Row],[Task Name]]="",Tasks[[#This Row],[_Resources]]=""),"",TRIM(MID(SUBSTITUTE(Tasks[[#This Row],[_Resources]],",",REPT(" ",99)),1,99)))</f>
        <v/>
      </c>
      <c r="DE6" s="42" t="str">
        <f aca="false">IF(Tasks[[#This Row],[_Res1Text]]="","",TRIM(MID(SUBSTITUTE(Tasks[[#This Row],[_Resources]],",",REPT(" ",99)),100,99)))</f>
        <v/>
      </c>
      <c r="DF6" s="42" t="str">
        <f aca="false">IF(Tasks[[#This Row],[_Res2Text]]="","",TRIM(MID(SUBSTITUTE(Tasks[[#This Row],[_Resources]],",",REPT(" ",99)),199,99)))</f>
        <v/>
      </c>
      <c r="DG6" s="42" t="str">
        <f aca="false">IF(Tasks[[#This Row],[_Res3Text]]="","",TRIM(MID(SUBSTITUTE(Tasks[[#This Row],[_Resources]],",",REPT(" ",99)),298,99)))</f>
        <v/>
      </c>
      <c r="DH6" s="42" t="n">
        <f aca="false">IF(Tasks[[#This Row],[_Res1Text]]="",0,IFERROR(MATCH(TRIM(LEFT(Tasks[[#This Row],[_Res1Text]],FIND("[",Tasks[[#This Row],[_Res1Text]]&amp;"[")-1)),res_Name,0),IFERROR(MATCH(TRIM(LEFT(Tasks[[#This Row],[_Res1Text]],FIND("[",Tasks[[#This Row],[_Res1Text]]&amp;"[")-1)),res_Initials,0),0)))</f>
        <v>0</v>
      </c>
      <c r="DI6" s="42" t="n">
        <f aca="false">IF(Tasks[[#This Row],[_Res2Text]]="",0,IFERROR(MATCH(TRIM(LEFT(Tasks[[#This Row],[_Res2Text]],FIND("[",Tasks[[#This Row],[_Res2Text]]&amp;"[")-1)),res_Name,0),IFERROR(MATCH(TRIM(LEFT(Tasks[[#This Row],[_Res2Text]],FIND("[",Tasks[[#This Row],[_Res2Text]]&amp;"[")-1)),res_Initials,0),0)))</f>
        <v>0</v>
      </c>
      <c r="DJ6" s="42" t="n">
        <f aca="false">IF(Tasks[[#This Row],[_Res3Text]]="",0,IFERROR(MATCH(TRIM(LEFT(Tasks[[#This Row],[_Res3Text]],FIND("[",Tasks[[#This Row],[_Res3Text]]&amp;"[")-1)),res_Name,0),IFERROR(MATCH(TRIM(LEFT(Tasks[[#This Row],[_Res3Text]],FIND("[",Tasks[[#This Row],[_Res3Text]]&amp;"[")-1)),res_Initials,0),0)))</f>
        <v>0</v>
      </c>
      <c r="DK6" s="42" t="n">
        <f aca="false">IF(Tasks[[#This Row],[_Res4Text]]="",0,IFERROR(MATCH(TRIM(LEFT(Tasks[[#This Row],[_Res4Text]],FIND("[",Tasks[[#This Row],[_Res4Text]]&amp;"[")-1)),res_Name,0),IFERROR(MATCH(TRIM(LEFT(Tasks[[#This Row],[_Res4Text]],FIND("[",Tasks[[#This Row],[_Res4Text]]&amp;"[")-1)),res_Initials,0),0)))</f>
        <v>0</v>
      </c>
      <c r="DL6" s="42" t="str">
        <f aca="false">IF(Tasks[[#This Row],[_Res1Text]]="","",IF(Tasks[[#This Row],[_Res1Row]]&gt;0,INDEX(res_Name,Tasks[[#This Row],[_Res1Row]]),TRIM(LEFT(Tasks[[#This Row],[_Res1Text]],FIND("[",Tasks[[#This Row],[_Res1Text]]&amp;"[")-1))))</f>
        <v/>
      </c>
      <c r="DM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 s="42" t="n">
        <f aca="false">IF(NOT(Tasks[[#This Row],[_IsLeaf]]=1),0,(Tasks[[#This Row],[_Resource1]]&lt;&gt;"")+(Tasks[[#This Row],[_Res2]]&lt;&gt;"")+(Tasks[[#This Row],[_Res3]]&lt;&gt;"")+(Tasks[[#This Row],[_Res4]]&lt;&gt;""))</f>
        <v>0</v>
      </c>
      <c r="DO6" s="42" t="str">
        <f aca="false">IF(Tasks[[#This Row],[_Res2Text]]="","",IF(Tasks[[#This Row],[_Res2Row]]&gt;0,INDEX(res_Name,Tasks[[#This Row],[_Res2Row]]),TRIM(LEFT(Tasks[[#This Row],[_Res2Text]],FIND("[",Tasks[[#This Row],[_Res2Text]]&amp;"[")-1))))</f>
        <v/>
      </c>
      <c r="DP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 s="42" t="n">
        <f aca="false">IF(OR(NOT(Tasks[[#This Row],[_IsLeaf]]=1),Tasks[[#This Row],[_Res2Row]]=0),0,N(Tasks[[#This Row],[_Days]])*HoursPerDay*IF(Tasks[[#This Row],[_Res2Units]]="",DefaultUnits,Tasks[[#This Row],[_Res2Units]]))</f>
        <v>0</v>
      </c>
      <c r="DR6" s="42" t="n">
        <f aca="false">IF(AND(AND(Tasks[[#This Row],[_IsLeaf]]=1,Tasks[[#This Row],[_LeafTotalWork]]&gt;0),Tasks[[#This Row],[_Res2Work]]&gt;0),Tasks[[#This Row],[_Res2Work]]/(Tasks[[#This Row],[_FinishWorkday]]-Tasks[[#This Row],[_StartWorkday]]+1),0)</f>
        <v>0</v>
      </c>
      <c r="DS6" s="42" t="n">
        <f aca="false">Tasks[[#This Row],[_Res2WorkPerWD]]*MAX(0,Tasks[[#This Row],[_StartWorkday]]-1)</f>
        <v>0</v>
      </c>
      <c r="DT6" s="42" t="n">
        <f aca="false">Tasks[[#This Row],[_Res2Work]]*Tasks[[#This Row],[_LeafProgress]]</f>
        <v>0</v>
      </c>
      <c r="DU6" s="42" t="str">
        <f aca="false">IF(Tasks[[#This Row],[_Res3Text]]="","",IF(Tasks[[#This Row],[_Res3Row]]&gt;0,INDEX(res_Name,Tasks[[#This Row],[_Res3Row]]),TRIM(LEFT(Tasks[[#This Row],[_Res3Text]],FIND("[",Tasks[[#This Row],[_Res3Text]]&amp;"[")-1))))</f>
        <v/>
      </c>
      <c r="DV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 s="42" t="n">
        <f aca="false">IF(OR(NOT(Tasks[[#This Row],[_IsLeaf]]=1),Tasks[[#This Row],[_Res3Row]]=0),0,N(Tasks[[#This Row],[_Days]])*HoursPerDay*IF(Tasks[[#This Row],[_Res3Units]]="",DefaultUnits,Tasks[[#This Row],[_Res3Units]]))</f>
        <v>0</v>
      </c>
      <c r="DX6" s="42" t="n">
        <f aca="false">IF(AND(AND(Tasks[[#This Row],[_IsLeaf]]=1,Tasks[[#This Row],[_LeafTotalWork]]&gt;0),Tasks[[#This Row],[_Res3Work]]&gt;0),Tasks[[#This Row],[_Res3Work]]/(Tasks[[#This Row],[_FinishWorkday]]-Tasks[[#This Row],[_StartWorkday]]+1),0)</f>
        <v>0</v>
      </c>
      <c r="DY6" s="42" t="n">
        <f aca="false">Tasks[[#This Row],[_Res3WorkPerWD]]*MAX(0,Tasks[[#This Row],[_StartWorkday]]-1)</f>
        <v>0</v>
      </c>
      <c r="DZ6" s="42" t="n">
        <f aca="false">Tasks[[#This Row],[_Res3Work]]*Tasks[[#This Row],[_LeafProgress]]</f>
        <v>0</v>
      </c>
      <c r="EA6" s="42" t="str">
        <f aca="false">IF(Tasks[[#This Row],[_Res4Text]]="","",IF(Tasks[[#This Row],[_Res4Row]]&gt;0,INDEX(res_Name,Tasks[[#This Row],[_Res4Row]]),TRIM(LEFT(Tasks[[#This Row],[_Res4Text]],FIND("[",Tasks[[#This Row],[_Res4Text]]&amp;"[")-1))))</f>
        <v/>
      </c>
      <c r="EB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 s="42" t="n">
        <f aca="false">IF(OR(NOT(Tasks[[#This Row],[_IsLeaf]]=1),Tasks[[#This Row],[_Res4Row]]=0),0,N(Tasks[[#This Row],[_Days]])*HoursPerDay*IF(Tasks[[#This Row],[_Res4Units]]="",DefaultUnits,Tasks[[#This Row],[_Res4Units]]))</f>
        <v>0</v>
      </c>
      <c r="ED6" s="42" t="n">
        <f aca="false">IF(AND(AND(Tasks[[#This Row],[_IsLeaf]]=1,Tasks[[#This Row],[_LeafTotalWork]]&gt;0),Tasks[[#This Row],[_Res4Work]]&gt;0),Tasks[[#This Row],[_Res4Work]]/(Tasks[[#This Row],[_FinishWorkday]]-Tasks[[#This Row],[_StartWorkday]]+1),0)</f>
        <v>0</v>
      </c>
      <c r="EE6" s="42" t="n">
        <f aca="false">Tasks[[#This Row],[_Res4WorkPerWD]]*MAX(0,Tasks[[#This Row],[_StartWorkday]]-1)</f>
        <v>0</v>
      </c>
      <c r="EF6" s="42" t="n">
        <f aca="false">Tasks[[#This Row],[_Res4Work]]*Tasks[[#This Row],[_LeafProgress]]</f>
        <v>0</v>
      </c>
      <c r="EG6" s="42" t="n">
        <f aca="false">IF(ISNUMBER(Tasks[[#This Row],[% Complete]]),Tasks[[#This Row],[% Complete]],IF(Tasks[[#This Row],[Stage]]="",0,IFERROR(INDEX(stg_Pct,MATCH(Tasks[[#This Row],[Stage]],stg_Name,0)),0)))</f>
        <v>0</v>
      </c>
      <c r="EH6" s="42" t="n">
        <f aca="false">IF(NOT(Tasks[[#This Row],[_IsLeaf]]=1),0,IF(N(Tasks[[#This Row],[Actual Finish]])&gt;0,1,MIN(1,Tasks[[#This Row],[_Pct]])))</f>
        <v>0</v>
      </c>
      <c r="EI6" s="42" t="n">
        <f aca="false">IF(OR(NOT(Tasks[[#This Row],[_IsLeaf]]=1),Tasks[[#This Row],[_Res1Row]]=0),0,N(Tasks[[#This Row],[_Days]])*HoursPerDay*IF(Tasks[[#This Row],[_Units1]]="",DefaultUnits,Tasks[[#This Row],[_Units1]]))</f>
        <v>0</v>
      </c>
      <c r="EJ6" s="42" t="n">
        <f aca="false">Tasks[[#This Row],[_LeafWork]]+Tasks[[#This Row],[_Res2Work]]+Tasks[[#This Row],[_Res3Work]]+Tasks[[#This Row],[_Res4Work]]</f>
        <v>0</v>
      </c>
      <c r="EK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 s="42" t="n">
        <f aca="false">IF(NOT(Tasks[[#This Row],[_IsLeaf]]=1),0,MAX(_xlfn.MAXIFS(Tasks[_Row],Tasks[_Pred1UID],Tasks[[#This Row],[UID]]),_xlfn.MAXIFS(Tasks[_Row],Tasks[_Pred2UID],Tasks[[#This Row],[UID]]),_xlfn.MAXIFS(Tasks[_Row],Tasks[_Pred3UID],Tasks[[#This Row],[UID]]),_xlfn.MAXIFS(Tasks[_Row],Tasks[_Pred4UID],Tasks[[#This Row],[UID]])))</f>
        <v>0</v>
      </c>
      <c r="ET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 s="89" t="str">
        <f aca="false">IF(NOT(Tasks[[#This Row],[_IsLeaf]]=1),"",IF(N(Tasks[[#This Row],[_Days]])&lt;=0,Tasks[[#This Row],[_LeafLateFinish]],WORKDAY.INTL(Tasks[[#This Row],[_LeafLateFinish]],-(Tasks[[#This Row],[_Days]]-1),WorkWeek,Holidays)))</f>
        <v/>
      </c>
      <c r="EW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 s="88" t="b">
        <f aca="false">AND(Tasks[[#This Row],[_IsLeaf]]=1,Tasks[[#This Row],[_LeafProgress]]&lt;1,N(Tasks[[#This Row],[_LeafTotalSlack]])&lt;=CriticalSlackDays)</f>
        <v>0</v>
      </c>
      <c r="EY6" s="42" t="n">
        <f aca="false">IF(AND(Tasks[[#This Row],[_IsLeaf]]=1,Tasks[[#This Row],[_ConstraintCode]]=1,Tasks[[#This Row],[Mode]]&lt;&gt;"Manual",N(Tasks[[#This Row],[Actual Start]])=0),MAX(0,N(Tasks[[#This Row],[Free Slack]])),0)</f>
        <v>0</v>
      </c>
      <c r="EZ6" s="89" t="str">
        <f aca="false">IF(NOT(Tasks[[#This Row],[_IsLeaf]]=1),"",IF(Tasks[[#This Row],[_AlapShift]]=0,Tasks[[#This Row],[_LeafCalcStart]],WORKDAY.INTL(Tasks[[#This Row],[_LeafCalcStart]],Tasks[[#This Row],[_AlapShift]],WorkWeek,Holidays)))</f>
        <v/>
      </c>
      <c r="FA6" s="89" t="str">
        <f aca="false">IF(NOT(Tasks[[#This Row],[_IsLeaf]]=1),"",IF(Tasks[[#This Row],[_AlapShift]]=0,Tasks[[#This Row],[_LeafCalcFinish]],WORKDAY.INTL(Tasks[[#This Row],[_LeafCalcFinish]],Tasks[[#This Row],[_AlapShift]],WorkWeek,Holidays)))</f>
        <v/>
      </c>
      <c r="FB6" s="89" t="str">
        <f aca="false">IF(NOT(Tasks[[#This Row],[_IsLeaf]]=1),"",IF(Tasks[[#This Row],[_AlapShift]]=0,Tasks[[#This Row],[_LeafFcstStart]],WORKDAY.INTL(Tasks[[#This Row],[_LeafFcstStart]],Tasks[[#This Row],[_AlapShift]],WorkWeek,Holidays)))</f>
        <v/>
      </c>
      <c r="FC6" s="89" t="str">
        <f aca="false">IF(NOT(Tasks[[#This Row],[_IsLeaf]]=1),"",IF(Tasks[[#This Row],[_AlapShift]]=0,Tasks[[#This Row],[_LeafFcstFinish]],WORKDAY.INTL(Tasks[[#This Row],[_LeafFcstFinish]],Tasks[[#This Row],[_AlapShift]],WorkWeek,Holidays)))</f>
        <v/>
      </c>
      <c r="FD6" s="89" t="n">
        <f aca="false">IF(Tasks[[#This Row],[Task Name]]="","",IF(Tasks[[#This Row],[_IsSummary]],MIN(INDEX(Tasks[_ShownCalcStart],Tasks[[#This Row],[_Row]]+1):INDEX(Tasks[_ShownCalcStart],Tasks[[#This Row],[_Row]]+Tasks[[#This Row],[_Descendants]])),Tasks[[#This Row],[_ShownCalcStart]]))</f>
        <v>46272</v>
      </c>
      <c r="FE6" s="89" t="n">
        <f aca="false">IF(Tasks[[#This Row],[Task Name]]="","",IF(Tasks[[#This Row],[_IsSummary]],MAX(INDEX(Tasks[_ShownCalcFinish],Tasks[[#This Row],[_Row]]+1):INDEX(Tasks[_ShownCalcFinish],Tasks[[#This Row],[_Row]]+Tasks[[#This Row],[_Descendants]])),Tasks[[#This Row],[_ShownCalcFinish]]))</f>
        <v>46276</v>
      </c>
      <c r="FF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 s="42" t="n">
        <f aca="false">IF(AND(Tasks[[#This Row],[_IsLeaf]]=1,Tasks[[#This Row],[_LeafTotalWork]]&gt;0),NETWORKDAYS.INTL(ProjectStart,Tasks[[#This Row],[_ShownFcstStart]],WorkWeek,Holidays),0)</f>
        <v>0</v>
      </c>
      <c r="FS6" s="42" t="n">
        <f aca="false">IF(AND(Tasks[[#This Row],[_IsLeaf]]=1,Tasks[[#This Row],[_LeafTotalWork]]&gt;0),MAX(Tasks[[#This Row],[_StartWorkday]],NETWORKDAYS.INTL(ProjectStart,Tasks[[#This Row],[_ShownFcstFinish]],WorkWeek,Holidays)),0)</f>
        <v>0</v>
      </c>
      <c r="FT6" s="42" t="n">
        <f aca="false">IF(AND(Tasks[[#This Row],[_IsLeaf]]=1,Tasks[[#This Row],[_LeafTotalWork]]&gt;0),Tasks[[#This Row],[_LeafWork]]/(Tasks[[#This Row],[_FinishWorkday]]-Tasks[[#This Row],[_StartWorkday]]+1),0)</f>
        <v>0</v>
      </c>
      <c r="FU6" s="42" t="n">
        <f aca="false">Tasks[[#This Row],[_WorkPerWorkday]]*(Tasks[[#This Row],[_StartWorkday]]-1)</f>
        <v>-0</v>
      </c>
      <c r="FV6" s="42" t="n">
        <f aca="false">IF(Tasks[[#This Row],[_IsLeaf]]=1,MAX(N(Tasks[[#This Row],[_Days]]),0.1),0)</f>
        <v>0</v>
      </c>
      <c r="FW6" s="42" t="n">
        <f aca="false">Tasks[[#This Row],[_WeightDur]]*Tasks[[#This Row],[_LeafProgress]]</f>
        <v>0</v>
      </c>
      <c r="FX6" s="42" t="n">
        <f aca="false">Tasks[[#This Row],[_WeightDur]]*Tasks[[#This Row],[_PlannedPct]]</f>
        <v>0</v>
      </c>
      <c r="FY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 s="42" t="str">
        <f aca="false">IF(AND(Tasks[[#This Row],[_IsLeaf]]=1,N(Tasks[[#This Row],[_Days]])=0,Tasks[[#This Row],[_LeafProgress]]&lt;1),Tasks[[#This Row],[_ShownFcstFinish]]+Tasks[[#This Row],[_Row]]/100000,"")</f>
        <v/>
      </c>
      <c r="GA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 s="42" t="str">
        <f aca="false">IF(Tasks[[#This Row],[Task Name]]="","",LEFT(Tasks[[#This Row],[WBS]],FIND(".",Tasks[[#This Row],[WBS]]&amp;".")-1))</f>
        <v>1</v>
      </c>
      <c r="GC6" s="42" t="n">
        <f aca="false">IF(AND(Tasks[[#This Row],[Task Name]]&lt;&gt;"",Tasks[[#This Row],[_Level]]=1),Tasks[[#This Row],[_Row]],"")</f>
        <v>1</v>
      </c>
      <c r="GD6" s="42" t="str">
        <f aca="false">IF(AND(Tasks[[#This Row],[_IsLeaf]]=1,N(Tasks[[#This Row],[_Days]])=0),Tasks[[#This Row],[Planned Finish]]+Tasks[[#This Row],[_Row]]/100000,"")</f>
        <v/>
      </c>
      <c r="GE6" s="42" t="str">
        <f aca="false">IF(AND(Tasks[[#This Row],[_IsLeaf]]=1,Tasks[[#This Row],[_LeafProgress]]&lt;1,OR(N(Tasks[[#This Row],[Finish Var]])&gt;0,Tasks[[#This Row],[Status]]="Late Start")),MAX(0,Tasks[[#This Row],[Finish Var]])+1-Tasks[[#This Row],[_Row]]/1000000,"")</f>
        <v/>
      </c>
      <c r="GF6" s="42" t="str">
        <f aca="false">IF(AND(Tasks[[#This Row],[_IsLeaf]]=1,N(Tasks[[#This Row],[Actual Start]])=0,Tasks[[#This Row],[_ShownFcstStart]]&gt;=StatusDate,Tasks[[#This Row],[_ShownFcstStart]]&lt;=LookaheadEnd),Tasks[[#This Row],[_ShownFcstStart]]+Tasks[[#This Row],[_Row]]/100000,"")</f>
        <v/>
      </c>
      <c r="GG6" s="42" t="str">
        <f aca="false">IF(AND(Tasks[[#This Row],[_IsLeaf]]=1,Tasks[[#This Row],[_LeafProgress]]&lt;1,Tasks[[#This Row],[_ShownFcstFinish]]&gt;=StatusDate,Tasks[[#This Row],[_ShownFcstFinish]]&lt;=LookaheadEnd),Tasks[[#This Row],[_ShownFcstFinish]]+Tasks[[#This Row],[_Row]]/100000,"")</f>
        <v/>
      </c>
      <c r="GH6" s="42" t="str">
        <f aca="false">IF(Tasks[[#This Row],[_LeafCritical]],Tasks[[#This Row],[_ShownFcstStart]]+Tasks[[#This Row],[_Row]]/100000,"")</f>
        <v/>
      </c>
      <c r="GI6" s="42" t="n">
        <f aca="false">Tasks[[#This Row],[_LeafWork]]*Tasks[[#This Row],[_LeafProgress]]</f>
        <v>0</v>
      </c>
      <c r="GJ6" s="89" t="str">
        <f aca="false">IF(AND(Tasks[[#This Row],[_IsLeaf]]=1,Tasks[[#This Row],[_LeafProgress]]&gt;=1),IF(N(Tasks[[#This Row],[Actual Finish]])&gt;0,Tasks[[#This Row],[Actual Finish]],Tasks[[#This Row],[_ShownFcstFinish]]),"")</f>
        <v/>
      </c>
      <c r="GK6" s="42" t="n">
        <f aca="false">IF(Tasks[[#This Row],[_IsLeaf]]=1,N(Tasks[[#This Row],[Story Points]]),0)</f>
        <v>0</v>
      </c>
      <c r="GL6" s="42" t="str">
        <f aca="false">""</f>
        <v/>
      </c>
      <c r="GM6" s="88" t="b">
        <f aca="false">IF(Tasks[[#This Row],[Task Name]]="",FALSE(),AND(Tasks[[#This Row],[_IsLeaf]]=1,N(Tasks[[#This Row],[_Days]])=0))</f>
        <v>0</v>
      </c>
      <c r="GN6" s="89" t="n">
        <f aca="false">IF(Tasks[[#This Row],[Task Name]]="",0,IF(AND(Tasks[[#This Row],[_IsLeaf]]=1,NOT(Tasks[[#This Row],[_IsMilestone]]),N(Tasks[[#This Row],[Progress]])&gt;0),Tasks[[#This Row],[Start]],0))</f>
        <v>0</v>
      </c>
      <c r="GO6" s="89" t="n">
        <f aca="false">IF(Tasks[[#This Row],[_DoneFrom]]=0,0,IF(Tasks[[#This Row],[Progress]]&gt;=1,Tasks[[#This Row],[Finish]],MAX(Tasks[[#This Row],[_DoneFrom]],Tasks[[#This Row],[Start]]+ROUND((Tasks[[#This Row],[Finish]]-Tasks[[#This Row],[Start]]+1)*Tasks[[#This Row],[Progress]],0)-1)))</f>
        <v>0</v>
      </c>
      <c r="GP6" s="89" t="n">
        <f aca="false">IF(Tasks[[#This Row],[Task Name]]="",0,IF(OR(NOT(Tasks[[#This Row],[_IsLeaf]]=1),Tasks[[#This Row],[_IsMilestone]],N(Tasks[[#This Row],[Progress]])&gt;=1),0,IF(Tasks[[#This Row],[_DoneTo]]&gt;0,Tasks[[#This Row],[_DoneTo]]+1,Tasks[[#This Row],[Start]])))</f>
        <v>0</v>
      </c>
      <c r="GQ6" s="89" t="n">
        <f aca="false">IF(Tasks[[#This Row],[_RemFrom]]=0,0,Tasks[[#This Row],[Finish]])</f>
        <v>0</v>
      </c>
      <c r="GR6" s="88" t="b">
        <f aca="false">IF(Tasks[[#This Row],[Task Name]]="",FALSE(),OR(NOT(BaselineSet),N(Tasks[[#This Row],[Baseline Start]])&gt;0))</f>
        <v>1</v>
      </c>
      <c r="GS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 s="90" t="str">
        <f aca="false">IF(Tasks[[#This Row],[_IsLeaf]]=1,Tasks[[#This Row],[_Row]],"")</f>
        <v/>
      </c>
      <c r="GW6" s="90" t="str">
        <f aca="false">IFERROR(INDEX(Tasks[UID],SMALL(Tasks[_PickKey],Tasks[[#This Row],[_Row]]))&amp;" "&amp;INDEX(Tasks[Task Name],SMALL(Tasks[_PickKey],Tasks[[#This Row],[_Row]])),"")</f>
        <v>2 Project charter &amp; scope statement</v>
      </c>
      <c r="GX6" s="42" t="n">
        <f aca="false">IF(Tasks[[#This Row],[Task Name]]="","",IF(Tasks[[#This Row],[_IsSummary]],NETWORKDAYS.INTL(Tasks[[#This Row],[Start]],Tasks[[#This Row],[Finish]],WorkWeek,Holidays),N(Tasks[[#This Row],[_Days]])))</f>
        <v>6</v>
      </c>
    </row>
    <row r="7" customFormat="false" ht="15" hidden="false" customHeight="false" outlineLevel="1" collapsed="false">
      <c r="A7" s="21" t="n">
        <f aca="false">IF(Tasks[[#This Row],[Task Name]]="","",COUNTA(Tasks[[#Headers],[Task Name]]:Tasks[[#This Row],[Task Name]])-1)</f>
        <v>2</v>
      </c>
      <c r="B7" s="22" t="n">
        <v>2</v>
      </c>
      <c r="C7" s="22" t="n">
        <v>2</v>
      </c>
      <c r="D7" s="91" t="s">
        <v>610</v>
      </c>
      <c r="E7" s="22" t="n">
        <v>3</v>
      </c>
      <c r="F7" s="23"/>
      <c r="G7" s="22"/>
      <c r="H7" s="22"/>
      <c r="I7" s="23"/>
      <c r="J7" s="22"/>
      <c r="K7" s="22"/>
      <c r="L7" s="23"/>
      <c r="M7" s="22"/>
      <c r="N7" s="22"/>
      <c r="O7" s="23"/>
      <c r="P7" s="22"/>
      <c r="Q7" s="22"/>
      <c r="R7" s="23"/>
      <c r="S7" s="23" t="s">
        <v>6</v>
      </c>
      <c r="T7" s="83"/>
      <c r="U7" s="23"/>
      <c r="V7" s="83"/>
      <c r="W7" s="23"/>
      <c r="X7" s="83"/>
      <c r="Y7" s="23"/>
      <c r="Z7" s="83"/>
      <c r="AA7" s="23"/>
      <c r="AB7" s="23" t="s">
        <v>139</v>
      </c>
      <c r="AC7" s="7" t="n">
        <v>46272</v>
      </c>
      <c r="AD7" s="7" t="n">
        <v>46275</v>
      </c>
      <c r="AE7" s="62" t="n">
        <f aca="false">IF(Tasks[[#This Row],[Task Name]]="","",IF(Tasks[[#This Row],[_IsSummary]],MIN(INDEX(Tasks[_ShownFcstStart],Tasks[[#This Row],[_Row]]+1):INDEX(Tasks[_ShownFcstStart],Tasks[[#This Row],[_Row]]+Tasks[[#This Row],[_Descendants]])),Tasks[[#This Row],[_ShownFcstStart]]))</f>
        <v>46272</v>
      </c>
      <c r="AF7" s="62" t="n">
        <f aca="false">IF(Tasks[[#This Row],[Task Name]]="","",IF(Tasks[[#This Row],[_IsSummary]],MAX(INDEX(Tasks[_ShownFcstFinish],Tasks[[#This Row],[_Row]]+1):INDEX(Tasks[_ShownFcstFinish],Tasks[[#This Row],[_Row]]+Tasks[[#This Row],[_Descendants]])),Tasks[[#This Row],[_ShownFcstFinish]]))</f>
        <v>46275</v>
      </c>
      <c r="AG7" s="21" t="str">
        <f aca="false">""</f>
        <v/>
      </c>
      <c r="AH7" s="23" t="s">
        <v>611</v>
      </c>
      <c r="AI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 s="7"/>
      <c r="AK7" s="22" t="s">
        <v>235</v>
      </c>
      <c r="AL7" s="23"/>
      <c r="AM7" s="7"/>
      <c r="AN7" s="46" t="n">
        <f aca="false">IF(Tasks[[#This Row],[Task Name]]="","",IF(Tasks[[#This Row],[Finish]]&gt;=Tasks[[#This Row],[Planned Finish]],NETWORKDAYS.INTL(Tasks[[#This Row],[Planned Finish]],Tasks[[#This Row],[Finish]],WorkWeek,Holidays)-1,1-NETWORKDAYS.INTL(Tasks[[#This Row],[Finish]],Tasks[[#This Row],[Planned Finish]],WorkWeek,Holidays)))</f>
        <v>1</v>
      </c>
      <c r="AO7" s="21" t="str">
        <f aca="false">IF(Tasks[[#This Row],[Task Name]]="","",IF(Tasks[[#This Row],[Progress]]&gt;=1,"Complete",IF(OR(N(Tasks[[#This Row],[Actual Start]])&gt;0,Tasks[[#This Row],[Progress]]&gt;0),IF(Tasks[[#This Row],[Finish Var]]&gt;0,"Behind","In Progress"),IF(Tasks[[#This Row],[Planned Start]]&lt;StatusDate,"Late Start","Not Started"))))</f>
        <v>Complete</v>
      </c>
      <c r="AP7" s="21" t="str">
        <f aca="false">IF(Tasks[[#This Row],[Task Name]]="","",IF(IF(Tasks[[#This Row],[_IsSummary]],COUNTIF(INDEX(Tasks[_LeafCritical],Tasks[[#This Row],[_Row]]+1):INDEX(Tasks[_LeafCritical],Tasks[[#This Row],[_Row]]+Tasks[[#This Row],[_Descendants]]),TRUE())&gt;0,Tasks[[#This Row],[_LeafCritical]]),"Yes",""))</f>
        <v/>
      </c>
      <c r="AQ7" s="62" t="n">
        <f aca="false">IF(Tasks[[#This Row],[Task Name]]="","",IF(N(Tasks[[#This Row],[Baseline Start]])&gt;0,Tasks[[#This Row],[Baseline Start]],Tasks[[#This Row],[_CalcStart]]))</f>
        <v>46272</v>
      </c>
      <c r="AR7" s="62" t="n">
        <f aca="false">IF(Tasks[[#This Row],[Task Name]]="","",IF(N(Tasks[[#This Row],[Baseline Finish]])&gt;0,Tasks[[#This Row],[Baseline Finish]],Tasks[[#This Row],[_CalcFinish]]))</f>
        <v>46274</v>
      </c>
      <c r="AS7" s="46" t="n">
        <f aca="false">IF(Tasks[[#This Row],[Task Name]]="","",IF(Tasks[[#This Row],[Start]]&gt;=Tasks[[#This Row],[Planned Start]],NETWORKDAYS.INTL(Tasks[[#This Row],[Planned Start]],Tasks[[#This Row],[Start]],WorkWeek,Holidays)-1,1-NETWORKDAYS.INTL(Tasks[[#This Row],[Start]],Tasks[[#This Row],[Planned Start]],WorkWeek,Holidays)))</f>
        <v>0</v>
      </c>
      <c r="AT7" s="62" t="n">
        <f aca="false">IF(Tasks[[#This Row],[Task Name]]="","",IF(Tasks[[#This Row],[_IsSummary]],MIN(INDEX(Tasks[_LeafLateStart],Tasks[[#This Row],[_Row]]+1):INDEX(Tasks[_LeafLateStart],Tasks[[#This Row],[_Row]]+Tasks[[#This Row],[_Descendants]])),Tasks[[#This Row],[_LeafLateStart]]))</f>
        <v>46276</v>
      </c>
      <c r="AU7" s="62" t="n">
        <f aca="false">IF(Tasks[[#This Row],[Task Name]]="","",IF(Tasks[[#This Row],[_IsSummary]],MAX(INDEX(Tasks[_LeafLateFinish],Tasks[[#This Row],[_Row]]+1):INDEX(Tasks[_LeafLateFinish],Tasks[[#This Row],[_Row]]+Tasks[[#This Row],[_Descendants]])),Tasks[[#This Row],[_LeafLateFinish]]))</f>
        <v>46280</v>
      </c>
      <c r="AV7" s="46" t="n">
        <f aca="false">IF(Tasks[[#This Row],[Task Name]]="","",IF(Tasks[[#This Row],[_IsSummary]],MIN(INDEX(Tasks[_LeafTotalSlack],Tasks[[#This Row],[_Row]]+1):INDEX(Tasks[_LeafTotalSlack],Tasks[[#This Row],[_Row]]+Tasks[[#This Row],[_Descendants]])),Tasks[[#This Row],[_LeafTotalSlack]]))</f>
        <v>3</v>
      </c>
      <c r="AW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4"/>
      <c r="BA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BD7" s="21" t="str">
        <f aca="false">IF(Tasks[[#This Row],[Task Name]]="","",IF(Tasks[[#This Row],[_Level]]&lt;=OutlineShowLevel,"Yes","No"))</f>
        <v>Yes</v>
      </c>
      <c r="BE7" s="85" t="n">
        <f aca="false">IF(Tasks[[#This Row],[Task Name]]="","",IF(Tasks[[#This Row],[_IsSummary]],SUM(INDEX(Tasks[_LeafTotalWork],Tasks[[#This Row],[_Row]]+1):INDEX(Tasks[_LeafTotalWork],Tasks[[#This Row],[_Row]]+Tasks[[#This Row],[_Descendants]])),Tasks[[#This Row],[_LeafTotalWork]]))</f>
        <v>24</v>
      </c>
      <c r="BF7" s="23"/>
      <c r="BG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7" s="21" t="str">
        <f aca="false">""</f>
        <v/>
      </c>
      <c r="BI7" s="86"/>
      <c r="BJ7" s="22"/>
      <c r="BK7" s="46" t="n">
        <f aca="false">IF(OR(Tasks[[#This Row],[Task Name]]="",Tasks[[#This Row],[Baseline Duration]]=""),"",Tasks[[#This Row],[_SpanDays]]-N(Tasks[[#This Row],[Baseline Duration]]))</f>
        <v>0</v>
      </c>
      <c r="BL7" s="85" t="n">
        <f aca="false">IF(OR(Tasks[[#This Row],[Task Name]]="",Tasks[[#This Row],[Baseline Work]]=""),"",Tasks[[#This Row],[Work]]-N(Tasks[[#This Row],[Baseline Work]]))</f>
        <v>0</v>
      </c>
      <c r="BM7" s="62" t="n">
        <f aca="false">IF(Tasks[[#This Row],[Task Name]]="","",IF(OR(TakeBaseline="Yes",N(Tasks[[#This Row],[Baseline Start]])=0),Tasks[[#This Row],[Start]],Tasks[[#This Row],[Baseline Start]]))</f>
        <v>46272</v>
      </c>
      <c r="BN7" s="62" t="n">
        <f aca="false">IF(Tasks[[#This Row],[Task Name]]="","",IF(OR(TakeBaseline="Yes",N(Tasks[[#This Row],[Baseline Finish]])=0),Tasks[[#This Row],[Finish]],Tasks[[#This Row],[Baseline Finish]]))</f>
        <v>46274</v>
      </c>
      <c r="BO7" s="21" t="n">
        <f aca="false">IF(Tasks[[#This Row],[Task Name]]="","",IF(OR(TakeBaseline="Yes",N(Tasks[[#This Row],[Baseline Duration]])=0),Tasks[[#This Row],[_SpanDays]],Tasks[[#This Row],[Baseline Duration]]))</f>
        <v>3</v>
      </c>
      <c r="BP7" s="85" t="n">
        <f aca="false">IF(Tasks[[#This Row],[Task Name]]="","",IF(OR(TakeBaseline="Yes",N(Tasks[[#This Row],[Baseline Work]])=0),Tasks[[#This Row],[Work]],Tasks[[#This Row],[Baseline Work]]))</f>
        <v>24</v>
      </c>
      <c r="BQ7" s="7" t="n">
        <v>46272</v>
      </c>
      <c r="BR7" s="7" t="n">
        <v>46274</v>
      </c>
      <c r="BS7" s="22" t="n">
        <v>3</v>
      </c>
      <c r="BT7" s="87" t="n">
        <v>24</v>
      </c>
      <c r="BU7" s="42" t="n">
        <f aca="false">IF(Tasks[[#This Row],[Task Name]]="","",MAX(1,N(Tasks[[#This Row],[Level]])))</f>
        <v>2</v>
      </c>
      <c r="BV7" s="42" t="n">
        <f aca="false">ROW()-ROW(Tasks[[#Headers],[ID]])</f>
        <v>2</v>
      </c>
      <c r="BW7" s="42" t="n">
        <f aca="false">IF(OR(Tasks[[#This Row],[Task Name]]="",Tasks[[#This Row],[_Level]]&lt;=1),0,IFERROR(LOOKUP(2,1/(Tasks[[#Headers],[_Level]]:Tasks[[#This Row],[_Level]]=Tasks[[#This Row],[_Level]]-1),ROW(Tasks[[#Headers],[_Level]]:Tasks[[#This Row],[_Level]])),0))</f>
        <v>6</v>
      </c>
      <c r="BX7" s="42" t="n">
        <f aca="false">IFERROR(N(INDEX(Tasks[_Level],Tasks[[#This Row],[_Row]]+1)),0)</f>
        <v>2</v>
      </c>
      <c r="BY7" s="88" t="b">
        <f aca="false">AND(Tasks[[#This Row],[Task Name]]&lt;&gt;"",Tasks[[#This Row],[_NextLevel]]&gt;Tasks[[#This Row],[_Level]])</f>
        <v>0</v>
      </c>
      <c r="BZ7" s="42" t="n">
        <f aca="false">IF(Tasks[[#This Row],[_IsSummary]],COUNTIF(Tasks[WBS],Tasks[[#This Row],[WBS]]&amp;".*"),0)</f>
        <v>0</v>
      </c>
      <c r="CA7" s="42" t="n">
        <f aca="false">IF(AND(Tasks[[#This Row],[Task Name]]&lt;&gt;"",NOT(Tasks[[#This Row],[_IsSummary]])),1,0)</f>
        <v>1</v>
      </c>
      <c r="CB7" s="42" t="n">
        <f aca="false">IF(N(Tasks[[#This Row],[_Pred1UID]])=0,0,IFERROR(MATCH(Tasks[[#This Row],[_Pred1UID]],Tasks[UID],0),-1))</f>
        <v>0</v>
      </c>
      <c r="CC7" s="42" t="n">
        <f aca="false">IF(N(Tasks[[#This Row],[_Pred2UID]])=0,0,IFERROR(MATCH(Tasks[[#This Row],[_Pred2UID]],Tasks[UID],0),-1))</f>
        <v>0</v>
      </c>
      <c r="CD7" s="42" t="n">
        <f aca="false">IF(N(Tasks[[#This Row],[_Pred3UID]])=0,0,IFERROR(MATCH(Tasks[[#This Row],[_Pred3UID]],Tasks[UID],0),-1))</f>
        <v>0</v>
      </c>
      <c r="CE7" s="42" t="n">
        <f aca="false">IF(N(Tasks[[#This Row],[_Pred4UID]])=0,0,IFERROR(MATCH(Tasks[[#This Row],[_Pred4UID]],Tasks[UID],0),-1))</f>
        <v>0</v>
      </c>
      <c r="CF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 s="89" t="n">
        <f aca="false">IF(OR(Tasks[[#This Row],[_ConstraintCode]]=2,Tasks[[#This Row],[_ConstraintCode]]=3,Tasks[[#This Row],[_ConstraintCode]]=4,Tasks[[#This Row],[_ConstraintCode]]=6),Tasks[[#This Row],[_ConstraintStart]],0)</f>
        <v>0</v>
      </c>
      <c r="CI7" s="89" t="n">
        <f aca="false">IF(OR(Tasks[[#This Row],[_ConstraintCode]]=2,Tasks[[#This Row],[_ConstraintCode]]=3,Tasks[[#This Row],[_ConstraintCode]]=5,Tasks[[#This Row],[_ConstraintCode]]=7),Tasks[[#This Row],[_ConstraintStart]],2958465)</f>
        <v>2958465</v>
      </c>
      <c r="CJ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K7" s="89" t="n">
        <f aca="false">IF(NOT(Tasks[[#This Row],[_IsLeaf]]=1),"",IF(N(Tasks[[#This Row],[_Days]])&lt;=0,Tasks[[#This Row],[_LeafCalcStart]],WORKDAY.INTL(Tasks[[#This Row],[_LeafCalcStart]],Tasks[[#This Row],[_Days]]-1,WorkWeek,Holidays)))</f>
        <v>46274</v>
      </c>
      <c r="CL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M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46275</v>
      </c>
      <c r="CN7" s="42" t="str">
        <f aca="false">IF(Tasks[[#This Row],[_Predecessors]]="","",TRIM(MID(SUBSTITUTE(SUBSTITUTE(SUBSTITUTE(UPPER(Tasks[[#This Row],[_Predecessors]]),";",",")," ",""),",",REPT(" ",99)),1,99)))</f>
        <v/>
      </c>
      <c r="CO7" s="42" t="str">
        <f aca="false">IF(Tasks[[#This Row],[_Pred1Text]]="","",IFERROR(VALUE(LEFT(Tasks[[#This Row],[_Pred1Text]],MIN(FIND("F",Tasks[[#This Row],[_Pred1Text]]&amp;"F"),FIND("S",Tasks[[#This Row],[_Pred1Text]]&amp;"S"),FIND("+",Tasks[[#This Row],[_Pred1Text]]&amp;"+"),FIND("-",Tasks[[#This Row],[_Pred1Text]]&amp;"-"))-1)),""))</f>
        <v/>
      </c>
      <c r="CP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 s="42" t="str">
        <f aca="false">IF(Tasks[[#This Row],[_Pred1Text]]="","",TRIM(MID(SUBSTITUTE(SUBSTITUTE(SUBSTITUTE(UPPER(Tasks[[#This Row],[_Predecessors]]),";",",")," ",""),",",REPT(" ",99)),100,99)))</f>
        <v/>
      </c>
      <c r="CS7" s="42" t="str">
        <f aca="false">IF(Tasks[[#This Row],[_Pred2Text]]="","",IFERROR(VALUE(LEFT(Tasks[[#This Row],[_Pred2Text]],MIN(FIND("F",Tasks[[#This Row],[_Pred2Text]]&amp;"F"),FIND("S",Tasks[[#This Row],[_Pred2Text]]&amp;"S"),FIND("+",Tasks[[#This Row],[_Pred2Text]]&amp;"+"),FIND("-",Tasks[[#This Row],[_Pred2Text]]&amp;"-"))-1)),""))</f>
        <v/>
      </c>
      <c r="CT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 s="42" t="str">
        <f aca="false">IF(Tasks[[#This Row],[_Pred2Text]]="","",TRIM(MID(SUBSTITUTE(SUBSTITUTE(SUBSTITUTE(UPPER(Tasks[[#This Row],[_Predecessors]]),";",",")," ",""),",",REPT(" ",99)),199,99)))</f>
        <v/>
      </c>
      <c r="CW7" s="42" t="str">
        <f aca="false">IF(Tasks[[#This Row],[_Pred3Text]]="","",IFERROR(VALUE(LEFT(Tasks[[#This Row],[_Pred3Text]],MIN(FIND("F",Tasks[[#This Row],[_Pred3Text]]&amp;"F"),FIND("S",Tasks[[#This Row],[_Pred3Text]]&amp;"S"),FIND("+",Tasks[[#This Row],[_Pred3Text]]&amp;"+"),FIND("-",Tasks[[#This Row],[_Pred3Text]]&amp;"-"))-1)),""))</f>
        <v/>
      </c>
      <c r="CX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 s="42" t="str">
        <f aca="false">IF(Tasks[[#This Row],[_Pred3Text]]="","",TRIM(MID(SUBSTITUTE(SUBSTITUTE(SUBSTITUTE(UPPER(Tasks[[#This Row],[_Predecessors]]),";",",")," ",""),",",REPT(" ",99)),298,99)))</f>
        <v/>
      </c>
      <c r="DA7" s="42" t="str">
        <f aca="false">IF(Tasks[[#This Row],[_Pred4Text]]="","",IFERROR(VALUE(LEFT(Tasks[[#This Row],[_Pred4Text]],MIN(FIND("F",Tasks[[#This Row],[_Pred4Text]]&amp;"F"),FIND("S",Tasks[[#This Row],[_Pred4Text]]&amp;"S"),FIND("+",Tasks[[#This Row],[_Pred4Text]]&amp;"+"),FIND("-",Tasks[[#This Row],[_Pred4Text]]&amp;"-"))-1)),""))</f>
        <v/>
      </c>
      <c r="DB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 s="42" t="str">
        <f aca="false">IF(OR(Tasks[[#This Row],[Task Name]]="",Tasks[[#This Row],[_Resources]]=""),"",TRIM(MID(SUBSTITUTE(Tasks[[#This Row],[_Resources]],",",REPT(" ",99)),1,99)))</f>
        <v>Priya Sharma</v>
      </c>
      <c r="DE7" s="42" t="str">
        <f aca="false">IF(Tasks[[#This Row],[_Res1Text]]="","",TRIM(MID(SUBSTITUTE(Tasks[[#This Row],[_Resources]],",",REPT(" ",99)),100,99)))</f>
        <v/>
      </c>
      <c r="DF7" s="42" t="str">
        <f aca="false">IF(Tasks[[#This Row],[_Res2Text]]="","",TRIM(MID(SUBSTITUTE(Tasks[[#This Row],[_Resources]],",",REPT(" ",99)),199,99)))</f>
        <v/>
      </c>
      <c r="DG7" s="42" t="str">
        <f aca="false">IF(Tasks[[#This Row],[_Res3Text]]="","",TRIM(MID(SUBSTITUTE(Tasks[[#This Row],[_Resources]],",",REPT(" ",99)),298,99)))</f>
        <v/>
      </c>
      <c r="DH7" s="42" t="n">
        <f aca="false">IF(Tasks[[#This Row],[_Res1Text]]="",0,IFERROR(MATCH(TRIM(LEFT(Tasks[[#This Row],[_Res1Text]],FIND("[",Tasks[[#This Row],[_Res1Text]]&amp;"[")-1)),res_Name,0),IFERROR(MATCH(TRIM(LEFT(Tasks[[#This Row],[_Res1Text]],FIND("[",Tasks[[#This Row],[_Res1Text]]&amp;"[")-1)),res_Initials,0),0)))</f>
        <v>1</v>
      </c>
      <c r="DI7" s="42" t="n">
        <f aca="false">IF(Tasks[[#This Row],[_Res2Text]]="",0,IFERROR(MATCH(TRIM(LEFT(Tasks[[#This Row],[_Res2Text]],FIND("[",Tasks[[#This Row],[_Res2Text]]&amp;"[")-1)),res_Name,0),IFERROR(MATCH(TRIM(LEFT(Tasks[[#This Row],[_Res2Text]],FIND("[",Tasks[[#This Row],[_Res2Text]]&amp;"[")-1)),res_Initials,0),0)))</f>
        <v>0</v>
      </c>
      <c r="DJ7" s="42" t="n">
        <f aca="false">IF(Tasks[[#This Row],[_Res3Text]]="",0,IFERROR(MATCH(TRIM(LEFT(Tasks[[#This Row],[_Res3Text]],FIND("[",Tasks[[#This Row],[_Res3Text]]&amp;"[")-1)),res_Name,0),IFERROR(MATCH(TRIM(LEFT(Tasks[[#This Row],[_Res3Text]],FIND("[",Tasks[[#This Row],[_Res3Text]]&amp;"[")-1)),res_Initials,0),0)))</f>
        <v>0</v>
      </c>
      <c r="DK7" s="42" t="n">
        <f aca="false">IF(Tasks[[#This Row],[_Res4Text]]="",0,IFERROR(MATCH(TRIM(LEFT(Tasks[[#This Row],[_Res4Text]],FIND("[",Tasks[[#This Row],[_Res4Text]]&amp;"[")-1)),res_Name,0),IFERROR(MATCH(TRIM(LEFT(Tasks[[#This Row],[_Res4Text]],FIND("[",Tasks[[#This Row],[_Res4Text]]&amp;"[")-1)),res_Initials,0),0)))</f>
        <v>0</v>
      </c>
      <c r="DL7" s="42" t="str">
        <f aca="false">IF(Tasks[[#This Row],[_Res1Text]]="","",IF(Tasks[[#This Row],[_Res1Row]]&gt;0,INDEX(res_Name,Tasks[[#This Row],[_Res1Row]]),TRIM(LEFT(Tasks[[#This Row],[_Res1Text]],FIND("[",Tasks[[#This Row],[_Res1Text]]&amp;"[")-1))))</f>
        <v>Priya Sharma</v>
      </c>
      <c r="DM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 s="42" t="n">
        <f aca="false">IF(NOT(Tasks[[#This Row],[_IsLeaf]]=1),0,(Tasks[[#This Row],[_Resource1]]&lt;&gt;"")+(Tasks[[#This Row],[_Res2]]&lt;&gt;"")+(Tasks[[#This Row],[_Res3]]&lt;&gt;"")+(Tasks[[#This Row],[_Res4]]&lt;&gt;""))</f>
        <v>1</v>
      </c>
      <c r="DO7" s="42" t="str">
        <f aca="false">IF(Tasks[[#This Row],[_Res2Text]]="","",IF(Tasks[[#This Row],[_Res2Row]]&gt;0,INDEX(res_Name,Tasks[[#This Row],[_Res2Row]]),TRIM(LEFT(Tasks[[#This Row],[_Res2Text]],FIND("[",Tasks[[#This Row],[_Res2Text]]&amp;"[")-1))))</f>
        <v/>
      </c>
      <c r="DP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 s="42" t="n">
        <f aca="false">IF(OR(NOT(Tasks[[#This Row],[_IsLeaf]]=1),Tasks[[#This Row],[_Res2Row]]=0),0,N(Tasks[[#This Row],[_Days]])*HoursPerDay*IF(Tasks[[#This Row],[_Res2Units]]="",DefaultUnits,Tasks[[#This Row],[_Res2Units]]))</f>
        <v>0</v>
      </c>
      <c r="DR7" s="42" t="n">
        <f aca="false">IF(AND(AND(Tasks[[#This Row],[_IsLeaf]]=1,Tasks[[#This Row],[_LeafTotalWork]]&gt;0),Tasks[[#This Row],[_Res2Work]]&gt;0),Tasks[[#This Row],[_Res2Work]]/(Tasks[[#This Row],[_FinishWorkday]]-Tasks[[#This Row],[_StartWorkday]]+1),0)</f>
        <v>0</v>
      </c>
      <c r="DS7" s="42" t="n">
        <f aca="false">Tasks[[#This Row],[_Res2WorkPerWD]]*MAX(0,Tasks[[#This Row],[_StartWorkday]]-1)</f>
        <v>0</v>
      </c>
      <c r="DT7" s="42" t="n">
        <f aca="false">Tasks[[#This Row],[_Res2Work]]*Tasks[[#This Row],[_LeafProgress]]</f>
        <v>0</v>
      </c>
      <c r="DU7" s="42" t="str">
        <f aca="false">IF(Tasks[[#This Row],[_Res3Text]]="","",IF(Tasks[[#This Row],[_Res3Row]]&gt;0,INDEX(res_Name,Tasks[[#This Row],[_Res3Row]]),TRIM(LEFT(Tasks[[#This Row],[_Res3Text]],FIND("[",Tasks[[#This Row],[_Res3Text]]&amp;"[")-1))))</f>
        <v/>
      </c>
      <c r="DV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 s="42" t="n">
        <f aca="false">IF(OR(NOT(Tasks[[#This Row],[_IsLeaf]]=1),Tasks[[#This Row],[_Res3Row]]=0),0,N(Tasks[[#This Row],[_Days]])*HoursPerDay*IF(Tasks[[#This Row],[_Res3Units]]="",DefaultUnits,Tasks[[#This Row],[_Res3Units]]))</f>
        <v>0</v>
      </c>
      <c r="DX7" s="42" t="n">
        <f aca="false">IF(AND(AND(Tasks[[#This Row],[_IsLeaf]]=1,Tasks[[#This Row],[_LeafTotalWork]]&gt;0),Tasks[[#This Row],[_Res3Work]]&gt;0),Tasks[[#This Row],[_Res3Work]]/(Tasks[[#This Row],[_FinishWorkday]]-Tasks[[#This Row],[_StartWorkday]]+1),0)</f>
        <v>0</v>
      </c>
      <c r="DY7" s="42" t="n">
        <f aca="false">Tasks[[#This Row],[_Res3WorkPerWD]]*MAX(0,Tasks[[#This Row],[_StartWorkday]]-1)</f>
        <v>0</v>
      </c>
      <c r="DZ7" s="42" t="n">
        <f aca="false">Tasks[[#This Row],[_Res3Work]]*Tasks[[#This Row],[_LeafProgress]]</f>
        <v>0</v>
      </c>
      <c r="EA7" s="42" t="str">
        <f aca="false">IF(Tasks[[#This Row],[_Res4Text]]="","",IF(Tasks[[#This Row],[_Res4Row]]&gt;0,INDEX(res_Name,Tasks[[#This Row],[_Res4Row]]),TRIM(LEFT(Tasks[[#This Row],[_Res4Text]],FIND("[",Tasks[[#This Row],[_Res4Text]]&amp;"[")-1))))</f>
        <v/>
      </c>
      <c r="EB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 s="42" t="n">
        <f aca="false">IF(OR(NOT(Tasks[[#This Row],[_IsLeaf]]=1),Tasks[[#This Row],[_Res4Row]]=0),0,N(Tasks[[#This Row],[_Days]])*HoursPerDay*IF(Tasks[[#This Row],[_Res4Units]]="",DefaultUnits,Tasks[[#This Row],[_Res4Units]]))</f>
        <v>0</v>
      </c>
      <c r="ED7" s="42" t="n">
        <f aca="false">IF(AND(AND(Tasks[[#This Row],[_IsLeaf]]=1,Tasks[[#This Row],[_LeafTotalWork]]&gt;0),Tasks[[#This Row],[_Res4Work]]&gt;0),Tasks[[#This Row],[_Res4Work]]/(Tasks[[#This Row],[_FinishWorkday]]-Tasks[[#This Row],[_StartWorkday]]+1),0)</f>
        <v>0</v>
      </c>
      <c r="EE7" s="42" t="n">
        <f aca="false">Tasks[[#This Row],[_Res4WorkPerWD]]*MAX(0,Tasks[[#This Row],[_StartWorkday]]-1)</f>
        <v>0</v>
      </c>
      <c r="EF7" s="42" t="n">
        <f aca="false">Tasks[[#This Row],[_Res4Work]]*Tasks[[#This Row],[_LeafProgress]]</f>
        <v>0</v>
      </c>
      <c r="EG7" s="92" t="n">
        <f aca="false">IF(ISNUMBER(Tasks[[#This Row],[% Complete]]),Tasks[[#This Row],[% Complete]],IF(Tasks[[#This Row],[Stage]]="",0,IFERROR(INDEX(stg_Pct,MATCH(Tasks[[#This Row],[Stage]],stg_Name,0)),0)))</f>
        <v>1</v>
      </c>
      <c r="EH7" s="42" t="n">
        <f aca="false">IF(NOT(Tasks[[#This Row],[_IsLeaf]]=1),0,IF(N(Tasks[[#This Row],[Actual Finish]])&gt;0,1,MIN(1,Tasks[[#This Row],[_Pct]])))</f>
        <v>1</v>
      </c>
      <c r="EI7" s="42" t="n">
        <f aca="false">IF(OR(NOT(Tasks[[#This Row],[_IsLeaf]]=1),Tasks[[#This Row],[_Res1Row]]=0),0,N(Tasks[[#This Row],[_Days]])*HoursPerDay*IF(Tasks[[#This Row],[_Units1]]="",DefaultUnits,Tasks[[#This Row],[_Units1]]))</f>
        <v>24</v>
      </c>
      <c r="EJ7" s="42" t="n">
        <f aca="false">Tasks[[#This Row],[_LeafWork]]+Tasks[[#This Row],[_Res2Work]]+Tasks[[#This Row],[_Res3Work]]+Tasks[[#This Row],[_Res4Work]]</f>
        <v>24</v>
      </c>
      <c r="EK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 s="42" t="n">
        <f aca="false">IF(NOT(Tasks[[#This Row],[_IsLeaf]]=1),0,MAX(_xlfn.MAXIFS(Tasks[_Row],Tasks[_Pred1UID],Tasks[[#This Row],[UID]]),_xlfn.MAXIFS(Tasks[_Row],Tasks[_Pred2UID],Tasks[[#This Row],[UID]]),_xlfn.MAXIFS(Tasks[_Row],Tasks[_Pred3UID],Tasks[[#This Row],[UID]]),_xlfn.MAXIFS(Tasks[_Row],Tasks[_Pred4UID],Tasks[[#This Row],[UID]])))</f>
        <v>3</v>
      </c>
      <c r="ET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46280</v>
      </c>
      <c r="EU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46280</v>
      </c>
      <c r="EV7" s="89" t="n">
        <f aca="false">IF(NOT(Tasks[[#This Row],[_IsLeaf]]=1),"",IF(N(Tasks[[#This Row],[_Days]])&lt;=0,Tasks[[#This Row],[_LeafLateFinish]],WORKDAY.INTL(Tasks[[#This Row],[_LeafLateFinish]],-(Tasks[[#This Row],[_Days]]-1),WorkWeek,Holidays)))</f>
        <v>46276</v>
      </c>
      <c r="EW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7" s="88" t="b">
        <f aca="false">AND(Tasks[[#This Row],[_IsLeaf]]=1,Tasks[[#This Row],[_LeafProgress]]&lt;1,N(Tasks[[#This Row],[_LeafTotalSlack]])&lt;=CriticalSlackDays)</f>
        <v>0</v>
      </c>
      <c r="EY7" s="42" t="n">
        <f aca="false">IF(AND(Tasks[[#This Row],[_IsLeaf]]=1,Tasks[[#This Row],[_ConstraintCode]]=1,Tasks[[#This Row],[Mode]]&lt;&gt;"Manual",N(Tasks[[#This Row],[Actual Start]])=0),MAX(0,N(Tasks[[#This Row],[Free Slack]])),0)</f>
        <v>0</v>
      </c>
      <c r="EZ7" s="89" t="n">
        <f aca="false">IF(NOT(Tasks[[#This Row],[_IsLeaf]]=1),"",IF(Tasks[[#This Row],[_AlapShift]]=0,Tasks[[#This Row],[_LeafCalcStart]],WORKDAY.INTL(Tasks[[#This Row],[_LeafCalcStart]],Tasks[[#This Row],[_AlapShift]],WorkWeek,Holidays)))</f>
        <v>46272</v>
      </c>
      <c r="FA7" s="89" t="n">
        <f aca="false">IF(NOT(Tasks[[#This Row],[_IsLeaf]]=1),"",IF(Tasks[[#This Row],[_AlapShift]]=0,Tasks[[#This Row],[_LeafCalcFinish]],WORKDAY.INTL(Tasks[[#This Row],[_LeafCalcFinish]],Tasks[[#This Row],[_AlapShift]],WorkWeek,Holidays)))</f>
        <v>46274</v>
      </c>
      <c r="FB7" s="89" t="n">
        <f aca="false">IF(NOT(Tasks[[#This Row],[_IsLeaf]]=1),"",IF(Tasks[[#This Row],[_AlapShift]]=0,Tasks[[#This Row],[_LeafFcstStart]],WORKDAY.INTL(Tasks[[#This Row],[_LeafFcstStart]],Tasks[[#This Row],[_AlapShift]],WorkWeek,Holidays)))</f>
        <v>46272</v>
      </c>
      <c r="FC7" s="89" t="n">
        <f aca="false">IF(NOT(Tasks[[#This Row],[_IsLeaf]]=1),"",IF(Tasks[[#This Row],[_AlapShift]]=0,Tasks[[#This Row],[_LeafFcstFinish]],WORKDAY.INTL(Tasks[[#This Row],[_LeafFcstFinish]],Tasks[[#This Row],[_AlapShift]],WorkWeek,Holidays)))</f>
        <v>46275</v>
      </c>
      <c r="FD7" s="89" t="n">
        <f aca="false">IF(Tasks[[#This Row],[Task Name]]="","",IF(Tasks[[#This Row],[_IsSummary]],MIN(INDEX(Tasks[_ShownCalcStart],Tasks[[#This Row],[_Row]]+1):INDEX(Tasks[_ShownCalcStart],Tasks[[#This Row],[_Row]]+Tasks[[#This Row],[_Descendants]])),Tasks[[#This Row],[_ShownCalcStart]]))</f>
        <v>46272</v>
      </c>
      <c r="FE7" s="89" t="n">
        <f aca="false">IF(Tasks[[#This Row],[Task Name]]="","",IF(Tasks[[#This Row],[_IsSummary]],MAX(INDEX(Tasks[_ShownCalcFinish],Tasks[[#This Row],[_Row]]+1):INDEX(Tasks[_ShownCalcFinish],Tasks[[#This Row],[_Row]]+Tasks[[#This Row],[_Descendants]])),Tasks[[#This Row],[_ShownCalcFinish]]))</f>
        <v>46274</v>
      </c>
      <c r="FF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 s="42" t="n">
        <f aca="false">IF(AND(Tasks[[#This Row],[_IsLeaf]]=1,Tasks[[#This Row],[_LeafTotalWork]]&gt;0),NETWORKDAYS.INTL(ProjectStart,Tasks[[#This Row],[_ShownFcstStart]],WorkWeek,Holidays),0)</f>
        <v>1</v>
      </c>
      <c r="FS7" s="42" t="n">
        <f aca="false">IF(AND(Tasks[[#This Row],[_IsLeaf]]=1,Tasks[[#This Row],[_LeafTotalWork]]&gt;0),MAX(Tasks[[#This Row],[_StartWorkday]],NETWORKDAYS.INTL(ProjectStart,Tasks[[#This Row],[_ShownFcstFinish]],WorkWeek,Holidays)),0)</f>
        <v>4</v>
      </c>
      <c r="FT7" s="42" t="n">
        <f aca="false">IF(AND(Tasks[[#This Row],[_IsLeaf]]=1,Tasks[[#This Row],[_LeafTotalWork]]&gt;0),Tasks[[#This Row],[_LeafWork]]/(Tasks[[#This Row],[_FinishWorkday]]-Tasks[[#This Row],[_StartWorkday]]+1),0)</f>
        <v>6</v>
      </c>
      <c r="FU7" s="42" t="n">
        <f aca="false">Tasks[[#This Row],[_WorkPerWorkday]]*(Tasks[[#This Row],[_StartWorkday]]-1)</f>
        <v>0</v>
      </c>
      <c r="FV7" s="42" t="n">
        <f aca="false">IF(Tasks[[#This Row],[_IsLeaf]]=1,MAX(N(Tasks[[#This Row],[_Days]]),0.1),0)</f>
        <v>3</v>
      </c>
      <c r="FW7" s="42" t="n">
        <f aca="false">Tasks[[#This Row],[_WeightDur]]*Tasks[[#This Row],[_LeafProgress]]</f>
        <v>3</v>
      </c>
      <c r="FX7" s="42" t="n">
        <f aca="false">Tasks[[#This Row],[_WeightDur]]*Tasks[[#This Row],[_PlannedPct]]</f>
        <v>3</v>
      </c>
      <c r="FY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 s="42" t="str">
        <f aca="false">IF(AND(Tasks[[#This Row],[_IsLeaf]]=1,N(Tasks[[#This Row],[_Days]])=0,Tasks[[#This Row],[_LeafProgress]]&lt;1),Tasks[[#This Row],[_ShownFcstFinish]]+Tasks[[#This Row],[_Row]]/100000,"")</f>
        <v/>
      </c>
      <c r="GA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7" s="42" t="str">
        <f aca="false">IF(Tasks[[#This Row],[Task Name]]="","",LEFT(Tasks[[#This Row],[WBS]],FIND(".",Tasks[[#This Row],[WBS]]&amp;".")-1))</f>
        <v>1</v>
      </c>
      <c r="GC7" s="42" t="str">
        <f aca="false">IF(AND(Tasks[[#This Row],[Task Name]]&lt;&gt;"",Tasks[[#This Row],[_Level]]=1),Tasks[[#This Row],[_Row]],"")</f>
        <v/>
      </c>
      <c r="GD7" s="42" t="str">
        <f aca="false">IF(AND(Tasks[[#This Row],[_IsLeaf]]=1,N(Tasks[[#This Row],[_Days]])=0),Tasks[[#This Row],[Planned Finish]]+Tasks[[#This Row],[_Row]]/100000,"")</f>
        <v/>
      </c>
      <c r="GE7" s="42" t="str">
        <f aca="false">IF(AND(Tasks[[#This Row],[_IsLeaf]]=1,Tasks[[#This Row],[_LeafProgress]]&lt;1,OR(N(Tasks[[#This Row],[Finish Var]])&gt;0,Tasks[[#This Row],[Status]]="Late Start")),MAX(0,Tasks[[#This Row],[Finish Var]])+1-Tasks[[#This Row],[_Row]]/1000000,"")</f>
        <v/>
      </c>
      <c r="GF7" s="42" t="str">
        <f aca="false">IF(AND(Tasks[[#This Row],[_IsLeaf]]=1,N(Tasks[[#This Row],[Actual Start]])=0,Tasks[[#This Row],[_ShownFcstStart]]&gt;=StatusDate,Tasks[[#This Row],[_ShownFcstStart]]&lt;=LookaheadEnd),Tasks[[#This Row],[_ShownFcstStart]]+Tasks[[#This Row],[_Row]]/100000,"")</f>
        <v/>
      </c>
      <c r="GG7" s="42" t="str">
        <f aca="false">IF(AND(Tasks[[#This Row],[_IsLeaf]]=1,Tasks[[#This Row],[_LeafProgress]]&lt;1,Tasks[[#This Row],[_ShownFcstFinish]]&gt;=StatusDate,Tasks[[#This Row],[_ShownFcstFinish]]&lt;=LookaheadEnd),Tasks[[#This Row],[_ShownFcstFinish]]+Tasks[[#This Row],[_Row]]/100000,"")</f>
        <v/>
      </c>
      <c r="GH7" s="42" t="str">
        <f aca="false">IF(Tasks[[#This Row],[_LeafCritical]],Tasks[[#This Row],[_ShownFcstStart]]+Tasks[[#This Row],[_Row]]/100000,"")</f>
        <v/>
      </c>
      <c r="GI7" s="42" t="n">
        <f aca="false">Tasks[[#This Row],[_LeafWork]]*Tasks[[#This Row],[_LeafProgress]]</f>
        <v>24</v>
      </c>
      <c r="GJ7" s="89" t="n">
        <f aca="false">IF(AND(Tasks[[#This Row],[_IsLeaf]]=1,Tasks[[#This Row],[_LeafProgress]]&gt;=1),IF(N(Tasks[[#This Row],[Actual Finish]])&gt;0,Tasks[[#This Row],[Actual Finish]],Tasks[[#This Row],[_ShownFcstFinish]]),"")</f>
        <v>46275</v>
      </c>
      <c r="GK7" s="42" t="n">
        <f aca="false">IF(Tasks[[#This Row],[_IsLeaf]]=1,N(Tasks[[#This Row],[Story Points]]),0)</f>
        <v>0</v>
      </c>
      <c r="GL7" s="42" t="str">
        <f aca="false">""</f>
        <v/>
      </c>
      <c r="GM7" s="88" t="b">
        <f aca="false">IF(Tasks[[#This Row],[Task Name]]="",FALSE(),AND(Tasks[[#This Row],[_IsLeaf]]=1,N(Tasks[[#This Row],[_Days]])=0))</f>
        <v>0</v>
      </c>
      <c r="GN7" s="89" t="n">
        <f aca="false">IF(Tasks[[#This Row],[Task Name]]="",0,IF(AND(Tasks[[#This Row],[_IsLeaf]]=1,NOT(Tasks[[#This Row],[_IsMilestone]]),N(Tasks[[#This Row],[Progress]])&gt;0),Tasks[[#This Row],[Start]],0))</f>
        <v>46272</v>
      </c>
      <c r="GO7" s="89" t="n">
        <f aca="false">IF(Tasks[[#This Row],[_DoneFrom]]=0,0,IF(Tasks[[#This Row],[Progress]]&gt;=1,Tasks[[#This Row],[Finish]],MAX(Tasks[[#This Row],[_DoneFrom]],Tasks[[#This Row],[Start]]+ROUND((Tasks[[#This Row],[Finish]]-Tasks[[#This Row],[Start]]+1)*Tasks[[#This Row],[Progress]],0)-1)))</f>
        <v>46275</v>
      </c>
      <c r="GP7" s="89" t="n">
        <f aca="false">IF(Tasks[[#This Row],[Task Name]]="",0,IF(OR(NOT(Tasks[[#This Row],[_IsLeaf]]=1),Tasks[[#This Row],[_IsMilestone]],N(Tasks[[#This Row],[Progress]])&gt;=1),0,IF(Tasks[[#This Row],[_DoneTo]]&gt;0,Tasks[[#This Row],[_DoneTo]]+1,Tasks[[#This Row],[Start]])))</f>
        <v>0</v>
      </c>
      <c r="GQ7" s="89" t="n">
        <f aca="false">IF(Tasks[[#This Row],[_RemFrom]]=0,0,Tasks[[#This Row],[Finish]])</f>
        <v>0</v>
      </c>
      <c r="GR7" s="88" t="b">
        <f aca="false">IF(Tasks[[#This Row],[Task Name]]="",FALSE(),OR(NOT(BaselineSet),N(Tasks[[#This Row],[Baseline Start]])&gt;0))</f>
        <v>1</v>
      </c>
      <c r="GS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3</v>
      </c>
      <c r="GT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7" s="90" t="n">
        <f aca="false">IF(Tasks[[#This Row],[_IsLeaf]]=1,Tasks[[#This Row],[_Row]],"")</f>
        <v>2</v>
      </c>
      <c r="GW7" s="90" t="str">
        <f aca="false">IFERROR(INDEX(Tasks[UID],SMALL(Tasks[_PickKey],Tasks[[#This Row],[_Row]]))&amp;" "&amp;INDEX(Tasks[Task Name],SMALL(Tasks[_PickKey],Tasks[[#This Row],[_Row]])),"")</f>
        <v>3 Stakeholder kickoff workshop</v>
      </c>
      <c r="GX7" s="42" t="n">
        <f aca="false">IF(Tasks[[#This Row],[Task Name]]="","",IF(Tasks[[#This Row],[_IsSummary]],NETWORKDAYS.INTL(Tasks[[#This Row],[Start]],Tasks[[#This Row],[Finish]],WorkWeek,Holidays),N(Tasks[[#This Row],[_Days]])))</f>
        <v>3</v>
      </c>
    </row>
    <row r="8" customFormat="false" ht="15" hidden="false" customHeight="false" outlineLevel="1" collapsed="false">
      <c r="A8" s="21" t="n">
        <f aca="false">IF(Tasks[[#This Row],[Task Name]]="","",COUNTA(Tasks[[#Headers],[Task Name]]:Tasks[[#This Row],[Task Name]])-1)</f>
        <v>3</v>
      </c>
      <c r="B8" s="22" t="n">
        <v>3</v>
      </c>
      <c r="C8" s="22" t="n">
        <v>2</v>
      </c>
      <c r="D8" s="91" t="s">
        <v>612</v>
      </c>
      <c r="E8" s="22" t="n">
        <v>2</v>
      </c>
      <c r="F8" s="23" t="n">
        <v>2</v>
      </c>
      <c r="G8" s="22"/>
      <c r="H8" s="22"/>
      <c r="I8" s="23"/>
      <c r="J8" s="22"/>
      <c r="K8" s="22"/>
      <c r="L8" s="23"/>
      <c r="M8" s="22"/>
      <c r="N8" s="22"/>
      <c r="O8" s="23"/>
      <c r="P8" s="22"/>
      <c r="Q8" s="22"/>
      <c r="R8" s="23"/>
      <c r="S8" s="23" t="s">
        <v>613</v>
      </c>
      <c r="T8" s="83"/>
      <c r="U8" s="23"/>
      <c r="V8" s="83"/>
      <c r="W8" s="23"/>
      <c r="X8" s="83"/>
      <c r="Y8" s="23"/>
      <c r="Z8" s="83"/>
      <c r="AA8" s="23"/>
      <c r="AB8" s="23" t="s">
        <v>139</v>
      </c>
      <c r="AC8" s="7" t="n">
        <v>46276</v>
      </c>
      <c r="AD8" s="7" t="n">
        <v>46279</v>
      </c>
      <c r="AE8" s="62" t="n">
        <f aca="false">IF(Tasks[[#This Row],[Task Name]]="","",IF(Tasks[[#This Row],[_IsSummary]],MIN(INDEX(Tasks[_ShownFcstStart],Tasks[[#This Row],[_Row]]+1):INDEX(Tasks[_ShownFcstStart],Tasks[[#This Row],[_Row]]+Tasks[[#This Row],[_Descendants]])),Tasks[[#This Row],[_ShownFcstStart]]))</f>
        <v>46276</v>
      </c>
      <c r="AF8" s="62" t="n">
        <f aca="false">IF(Tasks[[#This Row],[Task Name]]="","",IF(Tasks[[#This Row],[_IsSummary]],MAX(INDEX(Tasks[_ShownFcstFinish],Tasks[[#This Row],[_Row]]+1):INDEX(Tasks[_ShownFcstFinish],Tasks[[#This Row],[_Row]]+Tasks[[#This Row],[_Descendants]])),Tasks[[#This Row],[_ShownFcstFinish]]))</f>
        <v>46279</v>
      </c>
      <c r="AG8" s="21" t="str">
        <f aca="false">""</f>
        <v/>
      </c>
      <c r="AH8" s="23"/>
      <c r="AI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 s="7"/>
      <c r="AK8" s="22" t="s">
        <v>235</v>
      </c>
      <c r="AL8" s="23"/>
      <c r="AM8" s="7"/>
      <c r="AN8" s="46" t="n">
        <f aca="false">IF(Tasks[[#This Row],[Task Name]]="","",IF(Tasks[[#This Row],[Finish]]&gt;=Tasks[[#This Row],[Planned Finish]],NETWORKDAYS.INTL(Tasks[[#This Row],[Planned Finish]],Tasks[[#This Row],[Finish]],WorkWeek,Holidays)-1,1-NETWORKDAYS.INTL(Tasks[[#This Row],[Finish]],Tasks[[#This Row],[Planned Finish]],WorkWeek,Holidays)))</f>
        <v>1</v>
      </c>
      <c r="AO8" s="21" t="str">
        <f aca="false">IF(Tasks[[#This Row],[Task Name]]="","",IF(Tasks[[#This Row],[Progress]]&gt;=1,"Complete",IF(OR(N(Tasks[[#This Row],[Actual Start]])&gt;0,Tasks[[#This Row],[Progress]]&gt;0),IF(Tasks[[#This Row],[Finish Var]]&gt;0,"Behind","In Progress"),IF(Tasks[[#This Row],[Planned Start]]&lt;StatusDate,"Late Start","Not Started"))))</f>
        <v>Complete</v>
      </c>
      <c r="AP8" s="21" t="str">
        <f aca="false">IF(Tasks[[#This Row],[Task Name]]="","",IF(IF(Tasks[[#This Row],[_IsSummary]],COUNTIF(INDEX(Tasks[_LeafCritical],Tasks[[#This Row],[_Row]]+1):INDEX(Tasks[_LeafCritical],Tasks[[#This Row],[_Row]]+Tasks[[#This Row],[_Descendants]]),TRUE())&gt;0,Tasks[[#This Row],[_LeafCritical]]),"Yes",""))</f>
        <v/>
      </c>
      <c r="AQ8" s="62" t="n">
        <f aca="false">IF(Tasks[[#This Row],[Task Name]]="","",IF(N(Tasks[[#This Row],[Baseline Start]])&gt;0,Tasks[[#This Row],[Baseline Start]],Tasks[[#This Row],[_CalcStart]]))</f>
        <v>46275</v>
      </c>
      <c r="AR8" s="62" t="n">
        <f aca="false">IF(Tasks[[#This Row],[Task Name]]="","",IF(N(Tasks[[#This Row],[Baseline Finish]])&gt;0,Tasks[[#This Row],[Baseline Finish]],Tasks[[#This Row],[_CalcFinish]]))</f>
        <v>46276</v>
      </c>
      <c r="AS8" s="46" t="n">
        <f aca="false">IF(Tasks[[#This Row],[Task Name]]="","",IF(Tasks[[#This Row],[Start]]&gt;=Tasks[[#This Row],[Planned Start]],NETWORKDAYS.INTL(Tasks[[#This Row],[Planned Start]],Tasks[[#This Row],[Start]],WorkWeek,Holidays)-1,1-NETWORKDAYS.INTL(Tasks[[#This Row],[Start]],Tasks[[#This Row],[Planned Start]],WorkWeek,Holidays)))</f>
        <v>1</v>
      </c>
      <c r="AT8" s="62" t="n">
        <f aca="false">IF(Tasks[[#This Row],[Task Name]]="","",IF(Tasks[[#This Row],[_IsSummary]],MIN(INDEX(Tasks[_LeafLateStart],Tasks[[#This Row],[_Row]]+1):INDEX(Tasks[_LeafLateStart],Tasks[[#This Row],[_Row]]+Tasks[[#This Row],[_Descendants]])),Tasks[[#This Row],[_LeafLateStart]]))</f>
        <v>46281</v>
      </c>
      <c r="AU8" s="62" t="n">
        <f aca="false">IF(Tasks[[#This Row],[Task Name]]="","",IF(Tasks[[#This Row],[_IsSummary]],MAX(INDEX(Tasks[_LeafLateFinish],Tasks[[#This Row],[_Row]]+1):INDEX(Tasks[_LeafLateFinish],Tasks[[#This Row],[_Row]]+Tasks[[#This Row],[_Descendants]])),Tasks[[#This Row],[_LeafLateFinish]]))</f>
        <v>46282</v>
      </c>
      <c r="AV8" s="46" t="n">
        <f aca="false">IF(Tasks[[#This Row],[Task Name]]="","",IF(Tasks[[#This Row],[_IsSummary]],MIN(INDEX(Tasks[_LeafTotalSlack],Tasks[[#This Row],[_Row]]+1):INDEX(Tasks[_LeafTotalSlack],Tasks[[#This Row],[_Row]]+Tasks[[#This Row],[_Descendants]])),Tasks[[#This Row],[_LeafTotalSlack]]))</f>
        <v>3</v>
      </c>
      <c r="AW8"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4"/>
      <c r="BA8"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BC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BD8" s="21" t="str">
        <f aca="false">IF(Tasks[[#This Row],[Task Name]]="","",IF(Tasks[[#This Row],[_Level]]&lt;=OutlineShowLevel,"Yes","No"))</f>
        <v>Yes</v>
      </c>
      <c r="BE8" s="85" t="n">
        <f aca="false">IF(Tasks[[#This Row],[Task Name]]="","",IF(Tasks[[#This Row],[_IsSummary]],SUM(INDEX(Tasks[_LeafTotalWork],Tasks[[#This Row],[_Row]]+1):INDEX(Tasks[_LeafTotalWork],Tasks[[#This Row],[_Row]]+Tasks[[#This Row],[_Descendants]])),Tasks[[#This Row],[_LeafTotalWork]]))</f>
        <v>16</v>
      </c>
      <c r="BF8" s="23"/>
      <c r="BG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8" s="21" t="str">
        <f aca="false">""</f>
        <v/>
      </c>
      <c r="BI8" s="86"/>
      <c r="BJ8" s="22"/>
      <c r="BK8" s="46" t="n">
        <f aca="false">IF(OR(Tasks[[#This Row],[Task Name]]="",Tasks[[#This Row],[Baseline Duration]]=""),"",Tasks[[#This Row],[_SpanDays]]-N(Tasks[[#This Row],[Baseline Duration]]))</f>
        <v>0</v>
      </c>
      <c r="BL8" s="85" t="n">
        <f aca="false">IF(OR(Tasks[[#This Row],[Task Name]]="",Tasks[[#This Row],[Baseline Work]]=""),"",Tasks[[#This Row],[Work]]-N(Tasks[[#This Row],[Baseline Work]]))</f>
        <v>0</v>
      </c>
      <c r="BM8" s="62" t="n">
        <f aca="false">IF(Tasks[[#This Row],[Task Name]]="","",IF(OR(TakeBaseline="Yes",N(Tasks[[#This Row],[Baseline Start]])=0),Tasks[[#This Row],[Start]],Tasks[[#This Row],[Baseline Start]]))</f>
        <v>46275</v>
      </c>
      <c r="BN8" s="62" t="n">
        <f aca="false">IF(Tasks[[#This Row],[Task Name]]="","",IF(OR(TakeBaseline="Yes",N(Tasks[[#This Row],[Baseline Finish]])=0),Tasks[[#This Row],[Finish]],Tasks[[#This Row],[Baseline Finish]]))</f>
        <v>46276</v>
      </c>
      <c r="BO8" s="21" t="n">
        <f aca="false">IF(Tasks[[#This Row],[Task Name]]="","",IF(OR(TakeBaseline="Yes",N(Tasks[[#This Row],[Baseline Duration]])=0),Tasks[[#This Row],[_SpanDays]],Tasks[[#This Row],[Baseline Duration]]))</f>
        <v>2</v>
      </c>
      <c r="BP8" s="85" t="n">
        <f aca="false">IF(Tasks[[#This Row],[Task Name]]="","",IF(OR(TakeBaseline="Yes",N(Tasks[[#This Row],[Baseline Work]])=0),Tasks[[#This Row],[Work]],Tasks[[#This Row],[Baseline Work]]))</f>
        <v>16</v>
      </c>
      <c r="BQ8" s="7" t="n">
        <v>46275</v>
      </c>
      <c r="BR8" s="7" t="n">
        <v>46276</v>
      </c>
      <c r="BS8" s="22" t="n">
        <v>2</v>
      </c>
      <c r="BT8" s="87" t="n">
        <v>16</v>
      </c>
      <c r="BU8" s="42" t="n">
        <f aca="false">IF(Tasks[[#This Row],[Task Name]]="","",MAX(1,N(Tasks[[#This Row],[Level]])))</f>
        <v>2</v>
      </c>
      <c r="BV8" s="42" t="n">
        <f aca="false">ROW()-ROW(Tasks[[#Headers],[ID]])</f>
        <v>3</v>
      </c>
      <c r="BW8" s="42" t="n">
        <f aca="false">IF(OR(Tasks[[#This Row],[Task Name]]="",Tasks[[#This Row],[_Level]]&lt;=1),0,IFERROR(LOOKUP(2,1/(Tasks[[#Headers],[_Level]]:Tasks[[#This Row],[_Level]]=Tasks[[#This Row],[_Level]]-1),ROW(Tasks[[#Headers],[_Level]]:Tasks[[#This Row],[_Level]])),0))</f>
        <v>6</v>
      </c>
      <c r="BX8" s="42" t="n">
        <f aca="false">IFERROR(N(INDEX(Tasks[_Level],Tasks[[#This Row],[_Row]]+1)),0)</f>
        <v>2</v>
      </c>
      <c r="BY8" s="88" t="b">
        <f aca="false">AND(Tasks[[#This Row],[Task Name]]&lt;&gt;"",Tasks[[#This Row],[_NextLevel]]&gt;Tasks[[#This Row],[_Level]])</f>
        <v>0</v>
      </c>
      <c r="BZ8" s="42" t="n">
        <f aca="false">IF(Tasks[[#This Row],[_IsSummary]],COUNTIF(Tasks[WBS],Tasks[[#This Row],[WBS]]&amp;".*"),0)</f>
        <v>0</v>
      </c>
      <c r="CA8" s="42" t="n">
        <f aca="false">IF(AND(Tasks[[#This Row],[Task Name]]&lt;&gt;"",NOT(Tasks[[#This Row],[_IsSummary]])),1,0)</f>
        <v>1</v>
      </c>
      <c r="CB8" s="42" t="n">
        <f aca="false">IF(N(Tasks[[#This Row],[_Pred1UID]])=0,0,IFERROR(MATCH(Tasks[[#This Row],[_Pred1UID]],Tasks[UID],0),-1))</f>
        <v>2</v>
      </c>
      <c r="CC8" s="42" t="n">
        <f aca="false">IF(N(Tasks[[#This Row],[_Pred2UID]])=0,0,IFERROR(MATCH(Tasks[[#This Row],[_Pred2UID]],Tasks[UID],0),-1))</f>
        <v>0</v>
      </c>
      <c r="CD8" s="42" t="n">
        <f aca="false">IF(N(Tasks[[#This Row],[_Pred3UID]])=0,0,IFERROR(MATCH(Tasks[[#This Row],[_Pred3UID]],Tasks[UID],0),-1))</f>
        <v>0</v>
      </c>
      <c r="CE8" s="42" t="n">
        <f aca="false">IF(N(Tasks[[#This Row],[_Pred4UID]])=0,0,IFERROR(MATCH(Tasks[[#This Row],[_Pred4UID]],Tasks[UID],0),-1))</f>
        <v>0</v>
      </c>
      <c r="CF8"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 s="89" t="n">
        <f aca="false">IF(OR(Tasks[[#This Row],[_ConstraintCode]]=2,Tasks[[#This Row],[_ConstraintCode]]=3,Tasks[[#This Row],[_ConstraintCode]]=4,Tasks[[#This Row],[_ConstraintCode]]=6),Tasks[[#This Row],[_ConstraintStart]],0)</f>
        <v>0</v>
      </c>
      <c r="CI8" s="89" t="n">
        <f aca="false">IF(OR(Tasks[[#This Row],[_ConstraintCode]]=2,Tasks[[#This Row],[_ConstraintCode]]=3,Tasks[[#This Row],[_ConstraintCode]]=5,Tasks[[#This Row],[_ConstraintCode]]=7),Tasks[[#This Row],[_ConstraintStart]],2958465)</f>
        <v>2958465</v>
      </c>
      <c r="CJ8"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K8" s="89" t="n">
        <f aca="false">IF(NOT(Tasks[[#This Row],[_IsLeaf]]=1),"",IF(N(Tasks[[#This Row],[_Days]])&lt;=0,Tasks[[#This Row],[_LeafCalcStart]],WORKDAY.INTL(Tasks[[#This Row],[_LeafCalcStart]],Tasks[[#This Row],[_Days]]-1,WorkWeek,Holidays)))</f>
        <v>46276</v>
      </c>
      <c r="CL8"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M8"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8" s="42" t="str">
        <f aca="false">IF(Tasks[[#This Row],[_Predecessors]]="","",TRIM(MID(SUBSTITUTE(SUBSTITUTE(SUBSTITUTE(UPPER(Tasks[[#This Row],[_Predecessors]]),";",",")," ",""),",",REPT(" ",99)),1,99)))</f>
        <v>2</v>
      </c>
      <c r="CO8" s="42" t="n">
        <f aca="false">IF(Tasks[[#This Row],[_Pred1Text]]="","",IFERROR(VALUE(LEFT(Tasks[[#This Row],[_Pred1Text]],MIN(FIND("F",Tasks[[#This Row],[_Pred1Text]]&amp;"F"),FIND("S",Tasks[[#This Row],[_Pred1Text]]&amp;"S"),FIND("+",Tasks[[#This Row],[_Pred1Text]]&amp;"+"),FIND("-",Tasks[[#This Row],[_Pred1Text]]&amp;"-"))-1)),""))</f>
        <v>2</v>
      </c>
      <c r="CP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8"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8" s="42" t="str">
        <f aca="false">IF(Tasks[[#This Row],[_Pred1Text]]="","",TRIM(MID(SUBSTITUTE(SUBSTITUTE(SUBSTITUTE(UPPER(Tasks[[#This Row],[_Predecessors]]),";",",")," ",""),",",REPT(" ",99)),100,99)))</f>
        <v/>
      </c>
      <c r="CS8" s="42" t="str">
        <f aca="false">IF(Tasks[[#This Row],[_Pred2Text]]="","",IFERROR(VALUE(LEFT(Tasks[[#This Row],[_Pred2Text]],MIN(FIND("F",Tasks[[#This Row],[_Pred2Text]]&amp;"F"),FIND("S",Tasks[[#This Row],[_Pred2Text]]&amp;"S"),FIND("+",Tasks[[#This Row],[_Pred2Text]]&amp;"+"),FIND("-",Tasks[[#This Row],[_Pred2Text]]&amp;"-"))-1)),""))</f>
        <v/>
      </c>
      <c r="CT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 s="42" t="str">
        <f aca="false">IF(Tasks[[#This Row],[_Pred2Text]]="","",TRIM(MID(SUBSTITUTE(SUBSTITUTE(SUBSTITUTE(UPPER(Tasks[[#This Row],[_Predecessors]]),";",",")," ",""),",",REPT(" ",99)),199,99)))</f>
        <v/>
      </c>
      <c r="CW8" s="42" t="str">
        <f aca="false">IF(Tasks[[#This Row],[_Pred3Text]]="","",IFERROR(VALUE(LEFT(Tasks[[#This Row],[_Pred3Text]],MIN(FIND("F",Tasks[[#This Row],[_Pred3Text]]&amp;"F"),FIND("S",Tasks[[#This Row],[_Pred3Text]]&amp;"S"),FIND("+",Tasks[[#This Row],[_Pred3Text]]&amp;"+"),FIND("-",Tasks[[#This Row],[_Pred3Text]]&amp;"-"))-1)),""))</f>
        <v/>
      </c>
      <c r="CX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 s="42" t="str">
        <f aca="false">IF(Tasks[[#This Row],[_Pred3Text]]="","",TRIM(MID(SUBSTITUTE(SUBSTITUTE(SUBSTITUTE(UPPER(Tasks[[#This Row],[_Predecessors]]),";",",")," ",""),",",REPT(" ",99)),298,99)))</f>
        <v/>
      </c>
      <c r="DA8" s="42" t="str">
        <f aca="false">IF(Tasks[[#This Row],[_Pred4Text]]="","",IFERROR(VALUE(LEFT(Tasks[[#This Row],[_Pred4Text]],MIN(FIND("F",Tasks[[#This Row],[_Pred4Text]]&amp;"F"),FIND("S",Tasks[[#This Row],[_Pred4Text]]&amp;"S"),FIND("+",Tasks[[#This Row],[_Pred4Text]]&amp;"+"),FIND("-",Tasks[[#This Row],[_Pred4Text]]&amp;"-"))-1)),""))</f>
        <v/>
      </c>
      <c r="DB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 s="42" t="str">
        <f aca="false">IF(OR(Tasks[[#This Row],[Task Name]]="",Tasks[[#This Row],[_Resources]]=""),"",TRIM(MID(SUBSTITUTE(Tasks[[#This Row],[_Resources]],",",REPT(" ",99)),1,99)))</f>
        <v>Morgan Patel</v>
      </c>
      <c r="DE8" s="42" t="str">
        <f aca="false">IF(Tasks[[#This Row],[_Res1Text]]="","",TRIM(MID(SUBSTITUTE(Tasks[[#This Row],[_Resources]],",",REPT(" ",99)),100,99)))</f>
        <v/>
      </c>
      <c r="DF8" s="42" t="str">
        <f aca="false">IF(Tasks[[#This Row],[_Res2Text]]="","",TRIM(MID(SUBSTITUTE(Tasks[[#This Row],[_Resources]],",",REPT(" ",99)),199,99)))</f>
        <v/>
      </c>
      <c r="DG8" s="42" t="str">
        <f aca="false">IF(Tasks[[#This Row],[_Res3Text]]="","",TRIM(MID(SUBSTITUTE(Tasks[[#This Row],[_Resources]],",",REPT(" ",99)),298,99)))</f>
        <v/>
      </c>
      <c r="DH8" s="42" t="n">
        <f aca="false">IF(Tasks[[#This Row],[_Res1Text]]="",0,IFERROR(MATCH(TRIM(LEFT(Tasks[[#This Row],[_Res1Text]],FIND("[",Tasks[[#This Row],[_Res1Text]]&amp;"[")-1)),res_Name,0),IFERROR(MATCH(TRIM(LEFT(Tasks[[#This Row],[_Res1Text]],FIND("[",Tasks[[#This Row],[_Res1Text]]&amp;"[")-1)),res_Initials,0),0)))</f>
        <v>2</v>
      </c>
      <c r="DI8" s="42" t="n">
        <f aca="false">IF(Tasks[[#This Row],[_Res2Text]]="",0,IFERROR(MATCH(TRIM(LEFT(Tasks[[#This Row],[_Res2Text]],FIND("[",Tasks[[#This Row],[_Res2Text]]&amp;"[")-1)),res_Name,0),IFERROR(MATCH(TRIM(LEFT(Tasks[[#This Row],[_Res2Text]],FIND("[",Tasks[[#This Row],[_Res2Text]]&amp;"[")-1)),res_Initials,0),0)))</f>
        <v>0</v>
      </c>
      <c r="DJ8" s="42" t="n">
        <f aca="false">IF(Tasks[[#This Row],[_Res3Text]]="",0,IFERROR(MATCH(TRIM(LEFT(Tasks[[#This Row],[_Res3Text]],FIND("[",Tasks[[#This Row],[_Res3Text]]&amp;"[")-1)),res_Name,0),IFERROR(MATCH(TRIM(LEFT(Tasks[[#This Row],[_Res3Text]],FIND("[",Tasks[[#This Row],[_Res3Text]]&amp;"[")-1)),res_Initials,0),0)))</f>
        <v>0</v>
      </c>
      <c r="DK8" s="42" t="n">
        <f aca="false">IF(Tasks[[#This Row],[_Res4Text]]="",0,IFERROR(MATCH(TRIM(LEFT(Tasks[[#This Row],[_Res4Text]],FIND("[",Tasks[[#This Row],[_Res4Text]]&amp;"[")-1)),res_Name,0),IFERROR(MATCH(TRIM(LEFT(Tasks[[#This Row],[_Res4Text]],FIND("[",Tasks[[#This Row],[_Res4Text]]&amp;"[")-1)),res_Initials,0),0)))</f>
        <v>0</v>
      </c>
      <c r="DL8" s="42" t="str">
        <f aca="false">IF(Tasks[[#This Row],[_Res1Text]]="","",IF(Tasks[[#This Row],[_Res1Row]]&gt;0,INDEX(res_Name,Tasks[[#This Row],[_Res1Row]]),TRIM(LEFT(Tasks[[#This Row],[_Res1Text]],FIND("[",Tasks[[#This Row],[_Res1Text]]&amp;"[")-1))))</f>
        <v>Morgan Patel</v>
      </c>
      <c r="DM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 s="42" t="n">
        <f aca="false">IF(NOT(Tasks[[#This Row],[_IsLeaf]]=1),0,(Tasks[[#This Row],[_Resource1]]&lt;&gt;"")+(Tasks[[#This Row],[_Res2]]&lt;&gt;"")+(Tasks[[#This Row],[_Res3]]&lt;&gt;"")+(Tasks[[#This Row],[_Res4]]&lt;&gt;""))</f>
        <v>1</v>
      </c>
      <c r="DO8" s="42" t="str">
        <f aca="false">IF(Tasks[[#This Row],[_Res2Text]]="","",IF(Tasks[[#This Row],[_Res2Row]]&gt;0,INDEX(res_Name,Tasks[[#This Row],[_Res2Row]]),TRIM(LEFT(Tasks[[#This Row],[_Res2Text]],FIND("[",Tasks[[#This Row],[_Res2Text]]&amp;"[")-1))))</f>
        <v/>
      </c>
      <c r="DP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 s="42" t="n">
        <f aca="false">IF(OR(NOT(Tasks[[#This Row],[_IsLeaf]]=1),Tasks[[#This Row],[_Res2Row]]=0),0,N(Tasks[[#This Row],[_Days]])*HoursPerDay*IF(Tasks[[#This Row],[_Res2Units]]="",DefaultUnits,Tasks[[#This Row],[_Res2Units]]))</f>
        <v>0</v>
      </c>
      <c r="DR8" s="42" t="n">
        <f aca="false">IF(AND(AND(Tasks[[#This Row],[_IsLeaf]]=1,Tasks[[#This Row],[_LeafTotalWork]]&gt;0),Tasks[[#This Row],[_Res2Work]]&gt;0),Tasks[[#This Row],[_Res2Work]]/(Tasks[[#This Row],[_FinishWorkday]]-Tasks[[#This Row],[_StartWorkday]]+1),0)</f>
        <v>0</v>
      </c>
      <c r="DS8" s="42" t="n">
        <f aca="false">Tasks[[#This Row],[_Res2WorkPerWD]]*MAX(0,Tasks[[#This Row],[_StartWorkday]]-1)</f>
        <v>0</v>
      </c>
      <c r="DT8" s="42" t="n">
        <f aca="false">Tasks[[#This Row],[_Res2Work]]*Tasks[[#This Row],[_LeafProgress]]</f>
        <v>0</v>
      </c>
      <c r="DU8" s="42" t="str">
        <f aca="false">IF(Tasks[[#This Row],[_Res3Text]]="","",IF(Tasks[[#This Row],[_Res3Row]]&gt;0,INDEX(res_Name,Tasks[[#This Row],[_Res3Row]]),TRIM(LEFT(Tasks[[#This Row],[_Res3Text]],FIND("[",Tasks[[#This Row],[_Res3Text]]&amp;"[")-1))))</f>
        <v/>
      </c>
      <c r="DV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 s="42" t="n">
        <f aca="false">IF(OR(NOT(Tasks[[#This Row],[_IsLeaf]]=1),Tasks[[#This Row],[_Res3Row]]=0),0,N(Tasks[[#This Row],[_Days]])*HoursPerDay*IF(Tasks[[#This Row],[_Res3Units]]="",DefaultUnits,Tasks[[#This Row],[_Res3Units]]))</f>
        <v>0</v>
      </c>
      <c r="DX8" s="42" t="n">
        <f aca="false">IF(AND(AND(Tasks[[#This Row],[_IsLeaf]]=1,Tasks[[#This Row],[_LeafTotalWork]]&gt;0),Tasks[[#This Row],[_Res3Work]]&gt;0),Tasks[[#This Row],[_Res3Work]]/(Tasks[[#This Row],[_FinishWorkday]]-Tasks[[#This Row],[_StartWorkday]]+1),0)</f>
        <v>0</v>
      </c>
      <c r="DY8" s="42" t="n">
        <f aca="false">Tasks[[#This Row],[_Res3WorkPerWD]]*MAX(0,Tasks[[#This Row],[_StartWorkday]]-1)</f>
        <v>0</v>
      </c>
      <c r="DZ8" s="42" t="n">
        <f aca="false">Tasks[[#This Row],[_Res3Work]]*Tasks[[#This Row],[_LeafProgress]]</f>
        <v>0</v>
      </c>
      <c r="EA8" s="42" t="str">
        <f aca="false">IF(Tasks[[#This Row],[_Res4Text]]="","",IF(Tasks[[#This Row],[_Res4Row]]&gt;0,INDEX(res_Name,Tasks[[#This Row],[_Res4Row]]),TRIM(LEFT(Tasks[[#This Row],[_Res4Text]],FIND("[",Tasks[[#This Row],[_Res4Text]]&amp;"[")-1))))</f>
        <v/>
      </c>
      <c r="EB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 s="42" t="n">
        <f aca="false">IF(OR(NOT(Tasks[[#This Row],[_IsLeaf]]=1),Tasks[[#This Row],[_Res4Row]]=0),0,N(Tasks[[#This Row],[_Days]])*HoursPerDay*IF(Tasks[[#This Row],[_Res4Units]]="",DefaultUnits,Tasks[[#This Row],[_Res4Units]]))</f>
        <v>0</v>
      </c>
      <c r="ED8" s="42" t="n">
        <f aca="false">IF(AND(AND(Tasks[[#This Row],[_IsLeaf]]=1,Tasks[[#This Row],[_LeafTotalWork]]&gt;0),Tasks[[#This Row],[_Res4Work]]&gt;0),Tasks[[#This Row],[_Res4Work]]/(Tasks[[#This Row],[_FinishWorkday]]-Tasks[[#This Row],[_StartWorkday]]+1),0)</f>
        <v>0</v>
      </c>
      <c r="EE8" s="42" t="n">
        <f aca="false">Tasks[[#This Row],[_Res4WorkPerWD]]*MAX(0,Tasks[[#This Row],[_StartWorkday]]-1)</f>
        <v>0</v>
      </c>
      <c r="EF8" s="42" t="n">
        <f aca="false">Tasks[[#This Row],[_Res4Work]]*Tasks[[#This Row],[_LeafProgress]]</f>
        <v>0</v>
      </c>
      <c r="EG8" s="92" t="n">
        <f aca="false">IF(ISNUMBER(Tasks[[#This Row],[% Complete]]),Tasks[[#This Row],[% Complete]],IF(Tasks[[#This Row],[Stage]]="",0,IFERROR(INDEX(stg_Pct,MATCH(Tasks[[#This Row],[Stage]],stg_Name,0)),0)))</f>
        <v>1</v>
      </c>
      <c r="EH8" s="42" t="n">
        <f aca="false">IF(NOT(Tasks[[#This Row],[_IsLeaf]]=1),0,IF(N(Tasks[[#This Row],[Actual Finish]])&gt;0,1,MIN(1,Tasks[[#This Row],[_Pct]])))</f>
        <v>1</v>
      </c>
      <c r="EI8" s="42" t="n">
        <f aca="false">IF(OR(NOT(Tasks[[#This Row],[_IsLeaf]]=1),Tasks[[#This Row],[_Res1Row]]=0),0,N(Tasks[[#This Row],[_Days]])*HoursPerDay*IF(Tasks[[#This Row],[_Units1]]="",DefaultUnits,Tasks[[#This Row],[_Units1]]))</f>
        <v>16</v>
      </c>
      <c r="EJ8" s="42" t="n">
        <f aca="false">Tasks[[#This Row],[_LeafWork]]+Tasks[[#This Row],[_Res2Work]]+Tasks[[#This Row],[_Res3Work]]+Tasks[[#This Row],[_Res4Work]]</f>
        <v>16</v>
      </c>
      <c r="EK8"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2912185</v>
      </c>
      <c r="EL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 s="42" t="n">
        <f aca="false">IF(NOT(Tasks[[#This Row],[_IsLeaf]]=1),0,MAX(_xlfn.MAXIFS(Tasks[_Row],Tasks[_Pred1UID],Tasks[[#This Row],[UID]]),_xlfn.MAXIFS(Tasks[_Row],Tasks[_Pred2UID],Tasks[[#This Row],[UID]]),_xlfn.MAXIFS(Tasks[_Row],Tasks[_Pred3UID],Tasks[[#This Row],[UID]]),_xlfn.MAXIFS(Tasks[_Row],Tasks[_Pred4UID],Tasks[[#This Row],[UID]])))</f>
        <v>4</v>
      </c>
      <c r="ET8"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8"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8" s="89" t="n">
        <f aca="false">IF(NOT(Tasks[[#This Row],[_IsLeaf]]=1),"",IF(N(Tasks[[#This Row],[_Days]])&lt;=0,Tasks[[#This Row],[_LeafLateFinish]],WORKDAY.INTL(Tasks[[#This Row],[_LeafLateFinish]],-(Tasks[[#This Row],[_Days]]-1),WorkWeek,Holidays)))</f>
        <v>46281</v>
      </c>
      <c r="EW8"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8" s="88" t="b">
        <f aca="false">AND(Tasks[[#This Row],[_IsLeaf]]=1,Tasks[[#This Row],[_LeafProgress]]&lt;1,N(Tasks[[#This Row],[_LeafTotalSlack]])&lt;=CriticalSlackDays)</f>
        <v>0</v>
      </c>
      <c r="EY8" s="42" t="n">
        <f aca="false">IF(AND(Tasks[[#This Row],[_IsLeaf]]=1,Tasks[[#This Row],[_ConstraintCode]]=1,Tasks[[#This Row],[Mode]]&lt;&gt;"Manual",N(Tasks[[#This Row],[Actual Start]])=0),MAX(0,N(Tasks[[#This Row],[Free Slack]])),0)</f>
        <v>0</v>
      </c>
      <c r="EZ8" s="89" t="n">
        <f aca="false">IF(NOT(Tasks[[#This Row],[_IsLeaf]]=1),"",IF(Tasks[[#This Row],[_AlapShift]]=0,Tasks[[#This Row],[_LeafCalcStart]],WORKDAY.INTL(Tasks[[#This Row],[_LeafCalcStart]],Tasks[[#This Row],[_AlapShift]],WorkWeek,Holidays)))</f>
        <v>46275</v>
      </c>
      <c r="FA8" s="89" t="n">
        <f aca="false">IF(NOT(Tasks[[#This Row],[_IsLeaf]]=1),"",IF(Tasks[[#This Row],[_AlapShift]]=0,Tasks[[#This Row],[_LeafCalcFinish]],WORKDAY.INTL(Tasks[[#This Row],[_LeafCalcFinish]],Tasks[[#This Row],[_AlapShift]],WorkWeek,Holidays)))</f>
        <v>46276</v>
      </c>
      <c r="FB8" s="89" t="n">
        <f aca="false">IF(NOT(Tasks[[#This Row],[_IsLeaf]]=1),"",IF(Tasks[[#This Row],[_AlapShift]]=0,Tasks[[#This Row],[_LeafFcstStart]],WORKDAY.INTL(Tasks[[#This Row],[_LeafFcstStart]],Tasks[[#This Row],[_AlapShift]],WorkWeek,Holidays)))</f>
        <v>46276</v>
      </c>
      <c r="FC8" s="89" t="n">
        <f aca="false">IF(NOT(Tasks[[#This Row],[_IsLeaf]]=1),"",IF(Tasks[[#This Row],[_AlapShift]]=0,Tasks[[#This Row],[_LeafFcstFinish]],WORKDAY.INTL(Tasks[[#This Row],[_LeafFcstFinish]],Tasks[[#This Row],[_AlapShift]],WorkWeek,Holidays)))</f>
        <v>46279</v>
      </c>
      <c r="FD8" s="89" t="n">
        <f aca="false">IF(Tasks[[#This Row],[Task Name]]="","",IF(Tasks[[#This Row],[_IsSummary]],MIN(INDEX(Tasks[_ShownCalcStart],Tasks[[#This Row],[_Row]]+1):INDEX(Tasks[_ShownCalcStart],Tasks[[#This Row],[_Row]]+Tasks[[#This Row],[_Descendants]])),Tasks[[#This Row],[_ShownCalcStart]]))</f>
        <v>46275</v>
      </c>
      <c r="FE8" s="89" t="n">
        <f aca="false">IF(Tasks[[#This Row],[Task Name]]="","",IF(Tasks[[#This Row],[_IsSummary]],MAX(INDEX(Tasks[_ShownCalcFinish],Tasks[[#This Row],[_Row]]+1):INDEX(Tasks[_ShownCalcFinish],Tasks[[#This Row],[_Row]]+Tasks[[#This Row],[_Descendants]])),Tasks[[#This Row],[_ShownCalcFinish]]))</f>
        <v>46276</v>
      </c>
      <c r="FF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46275</v>
      </c>
      <c r="FK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46276</v>
      </c>
      <c r="FO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 s="42" t="n">
        <f aca="false">IF(AND(Tasks[[#This Row],[_IsLeaf]]=1,Tasks[[#This Row],[_LeafTotalWork]]&gt;0),NETWORKDAYS.INTL(ProjectStart,Tasks[[#This Row],[_ShownFcstStart]],WorkWeek,Holidays),0)</f>
        <v>5</v>
      </c>
      <c r="FS8" s="42" t="n">
        <f aca="false">IF(AND(Tasks[[#This Row],[_IsLeaf]]=1,Tasks[[#This Row],[_LeafTotalWork]]&gt;0),MAX(Tasks[[#This Row],[_StartWorkday]],NETWORKDAYS.INTL(ProjectStart,Tasks[[#This Row],[_ShownFcstFinish]],WorkWeek,Holidays)),0)</f>
        <v>6</v>
      </c>
      <c r="FT8" s="42" t="n">
        <f aca="false">IF(AND(Tasks[[#This Row],[_IsLeaf]]=1,Tasks[[#This Row],[_LeafTotalWork]]&gt;0),Tasks[[#This Row],[_LeafWork]]/(Tasks[[#This Row],[_FinishWorkday]]-Tasks[[#This Row],[_StartWorkday]]+1),0)</f>
        <v>8</v>
      </c>
      <c r="FU8" s="42" t="n">
        <f aca="false">Tasks[[#This Row],[_WorkPerWorkday]]*(Tasks[[#This Row],[_StartWorkday]]-1)</f>
        <v>32</v>
      </c>
      <c r="FV8" s="42" t="n">
        <f aca="false">IF(Tasks[[#This Row],[_IsLeaf]]=1,MAX(N(Tasks[[#This Row],[_Days]]),0.1),0)</f>
        <v>2</v>
      </c>
      <c r="FW8" s="42" t="n">
        <f aca="false">Tasks[[#This Row],[_WeightDur]]*Tasks[[#This Row],[_LeafProgress]]</f>
        <v>2</v>
      </c>
      <c r="FX8" s="42" t="n">
        <f aca="false">Tasks[[#This Row],[_WeightDur]]*Tasks[[#This Row],[_PlannedPct]]</f>
        <v>2</v>
      </c>
      <c r="FY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FZ8" s="42" t="str">
        <f aca="false">IF(AND(Tasks[[#This Row],[_IsLeaf]]=1,N(Tasks[[#This Row],[_Days]])=0,Tasks[[#This Row],[_LeafProgress]]&lt;1),Tasks[[#This Row],[_ShownFcstFinish]]+Tasks[[#This Row],[_Row]]/100000,"")</f>
        <v/>
      </c>
      <c r="GA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8" s="42" t="str">
        <f aca="false">IF(Tasks[[#This Row],[Task Name]]="","",LEFT(Tasks[[#This Row],[WBS]],FIND(".",Tasks[[#This Row],[WBS]]&amp;".")-1))</f>
        <v>1</v>
      </c>
      <c r="GC8" s="42" t="str">
        <f aca="false">IF(AND(Tasks[[#This Row],[Task Name]]&lt;&gt;"",Tasks[[#This Row],[_Level]]=1),Tasks[[#This Row],[_Row]],"")</f>
        <v/>
      </c>
      <c r="GD8" s="42" t="str">
        <f aca="false">IF(AND(Tasks[[#This Row],[_IsLeaf]]=1,N(Tasks[[#This Row],[_Days]])=0),Tasks[[#This Row],[Planned Finish]]+Tasks[[#This Row],[_Row]]/100000,"")</f>
        <v/>
      </c>
      <c r="GE8" s="42" t="str">
        <f aca="false">IF(AND(Tasks[[#This Row],[_IsLeaf]]=1,Tasks[[#This Row],[_LeafProgress]]&lt;1,OR(N(Tasks[[#This Row],[Finish Var]])&gt;0,Tasks[[#This Row],[Status]]="Late Start")),MAX(0,Tasks[[#This Row],[Finish Var]])+1-Tasks[[#This Row],[_Row]]/1000000,"")</f>
        <v/>
      </c>
      <c r="GF8" s="42" t="str">
        <f aca="false">IF(AND(Tasks[[#This Row],[_IsLeaf]]=1,N(Tasks[[#This Row],[Actual Start]])=0,Tasks[[#This Row],[_ShownFcstStart]]&gt;=StatusDate,Tasks[[#This Row],[_ShownFcstStart]]&lt;=LookaheadEnd),Tasks[[#This Row],[_ShownFcstStart]]+Tasks[[#This Row],[_Row]]/100000,"")</f>
        <v/>
      </c>
      <c r="GG8" s="42" t="str">
        <f aca="false">IF(AND(Tasks[[#This Row],[_IsLeaf]]=1,Tasks[[#This Row],[_LeafProgress]]&lt;1,Tasks[[#This Row],[_ShownFcstFinish]]&gt;=StatusDate,Tasks[[#This Row],[_ShownFcstFinish]]&lt;=LookaheadEnd),Tasks[[#This Row],[_ShownFcstFinish]]+Tasks[[#This Row],[_Row]]/100000,"")</f>
        <v/>
      </c>
      <c r="GH8" s="42" t="str">
        <f aca="false">IF(Tasks[[#This Row],[_LeafCritical]],Tasks[[#This Row],[_ShownFcstStart]]+Tasks[[#This Row],[_Row]]/100000,"")</f>
        <v/>
      </c>
      <c r="GI8" s="42" t="n">
        <f aca="false">Tasks[[#This Row],[_LeafWork]]*Tasks[[#This Row],[_LeafProgress]]</f>
        <v>16</v>
      </c>
      <c r="GJ8" s="89" t="n">
        <f aca="false">IF(AND(Tasks[[#This Row],[_IsLeaf]]=1,Tasks[[#This Row],[_LeafProgress]]&gt;=1),IF(N(Tasks[[#This Row],[Actual Finish]])&gt;0,Tasks[[#This Row],[Actual Finish]],Tasks[[#This Row],[_ShownFcstFinish]]),"")</f>
        <v>46279</v>
      </c>
      <c r="GK8" s="42" t="n">
        <f aca="false">IF(Tasks[[#This Row],[_IsLeaf]]=1,N(Tasks[[#This Row],[Story Points]]),0)</f>
        <v>0</v>
      </c>
      <c r="GL8" s="42" t="str">
        <f aca="false">""</f>
        <v/>
      </c>
      <c r="GM8" s="88" t="b">
        <f aca="false">IF(Tasks[[#This Row],[Task Name]]="",FALSE(),AND(Tasks[[#This Row],[_IsLeaf]]=1,N(Tasks[[#This Row],[_Days]])=0))</f>
        <v>0</v>
      </c>
      <c r="GN8" s="89" t="n">
        <f aca="false">IF(Tasks[[#This Row],[Task Name]]="",0,IF(AND(Tasks[[#This Row],[_IsLeaf]]=1,NOT(Tasks[[#This Row],[_IsMilestone]]),N(Tasks[[#This Row],[Progress]])&gt;0),Tasks[[#This Row],[Start]],0))</f>
        <v>46276</v>
      </c>
      <c r="GO8" s="89" t="n">
        <f aca="false">IF(Tasks[[#This Row],[_DoneFrom]]=0,0,IF(Tasks[[#This Row],[Progress]]&gt;=1,Tasks[[#This Row],[Finish]],MAX(Tasks[[#This Row],[_DoneFrom]],Tasks[[#This Row],[Start]]+ROUND((Tasks[[#This Row],[Finish]]-Tasks[[#This Row],[Start]]+1)*Tasks[[#This Row],[Progress]],0)-1)))</f>
        <v>46279</v>
      </c>
      <c r="GP8" s="89" t="n">
        <f aca="false">IF(Tasks[[#This Row],[Task Name]]="",0,IF(OR(NOT(Tasks[[#This Row],[_IsLeaf]]=1),Tasks[[#This Row],[_IsMilestone]],N(Tasks[[#This Row],[Progress]])&gt;=1),0,IF(Tasks[[#This Row],[_DoneTo]]&gt;0,Tasks[[#This Row],[_DoneTo]]+1,Tasks[[#This Row],[Start]])))</f>
        <v>0</v>
      </c>
      <c r="GQ8" s="89" t="n">
        <f aca="false">IF(Tasks[[#This Row],[_RemFrom]]=0,0,Tasks[[#This Row],[Finish]])</f>
        <v>0</v>
      </c>
      <c r="GR8" s="88" t="b">
        <f aca="false">IF(Tasks[[#This Row],[Task Name]]="",FALSE(),OR(NOT(BaselineSet),N(Tasks[[#This Row],[Baseline Start]])&gt;0))</f>
        <v>1</v>
      </c>
      <c r="GS8"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2</v>
      </c>
      <c r="GT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v>
      </c>
      <c r="GU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8" s="90" t="n">
        <f aca="false">IF(Tasks[[#This Row],[_IsLeaf]]=1,Tasks[[#This Row],[_Row]],"")</f>
        <v>3</v>
      </c>
      <c r="GW8" s="90" t="str">
        <f aca="false">IFERROR(INDEX(Tasks[UID],SMALL(Tasks[_PickKey],Tasks[[#This Row],[_Row]]))&amp;" "&amp;INDEX(Tasks[Task Name],SMALL(Tasks[_PickKey],Tasks[[#This Row],[_Row]])),"")</f>
        <v>4 Kickoff complete</v>
      </c>
      <c r="GX8" s="42" t="n">
        <f aca="false">IF(Tasks[[#This Row],[Task Name]]="","",IF(Tasks[[#This Row],[_IsSummary]],NETWORKDAYS.INTL(Tasks[[#This Row],[Start]],Tasks[[#This Row],[Finish]],WorkWeek,Holidays),N(Tasks[[#This Row],[_Days]])))</f>
        <v>2</v>
      </c>
    </row>
    <row r="9" customFormat="false" ht="15" hidden="false" customHeight="false" outlineLevel="1" collapsed="false">
      <c r="A9" s="21" t="n">
        <f aca="false">IF(Tasks[[#This Row],[Task Name]]="","",COUNTA(Tasks[[#Headers],[Task Name]]:Tasks[[#This Row],[Task Name]])-1)</f>
        <v>4</v>
      </c>
      <c r="B9" s="22" t="n">
        <v>4</v>
      </c>
      <c r="C9" s="22" t="n">
        <v>2</v>
      </c>
      <c r="D9" s="91" t="s">
        <v>614</v>
      </c>
      <c r="E9" s="22" t="n">
        <v>0</v>
      </c>
      <c r="F9" s="23" t="n">
        <v>3</v>
      </c>
      <c r="G9" s="22"/>
      <c r="H9" s="22"/>
      <c r="I9" s="23"/>
      <c r="J9" s="22"/>
      <c r="K9" s="22"/>
      <c r="L9" s="23"/>
      <c r="M9" s="22"/>
      <c r="N9" s="22"/>
      <c r="O9" s="23"/>
      <c r="P9" s="22"/>
      <c r="Q9" s="22"/>
      <c r="R9" s="23"/>
      <c r="S9" s="23"/>
      <c r="T9" s="83"/>
      <c r="U9" s="23"/>
      <c r="V9" s="83"/>
      <c r="W9" s="23"/>
      <c r="X9" s="83"/>
      <c r="Y9" s="23"/>
      <c r="Z9" s="83"/>
      <c r="AA9" s="23"/>
      <c r="AB9" s="23" t="s">
        <v>139</v>
      </c>
      <c r="AC9" s="7" t="n">
        <v>46279</v>
      </c>
      <c r="AD9" s="7" t="n">
        <v>46279</v>
      </c>
      <c r="AE9" s="62" t="n">
        <f aca="false">IF(Tasks[[#This Row],[Task Name]]="","",IF(Tasks[[#This Row],[_IsSummary]],MIN(INDEX(Tasks[_ShownFcstStart],Tasks[[#This Row],[_Row]]+1):INDEX(Tasks[_ShownFcstStart],Tasks[[#This Row],[_Row]]+Tasks[[#This Row],[_Descendants]])),Tasks[[#This Row],[_ShownFcstStart]]))</f>
        <v>46279</v>
      </c>
      <c r="AF9" s="62" t="n">
        <f aca="false">IF(Tasks[[#This Row],[Task Name]]="","",IF(Tasks[[#This Row],[_IsSummary]],MAX(INDEX(Tasks[_ShownFcstFinish],Tasks[[#This Row],[_Row]]+1):INDEX(Tasks[_ShownFcstFinish],Tasks[[#This Row],[_Row]]+Tasks[[#This Row],[_Descendants]])),Tasks[[#This Row],[_ShownFcstFinish]]))</f>
        <v>46279</v>
      </c>
      <c r="AG9" s="21" t="str">
        <f aca="false">""</f>
        <v/>
      </c>
      <c r="AH9" s="23" t="s">
        <v>615</v>
      </c>
      <c r="AI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 s="7"/>
      <c r="AK9" s="22" t="s">
        <v>235</v>
      </c>
      <c r="AL9" s="23"/>
      <c r="AM9" s="7"/>
      <c r="AN9" s="46" t="n">
        <f aca="false">IF(Tasks[[#This Row],[Task Name]]="","",IF(Tasks[[#This Row],[Finish]]&gt;=Tasks[[#This Row],[Planned Finish]],NETWORKDAYS.INTL(Tasks[[#This Row],[Planned Finish]],Tasks[[#This Row],[Finish]],WorkWeek,Holidays)-1,1-NETWORKDAYS.INTL(Tasks[[#This Row],[Finish]],Tasks[[#This Row],[Planned Finish]],WorkWeek,Holidays)))</f>
        <v>1</v>
      </c>
      <c r="AO9" s="21" t="str">
        <f aca="false">IF(Tasks[[#This Row],[Task Name]]="","",IF(Tasks[[#This Row],[Progress]]&gt;=1,"Complete",IF(OR(N(Tasks[[#This Row],[Actual Start]])&gt;0,Tasks[[#This Row],[Progress]]&gt;0),IF(Tasks[[#This Row],[Finish Var]]&gt;0,"Behind","In Progress"),IF(Tasks[[#This Row],[Planned Start]]&lt;StatusDate,"Late Start","Not Started"))))</f>
        <v>Complete</v>
      </c>
      <c r="AP9" s="21" t="str">
        <f aca="false">IF(Tasks[[#This Row],[Task Name]]="","",IF(IF(Tasks[[#This Row],[_IsSummary]],COUNTIF(INDEX(Tasks[_LeafCritical],Tasks[[#This Row],[_Row]]+1):INDEX(Tasks[_LeafCritical],Tasks[[#This Row],[_Row]]+Tasks[[#This Row],[_Descendants]]),TRUE())&gt;0,Tasks[[#This Row],[_LeafCritical]]),"Yes",""))</f>
        <v/>
      </c>
      <c r="AQ9" s="62" t="n">
        <f aca="false">IF(Tasks[[#This Row],[Task Name]]="","",IF(N(Tasks[[#This Row],[Baseline Start]])&gt;0,Tasks[[#This Row],[Baseline Start]],Tasks[[#This Row],[_CalcStart]]))</f>
        <v>46276</v>
      </c>
      <c r="AR9" s="62" t="n">
        <f aca="false">IF(Tasks[[#This Row],[Task Name]]="","",IF(N(Tasks[[#This Row],[Baseline Finish]])&gt;0,Tasks[[#This Row],[Baseline Finish]],Tasks[[#This Row],[_CalcFinish]]))</f>
        <v>46276</v>
      </c>
      <c r="AS9" s="46" t="n">
        <f aca="false">IF(Tasks[[#This Row],[Task Name]]="","",IF(Tasks[[#This Row],[Start]]&gt;=Tasks[[#This Row],[Planned Start]],NETWORKDAYS.INTL(Tasks[[#This Row],[Planned Start]],Tasks[[#This Row],[Start]],WorkWeek,Holidays)-1,1-NETWORKDAYS.INTL(Tasks[[#This Row],[Start]],Tasks[[#This Row],[Planned Start]],WorkWeek,Holidays)))</f>
        <v>1</v>
      </c>
      <c r="AT9" s="62" t="n">
        <f aca="false">IF(Tasks[[#This Row],[Task Name]]="","",IF(Tasks[[#This Row],[_IsSummary]],MIN(INDEX(Tasks[_LeafLateStart],Tasks[[#This Row],[_Row]]+1):INDEX(Tasks[_LeafLateStart],Tasks[[#This Row],[_Row]]+Tasks[[#This Row],[_Descendants]])),Tasks[[#This Row],[_LeafLateStart]]))</f>
        <v>46282</v>
      </c>
      <c r="AU9" s="62" t="n">
        <f aca="false">IF(Tasks[[#This Row],[Task Name]]="","",IF(Tasks[[#This Row],[_IsSummary]],MAX(INDEX(Tasks[_LeafLateFinish],Tasks[[#This Row],[_Row]]+1):INDEX(Tasks[_LeafLateFinish],Tasks[[#This Row],[_Row]]+Tasks[[#This Row],[_Descendants]])),Tasks[[#This Row],[_LeafLateFinish]]))</f>
        <v>46282</v>
      </c>
      <c r="AV9" s="46" t="n">
        <f aca="false">IF(Tasks[[#This Row],[Task Name]]="","",IF(Tasks[[#This Row],[_IsSummary]],MIN(INDEX(Tasks[_LeafTotalSlack],Tasks[[#This Row],[_Row]]+1):INDEX(Tasks[_LeafTotalSlack],Tasks[[#This Row],[_Row]]+Tasks[[#This Row],[_Descendants]])),Tasks[[#This Row],[_LeafTotalSlack]]))</f>
        <v>3</v>
      </c>
      <c r="AW9"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4"/>
      <c r="BA9"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BC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BD9" s="21" t="str">
        <f aca="false">IF(Tasks[[#This Row],[Task Name]]="","",IF(Tasks[[#This Row],[_Level]]&lt;=OutlineShowLevel,"Yes","No"))</f>
        <v>Yes</v>
      </c>
      <c r="BE9" s="85" t="n">
        <f aca="false">IF(Tasks[[#This Row],[Task Name]]="","",IF(Tasks[[#This Row],[_IsSummary]],SUM(INDEX(Tasks[_LeafTotalWork],Tasks[[#This Row],[_Row]]+1):INDEX(Tasks[_LeafTotalWork],Tasks[[#This Row],[_Row]]+Tasks[[#This Row],[_Descendants]])),Tasks[[#This Row],[_LeafTotalWork]]))</f>
        <v>0</v>
      </c>
      <c r="BF9" s="23"/>
      <c r="BG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t="str">
        <f aca="false">""</f>
        <v/>
      </c>
      <c r="BI9" s="86"/>
      <c r="BJ9" s="22"/>
      <c r="BK9" s="46" t="n">
        <f aca="false">IF(OR(Tasks[[#This Row],[Task Name]]="",Tasks[[#This Row],[Baseline Duration]]=""),"",Tasks[[#This Row],[_SpanDays]]-N(Tasks[[#This Row],[Baseline Duration]]))</f>
        <v>0</v>
      </c>
      <c r="BL9" s="85" t="n">
        <f aca="false">IF(OR(Tasks[[#This Row],[Task Name]]="",Tasks[[#This Row],[Baseline Work]]=""),"",Tasks[[#This Row],[Work]]-N(Tasks[[#This Row],[Baseline Work]]))</f>
        <v>0</v>
      </c>
      <c r="BM9" s="62" t="n">
        <f aca="false">IF(Tasks[[#This Row],[Task Name]]="","",IF(OR(TakeBaseline="Yes",N(Tasks[[#This Row],[Baseline Start]])=0),Tasks[[#This Row],[Start]],Tasks[[#This Row],[Baseline Start]]))</f>
        <v>46276</v>
      </c>
      <c r="BN9" s="62" t="n">
        <f aca="false">IF(Tasks[[#This Row],[Task Name]]="","",IF(OR(TakeBaseline="Yes",N(Tasks[[#This Row],[Baseline Finish]])=0),Tasks[[#This Row],[Finish]],Tasks[[#This Row],[Baseline Finish]]))</f>
        <v>46276</v>
      </c>
      <c r="BO9" s="21" t="n">
        <f aca="false">IF(Tasks[[#This Row],[Task Name]]="","",IF(OR(TakeBaseline="Yes",N(Tasks[[#This Row],[Baseline Duration]])=0),Tasks[[#This Row],[_SpanDays]],Tasks[[#This Row],[Baseline Duration]]))</f>
        <v>0</v>
      </c>
      <c r="BP9" s="85" t="n">
        <f aca="false">IF(Tasks[[#This Row],[Task Name]]="","",IF(OR(TakeBaseline="Yes",N(Tasks[[#This Row],[Baseline Work]])=0),Tasks[[#This Row],[Work]],Tasks[[#This Row],[Baseline Work]]))</f>
        <v>0</v>
      </c>
      <c r="BQ9" s="7" t="n">
        <v>46276</v>
      </c>
      <c r="BR9" s="7" t="n">
        <v>46276</v>
      </c>
      <c r="BS9" s="22" t="n">
        <v>0</v>
      </c>
      <c r="BT9" s="87" t="n">
        <v>0</v>
      </c>
      <c r="BU9" s="42" t="n">
        <f aca="false">IF(Tasks[[#This Row],[Task Name]]="","",MAX(1,N(Tasks[[#This Row],[Level]])))</f>
        <v>2</v>
      </c>
      <c r="BV9" s="42" t="n">
        <f aca="false">ROW()-ROW(Tasks[[#Headers],[ID]])</f>
        <v>4</v>
      </c>
      <c r="BW9" s="42" t="n">
        <f aca="false">IF(OR(Tasks[[#This Row],[Task Name]]="",Tasks[[#This Row],[_Level]]&lt;=1),0,IFERROR(LOOKUP(2,1/(Tasks[[#Headers],[_Level]]:Tasks[[#This Row],[_Level]]=Tasks[[#This Row],[_Level]]-1),ROW(Tasks[[#Headers],[_Level]]:Tasks[[#This Row],[_Level]])),0))</f>
        <v>6</v>
      </c>
      <c r="BX9" s="42" t="n">
        <f aca="false">IFERROR(N(INDEX(Tasks[_Level],Tasks[[#This Row],[_Row]]+1)),0)</f>
        <v>1</v>
      </c>
      <c r="BY9" s="88" t="b">
        <f aca="false">AND(Tasks[[#This Row],[Task Name]]&lt;&gt;"",Tasks[[#This Row],[_NextLevel]]&gt;Tasks[[#This Row],[_Level]])</f>
        <v>0</v>
      </c>
      <c r="BZ9" s="42" t="n">
        <f aca="false">IF(Tasks[[#This Row],[_IsSummary]],COUNTIF(Tasks[WBS],Tasks[[#This Row],[WBS]]&amp;".*"),0)</f>
        <v>0</v>
      </c>
      <c r="CA9" s="42" t="n">
        <f aca="false">IF(AND(Tasks[[#This Row],[Task Name]]&lt;&gt;"",NOT(Tasks[[#This Row],[_IsSummary]])),1,0)</f>
        <v>1</v>
      </c>
      <c r="CB9" s="42" t="n">
        <f aca="false">IF(N(Tasks[[#This Row],[_Pred1UID]])=0,0,IFERROR(MATCH(Tasks[[#This Row],[_Pred1UID]],Tasks[UID],0),-1))</f>
        <v>3</v>
      </c>
      <c r="CC9" s="42" t="n">
        <f aca="false">IF(N(Tasks[[#This Row],[_Pred2UID]])=0,0,IFERROR(MATCH(Tasks[[#This Row],[_Pred2UID]],Tasks[UID],0),-1))</f>
        <v>0</v>
      </c>
      <c r="CD9" s="42" t="n">
        <f aca="false">IF(N(Tasks[[#This Row],[_Pred3UID]])=0,0,IFERROR(MATCH(Tasks[[#This Row],[_Pred3UID]],Tasks[UID],0),-1))</f>
        <v>0</v>
      </c>
      <c r="CE9" s="42" t="n">
        <f aca="false">IF(N(Tasks[[#This Row],[_Pred4UID]])=0,0,IFERROR(MATCH(Tasks[[#This Row],[_Pred4UID]],Tasks[UID],0),-1))</f>
        <v>0</v>
      </c>
      <c r="CF9"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 s="89" t="n">
        <f aca="false">IF(OR(Tasks[[#This Row],[_ConstraintCode]]=2,Tasks[[#This Row],[_ConstraintCode]]=3,Tasks[[#This Row],[_ConstraintCode]]=4,Tasks[[#This Row],[_ConstraintCode]]=6),Tasks[[#This Row],[_ConstraintStart]],0)</f>
        <v>0</v>
      </c>
      <c r="CI9" s="89" t="n">
        <f aca="false">IF(OR(Tasks[[#This Row],[_ConstraintCode]]=2,Tasks[[#This Row],[_ConstraintCode]]=3,Tasks[[#This Row],[_ConstraintCode]]=5,Tasks[[#This Row],[_ConstraintCode]]=7),Tasks[[#This Row],[_ConstraintStart]],2958465)</f>
        <v>2958465</v>
      </c>
      <c r="CJ9"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K9" s="89" t="n">
        <f aca="false">IF(NOT(Tasks[[#This Row],[_IsLeaf]]=1),"",IF(N(Tasks[[#This Row],[_Days]])&lt;=0,Tasks[[#This Row],[_LeafCalcStart]],WORKDAY.INTL(Tasks[[#This Row],[_LeafCalcStart]],Tasks[[#This Row],[_Days]]-1,WorkWeek,Holidays)))</f>
        <v>46276</v>
      </c>
      <c r="CL9"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M9"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46279</v>
      </c>
      <c r="CN9" s="42" t="str">
        <f aca="false">IF(Tasks[[#This Row],[_Predecessors]]="","",TRIM(MID(SUBSTITUTE(SUBSTITUTE(SUBSTITUTE(UPPER(Tasks[[#This Row],[_Predecessors]]),";",",")," ",""),",",REPT(" ",99)),1,99)))</f>
        <v>3</v>
      </c>
      <c r="CO9" s="42" t="n">
        <f aca="false">IF(Tasks[[#This Row],[_Pred1Text]]="","",IFERROR(VALUE(LEFT(Tasks[[#This Row],[_Pred1Text]],MIN(FIND("F",Tasks[[#This Row],[_Pred1Text]]&amp;"F"),FIND("S",Tasks[[#This Row],[_Pred1Text]]&amp;"S"),FIND("+",Tasks[[#This Row],[_Pred1Text]]&amp;"+"),FIND("-",Tasks[[#This Row],[_Pred1Text]]&amp;"-"))-1)),""))</f>
        <v>3</v>
      </c>
      <c r="CP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9"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9" s="42" t="str">
        <f aca="false">IF(Tasks[[#This Row],[_Pred1Text]]="","",TRIM(MID(SUBSTITUTE(SUBSTITUTE(SUBSTITUTE(UPPER(Tasks[[#This Row],[_Predecessors]]),";",",")," ",""),",",REPT(" ",99)),100,99)))</f>
        <v/>
      </c>
      <c r="CS9" s="42" t="str">
        <f aca="false">IF(Tasks[[#This Row],[_Pred2Text]]="","",IFERROR(VALUE(LEFT(Tasks[[#This Row],[_Pred2Text]],MIN(FIND("F",Tasks[[#This Row],[_Pred2Text]]&amp;"F"),FIND("S",Tasks[[#This Row],[_Pred2Text]]&amp;"S"),FIND("+",Tasks[[#This Row],[_Pred2Text]]&amp;"+"),FIND("-",Tasks[[#This Row],[_Pred2Text]]&amp;"-"))-1)),""))</f>
        <v/>
      </c>
      <c r="CT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 s="42" t="str">
        <f aca="false">IF(Tasks[[#This Row],[_Pred2Text]]="","",TRIM(MID(SUBSTITUTE(SUBSTITUTE(SUBSTITUTE(UPPER(Tasks[[#This Row],[_Predecessors]]),";",",")," ",""),",",REPT(" ",99)),199,99)))</f>
        <v/>
      </c>
      <c r="CW9" s="42" t="str">
        <f aca="false">IF(Tasks[[#This Row],[_Pred3Text]]="","",IFERROR(VALUE(LEFT(Tasks[[#This Row],[_Pred3Text]],MIN(FIND("F",Tasks[[#This Row],[_Pred3Text]]&amp;"F"),FIND("S",Tasks[[#This Row],[_Pred3Text]]&amp;"S"),FIND("+",Tasks[[#This Row],[_Pred3Text]]&amp;"+"),FIND("-",Tasks[[#This Row],[_Pred3Text]]&amp;"-"))-1)),""))</f>
        <v/>
      </c>
      <c r="CX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 s="42" t="str">
        <f aca="false">IF(Tasks[[#This Row],[_Pred3Text]]="","",TRIM(MID(SUBSTITUTE(SUBSTITUTE(SUBSTITUTE(UPPER(Tasks[[#This Row],[_Predecessors]]),";",",")," ",""),",",REPT(" ",99)),298,99)))</f>
        <v/>
      </c>
      <c r="DA9" s="42" t="str">
        <f aca="false">IF(Tasks[[#This Row],[_Pred4Text]]="","",IFERROR(VALUE(LEFT(Tasks[[#This Row],[_Pred4Text]],MIN(FIND("F",Tasks[[#This Row],[_Pred4Text]]&amp;"F"),FIND("S",Tasks[[#This Row],[_Pred4Text]]&amp;"S"),FIND("+",Tasks[[#This Row],[_Pred4Text]]&amp;"+"),FIND("-",Tasks[[#This Row],[_Pred4Text]]&amp;"-"))-1)),""))</f>
        <v/>
      </c>
      <c r="DB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 s="42" t="str">
        <f aca="false">IF(OR(Tasks[[#This Row],[Task Name]]="",Tasks[[#This Row],[_Resources]]=""),"",TRIM(MID(SUBSTITUTE(Tasks[[#This Row],[_Resources]],",",REPT(" ",99)),1,99)))</f>
        <v/>
      </c>
      <c r="DE9" s="42" t="str">
        <f aca="false">IF(Tasks[[#This Row],[_Res1Text]]="","",TRIM(MID(SUBSTITUTE(Tasks[[#This Row],[_Resources]],",",REPT(" ",99)),100,99)))</f>
        <v/>
      </c>
      <c r="DF9" s="42" t="str">
        <f aca="false">IF(Tasks[[#This Row],[_Res2Text]]="","",TRIM(MID(SUBSTITUTE(Tasks[[#This Row],[_Resources]],",",REPT(" ",99)),199,99)))</f>
        <v/>
      </c>
      <c r="DG9" s="42" t="str">
        <f aca="false">IF(Tasks[[#This Row],[_Res3Text]]="","",TRIM(MID(SUBSTITUTE(Tasks[[#This Row],[_Resources]],",",REPT(" ",99)),298,99)))</f>
        <v/>
      </c>
      <c r="DH9" s="42" t="n">
        <f aca="false">IF(Tasks[[#This Row],[_Res1Text]]="",0,IFERROR(MATCH(TRIM(LEFT(Tasks[[#This Row],[_Res1Text]],FIND("[",Tasks[[#This Row],[_Res1Text]]&amp;"[")-1)),res_Name,0),IFERROR(MATCH(TRIM(LEFT(Tasks[[#This Row],[_Res1Text]],FIND("[",Tasks[[#This Row],[_Res1Text]]&amp;"[")-1)),res_Initials,0),0)))</f>
        <v>0</v>
      </c>
      <c r="DI9" s="42" t="n">
        <f aca="false">IF(Tasks[[#This Row],[_Res2Text]]="",0,IFERROR(MATCH(TRIM(LEFT(Tasks[[#This Row],[_Res2Text]],FIND("[",Tasks[[#This Row],[_Res2Text]]&amp;"[")-1)),res_Name,0),IFERROR(MATCH(TRIM(LEFT(Tasks[[#This Row],[_Res2Text]],FIND("[",Tasks[[#This Row],[_Res2Text]]&amp;"[")-1)),res_Initials,0),0)))</f>
        <v>0</v>
      </c>
      <c r="DJ9" s="42" t="n">
        <f aca="false">IF(Tasks[[#This Row],[_Res3Text]]="",0,IFERROR(MATCH(TRIM(LEFT(Tasks[[#This Row],[_Res3Text]],FIND("[",Tasks[[#This Row],[_Res3Text]]&amp;"[")-1)),res_Name,0),IFERROR(MATCH(TRIM(LEFT(Tasks[[#This Row],[_Res3Text]],FIND("[",Tasks[[#This Row],[_Res3Text]]&amp;"[")-1)),res_Initials,0),0)))</f>
        <v>0</v>
      </c>
      <c r="DK9" s="42" t="n">
        <f aca="false">IF(Tasks[[#This Row],[_Res4Text]]="",0,IFERROR(MATCH(TRIM(LEFT(Tasks[[#This Row],[_Res4Text]],FIND("[",Tasks[[#This Row],[_Res4Text]]&amp;"[")-1)),res_Name,0),IFERROR(MATCH(TRIM(LEFT(Tasks[[#This Row],[_Res4Text]],FIND("[",Tasks[[#This Row],[_Res4Text]]&amp;"[")-1)),res_Initials,0),0)))</f>
        <v>0</v>
      </c>
      <c r="DL9" s="42" t="str">
        <f aca="false">IF(Tasks[[#This Row],[_Res1Text]]="","",IF(Tasks[[#This Row],[_Res1Row]]&gt;0,INDEX(res_Name,Tasks[[#This Row],[_Res1Row]]),TRIM(LEFT(Tasks[[#This Row],[_Res1Text]],FIND("[",Tasks[[#This Row],[_Res1Text]]&amp;"[")-1))))</f>
        <v/>
      </c>
      <c r="DM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 s="42" t="n">
        <f aca="false">IF(NOT(Tasks[[#This Row],[_IsLeaf]]=1),0,(Tasks[[#This Row],[_Resource1]]&lt;&gt;"")+(Tasks[[#This Row],[_Res2]]&lt;&gt;"")+(Tasks[[#This Row],[_Res3]]&lt;&gt;"")+(Tasks[[#This Row],[_Res4]]&lt;&gt;""))</f>
        <v>0</v>
      </c>
      <c r="DO9" s="42" t="str">
        <f aca="false">IF(Tasks[[#This Row],[_Res2Text]]="","",IF(Tasks[[#This Row],[_Res2Row]]&gt;0,INDEX(res_Name,Tasks[[#This Row],[_Res2Row]]),TRIM(LEFT(Tasks[[#This Row],[_Res2Text]],FIND("[",Tasks[[#This Row],[_Res2Text]]&amp;"[")-1))))</f>
        <v/>
      </c>
      <c r="DP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 s="42" t="n">
        <f aca="false">IF(OR(NOT(Tasks[[#This Row],[_IsLeaf]]=1),Tasks[[#This Row],[_Res2Row]]=0),0,N(Tasks[[#This Row],[_Days]])*HoursPerDay*IF(Tasks[[#This Row],[_Res2Units]]="",DefaultUnits,Tasks[[#This Row],[_Res2Units]]))</f>
        <v>0</v>
      </c>
      <c r="DR9" s="42" t="n">
        <f aca="false">IF(AND(AND(Tasks[[#This Row],[_IsLeaf]]=1,Tasks[[#This Row],[_LeafTotalWork]]&gt;0),Tasks[[#This Row],[_Res2Work]]&gt;0),Tasks[[#This Row],[_Res2Work]]/(Tasks[[#This Row],[_FinishWorkday]]-Tasks[[#This Row],[_StartWorkday]]+1),0)</f>
        <v>0</v>
      </c>
      <c r="DS9" s="42" t="n">
        <f aca="false">Tasks[[#This Row],[_Res2WorkPerWD]]*MAX(0,Tasks[[#This Row],[_StartWorkday]]-1)</f>
        <v>0</v>
      </c>
      <c r="DT9" s="42" t="n">
        <f aca="false">Tasks[[#This Row],[_Res2Work]]*Tasks[[#This Row],[_LeafProgress]]</f>
        <v>0</v>
      </c>
      <c r="DU9" s="42" t="str">
        <f aca="false">IF(Tasks[[#This Row],[_Res3Text]]="","",IF(Tasks[[#This Row],[_Res3Row]]&gt;0,INDEX(res_Name,Tasks[[#This Row],[_Res3Row]]),TRIM(LEFT(Tasks[[#This Row],[_Res3Text]],FIND("[",Tasks[[#This Row],[_Res3Text]]&amp;"[")-1))))</f>
        <v/>
      </c>
      <c r="DV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 s="42" t="n">
        <f aca="false">IF(OR(NOT(Tasks[[#This Row],[_IsLeaf]]=1),Tasks[[#This Row],[_Res3Row]]=0),0,N(Tasks[[#This Row],[_Days]])*HoursPerDay*IF(Tasks[[#This Row],[_Res3Units]]="",DefaultUnits,Tasks[[#This Row],[_Res3Units]]))</f>
        <v>0</v>
      </c>
      <c r="DX9" s="42" t="n">
        <f aca="false">IF(AND(AND(Tasks[[#This Row],[_IsLeaf]]=1,Tasks[[#This Row],[_LeafTotalWork]]&gt;0),Tasks[[#This Row],[_Res3Work]]&gt;0),Tasks[[#This Row],[_Res3Work]]/(Tasks[[#This Row],[_FinishWorkday]]-Tasks[[#This Row],[_StartWorkday]]+1),0)</f>
        <v>0</v>
      </c>
      <c r="DY9" s="42" t="n">
        <f aca="false">Tasks[[#This Row],[_Res3WorkPerWD]]*MAX(0,Tasks[[#This Row],[_StartWorkday]]-1)</f>
        <v>0</v>
      </c>
      <c r="DZ9" s="42" t="n">
        <f aca="false">Tasks[[#This Row],[_Res3Work]]*Tasks[[#This Row],[_LeafProgress]]</f>
        <v>0</v>
      </c>
      <c r="EA9" s="42" t="str">
        <f aca="false">IF(Tasks[[#This Row],[_Res4Text]]="","",IF(Tasks[[#This Row],[_Res4Row]]&gt;0,INDEX(res_Name,Tasks[[#This Row],[_Res4Row]]),TRIM(LEFT(Tasks[[#This Row],[_Res4Text]],FIND("[",Tasks[[#This Row],[_Res4Text]]&amp;"[")-1))))</f>
        <v/>
      </c>
      <c r="EB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 s="42" t="n">
        <f aca="false">IF(OR(NOT(Tasks[[#This Row],[_IsLeaf]]=1),Tasks[[#This Row],[_Res4Row]]=0),0,N(Tasks[[#This Row],[_Days]])*HoursPerDay*IF(Tasks[[#This Row],[_Res4Units]]="",DefaultUnits,Tasks[[#This Row],[_Res4Units]]))</f>
        <v>0</v>
      </c>
      <c r="ED9" s="42" t="n">
        <f aca="false">IF(AND(AND(Tasks[[#This Row],[_IsLeaf]]=1,Tasks[[#This Row],[_LeafTotalWork]]&gt;0),Tasks[[#This Row],[_Res4Work]]&gt;0),Tasks[[#This Row],[_Res4Work]]/(Tasks[[#This Row],[_FinishWorkday]]-Tasks[[#This Row],[_StartWorkday]]+1),0)</f>
        <v>0</v>
      </c>
      <c r="EE9" s="42" t="n">
        <f aca="false">Tasks[[#This Row],[_Res4WorkPerWD]]*MAX(0,Tasks[[#This Row],[_StartWorkday]]-1)</f>
        <v>0</v>
      </c>
      <c r="EF9" s="42" t="n">
        <f aca="false">Tasks[[#This Row],[_Res4Work]]*Tasks[[#This Row],[_LeafProgress]]</f>
        <v>0</v>
      </c>
      <c r="EG9" s="92" t="n">
        <f aca="false">IF(ISNUMBER(Tasks[[#This Row],[% Complete]]),Tasks[[#This Row],[% Complete]],IF(Tasks[[#This Row],[Stage]]="",0,IFERROR(INDEX(stg_Pct,MATCH(Tasks[[#This Row],[Stage]],stg_Name,0)),0)))</f>
        <v>1</v>
      </c>
      <c r="EH9" s="42" t="n">
        <f aca="false">IF(NOT(Tasks[[#This Row],[_IsLeaf]]=1),0,IF(N(Tasks[[#This Row],[Actual Finish]])&gt;0,1,MIN(1,Tasks[[#This Row],[_Pct]])))</f>
        <v>1</v>
      </c>
      <c r="EI9" s="42" t="n">
        <f aca="false">IF(OR(NOT(Tasks[[#This Row],[_IsLeaf]]=1),Tasks[[#This Row],[_Res1Row]]=0),0,N(Tasks[[#This Row],[_Days]])*HoursPerDay*IF(Tasks[[#This Row],[_Units1]]="",DefaultUnits,Tasks[[#This Row],[_Units1]]))</f>
        <v>0</v>
      </c>
      <c r="EJ9" s="42" t="n">
        <f aca="false">Tasks[[#This Row],[_LeafWork]]+Tasks[[#This Row],[_Res2Work]]+Tasks[[#This Row],[_Res3Work]]+Tasks[[#This Row],[_Res4Work]]</f>
        <v>0</v>
      </c>
      <c r="EK9"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 s="42" t="n">
        <f aca="false">IF(NOT(Tasks[[#This Row],[_IsLeaf]]=1),0,MAX(_xlfn.MAXIFS(Tasks[_Row],Tasks[_Pred1UID],Tasks[[#This Row],[UID]]),_xlfn.MAXIFS(Tasks[_Row],Tasks[_Pred2UID],Tasks[[#This Row],[UID]]),_xlfn.MAXIFS(Tasks[_Row],Tasks[_Pred3UID],Tasks[[#This Row],[UID]]),_xlfn.MAXIFS(Tasks[_Row],Tasks[_Pred4UID],Tasks[[#This Row],[UID]])))</f>
        <v>6</v>
      </c>
      <c r="ET9"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46282</v>
      </c>
      <c r="EU9"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46282</v>
      </c>
      <c r="EV9" s="89" t="n">
        <f aca="false">IF(NOT(Tasks[[#This Row],[_IsLeaf]]=1),"",IF(N(Tasks[[#This Row],[_Days]])&lt;=0,Tasks[[#This Row],[_LeafLateFinish]],WORKDAY.INTL(Tasks[[#This Row],[_LeafLateFinish]],-(Tasks[[#This Row],[_Days]]-1),WorkWeek,Holidays)))</f>
        <v>46282</v>
      </c>
      <c r="EW9"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X9" s="88" t="b">
        <f aca="false">AND(Tasks[[#This Row],[_IsLeaf]]=1,Tasks[[#This Row],[_LeafProgress]]&lt;1,N(Tasks[[#This Row],[_LeafTotalSlack]])&lt;=CriticalSlackDays)</f>
        <v>0</v>
      </c>
      <c r="EY9" s="42" t="n">
        <f aca="false">IF(AND(Tasks[[#This Row],[_IsLeaf]]=1,Tasks[[#This Row],[_ConstraintCode]]=1,Tasks[[#This Row],[Mode]]&lt;&gt;"Manual",N(Tasks[[#This Row],[Actual Start]])=0),MAX(0,N(Tasks[[#This Row],[Free Slack]])),0)</f>
        <v>0</v>
      </c>
      <c r="EZ9" s="89" t="n">
        <f aca="false">IF(NOT(Tasks[[#This Row],[_IsLeaf]]=1),"",IF(Tasks[[#This Row],[_AlapShift]]=0,Tasks[[#This Row],[_LeafCalcStart]],WORKDAY.INTL(Tasks[[#This Row],[_LeafCalcStart]],Tasks[[#This Row],[_AlapShift]],WorkWeek,Holidays)))</f>
        <v>46276</v>
      </c>
      <c r="FA9" s="89" t="n">
        <f aca="false">IF(NOT(Tasks[[#This Row],[_IsLeaf]]=1),"",IF(Tasks[[#This Row],[_AlapShift]]=0,Tasks[[#This Row],[_LeafCalcFinish]],WORKDAY.INTL(Tasks[[#This Row],[_LeafCalcFinish]],Tasks[[#This Row],[_AlapShift]],WorkWeek,Holidays)))</f>
        <v>46276</v>
      </c>
      <c r="FB9" s="89" t="n">
        <f aca="false">IF(NOT(Tasks[[#This Row],[_IsLeaf]]=1),"",IF(Tasks[[#This Row],[_AlapShift]]=0,Tasks[[#This Row],[_LeafFcstStart]],WORKDAY.INTL(Tasks[[#This Row],[_LeafFcstStart]],Tasks[[#This Row],[_AlapShift]],WorkWeek,Holidays)))</f>
        <v>46279</v>
      </c>
      <c r="FC9" s="89" t="n">
        <f aca="false">IF(NOT(Tasks[[#This Row],[_IsLeaf]]=1),"",IF(Tasks[[#This Row],[_AlapShift]]=0,Tasks[[#This Row],[_LeafFcstFinish]],WORKDAY.INTL(Tasks[[#This Row],[_LeafFcstFinish]],Tasks[[#This Row],[_AlapShift]],WorkWeek,Holidays)))</f>
        <v>46279</v>
      </c>
      <c r="FD9" s="89" t="n">
        <f aca="false">IF(Tasks[[#This Row],[Task Name]]="","",IF(Tasks[[#This Row],[_IsSummary]],MIN(INDEX(Tasks[_ShownCalcStart],Tasks[[#This Row],[_Row]]+1):INDEX(Tasks[_ShownCalcStart],Tasks[[#This Row],[_Row]]+Tasks[[#This Row],[_Descendants]])),Tasks[[#This Row],[_ShownCalcStart]]))</f>
        <v>46276</v>
      </c>
      <c r="FE9" s="89" t="n">
        <f aca="false">IF(Tasks[[#This Row],[Task Name]]="","",IF(Tasks[[#This Row],[_IsSummary]],MAX(INDEX(Tasks[_ShownCalcFinish],Tasks[[#This Row],[_Row]]+1):INDEX(Tasks[_ShownCalcFinish],Tasks[[#This Row],[_Row]]+Tasks[[#This Row],[_Descendants]])),Tasks[[#This Row],[_ShownCalcFinish]]))</f>
        <v>46276</v>
      </c>
      <c r="FF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46276</v>
      </c>
      <c r="FK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46279</v>
      </c>
      <c r="FO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 s="42" t="n">
        <f aca="false">IF(AND(Tasks[[#This Row],[_IsLeaf]]=1,Tasks[[#This Row],[_LeafTotalWork]]&gt;0),NETWORKDAYS.INTL(ProjectStart,Tasks[[#This Row],[_ShownFcstStart]],WorkWeek,Holidays),0)</f>
        <v>0</v>
      </c>
      <c r="FS9" s="42" t="n">
        <f aca="false">IF(AND(Tasks[[#This Row],[_IsLeaf]]=1,Tasks[[#This Row],[_LeafTotalWork]]&gt;0),MAX(Tasks[[#This Row],[_StartWorkday]],NETWORKDAYS.INTL(ProjectStart,Tasks[[#This Row],[_ShownFcstFinish]],WorkWeek,Holidays)),0)</f>
        <v>0</v>
      </c>
      <c r="FT9" s="42" t="n">
        <f aca="false">IF(AND(Tasks[[#This Row],[_IsLeaf]]=1,Tasks[[#This Row],[_LeafTotalWork]]&gt;0),Tasks[[#This Row],[_LeafWork]]/(Tasks[[#This Row],[_FinishWorkday]]-Tasks[[#This Row],[_StartWorkday]]+1),0)</f>
        <v>0</v>
      </c>
      <c r="FU9" s="42" t="n">
        <f aca="false">Tasks[[#This Row],[_WorkPerWorkday]]*(Tasks[[#This Row],[_StartWorkday]]-1)</f>
        <v>-0</v>
      </c>
      <c r="FV9" s="42" t="n">
        <f aca="false">IF(Tasks[[#This Row],[_IsLeaf]]=1,MAX(N(Tasks[[#This Row],[_Days]]),0.1),0)</f>
        <v>0.1</v>
      </c>
      <c r="FW9" s="42" t="n">
        <f aca="false">Tasks[[#This Row],[_WeightDur]]*Tasks[[#This Row],[_LeafProgress]]</f>
        <v>0.1</v>
      </c>
      <c r="FX9" s="42" t="n">
        <f aca="false">Tasks[[#This Row],[_WeightDur]]*Tasks[[#This Row],[_PlannedPct]]</f>
        <v>0.1</v>
      </c>
      <c r="FY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FZ9" s="42" t="str">
        <f aca="false">IF(AND(Tasks[[#This Row],[_IsLeaf]]=1,N(Tasks[[#This Row],[_Days]])=0,Tasks[[#This Row],[_LeafProgress]]&lt;1),Tasks[[#This Row],[_ShownFcstFinish]]+Tasks[[#This Row],[_Row]]/100000,"")</f>
        <v/>
      </c>
      <c r="GA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9" s="42" t="str">
        <f aca="false">IF(Tasks[[#This Row],[Task Name]]="","",LEFT(Tasks[[#This Row],[WBS]],FIND(".",Tasks[[#This Row],[WBS]]&amp;".")-1))</f>
        <v>1</v>
      </c>
      <c r="GC9" s="42" t="str">
        <f aca="false">IF(AND(Tasks[[#This Row],[Task Name]]&lt;&gt;"",Tasks[[#This Row],[_Level]]=1),Tasks[[#This Row],[_Row]],"")</f>
        <v/>
      </c>
      <c r="GD9" s="93" t="n">
        <f aca="false">IF(AND(Tasks[[#This Row],[_IsLeaf]]=1,N(Tasks[[#This Row],[_Days]])=0),Tasks[[#This Row],[Planned Finish]]+Tasks[[#This Row],[_Row]]/100000,"")</f>
        <v>46276.00004</v>
      </c>
      <c r="GE9" s="42" t="str">
        <f aca="false">IF(AND(Tasks[[#This Row],[_IsLeaf]]=1,Tasks[[#This Row],[_LeafProgress]]&lt;1,OR(N(Tasks[[#This Row],[Finish Var]])&gt;0,Tasks[[#This Row],[Status]]="Late Start")),MAX(0,Tasks[[#This Row],[Finish Var]])+1-Tasks[[#This Row],[_Row]]/1000000,"")</f>
        <v/>
      </c>
      <c r="GF9" s="42" t="str">
        <f aca="false">IF(AND(Tasks[[#This Row],[_IsLeaf]]=1,N(Tasks[[#This Row],[Actual Start]])=0,Tasks[[#This Row],[_ShownFcstStart]]&gt;=StatusDate,Tasks[[#This Row],[_ShownFcstStart]]&lt;=LookaheadEnd),Tasks[[#This Row],[_ShownFcstStart]]+Tasks[[#This Row],[_Row]]/100000,"")</f>
        <v/>
      </c>
      <c r="GG9" s="42" t="str">
        <f aca="false">IF(AND(Tasks[[#This Row],[_IsLeaf]]=1,Tasks[[#This Row],[_LeafProgress]]&lt;1,Tasks[[#This Row],[_ShownFcstFinish]]&gt;=StatusDate,Tasks[[#This Row],[_ShownFcstFinish]]&lt;=LookaheadEnd),Tasks[[#This Row],[_ShownFcstFinish]]+Tasks[[#This Row],[_Row]]/100000,"")</f>
        <v/>
      </c>
      <c r="GH9" s="42" t="str">
        <f aca="false">IF(Tasks[[#This Row],[_LeafCritical]],Tasks[[#This Row],[_ShownFcstStart]]+Tasks[[#This Row],[_Row]]/100000,"")</f>
        <v/>
      </c>
      <c r="GI9" s="42" t="n">
        <f aca="false">Tasks[[#This Row],[_LeafWork]]*Tasks[[#This Row],[_LeafProgress]]</f>
        <v>0</v>
      </c>
      <c r="GJ9" s="89" t="n">
        <f aca="false">IF(AND(Tasks[[#This Row],[_IsLeaf]]=1,Tasks[[#This Row],[_LeafProgress]]&gt;=1),IF(N(Tasks[[#This Row],[Actual Finish]])&gt;0,Tasks[[#This Row],[Actual Finish]],Tasks[[#This Row],[_ShownFcstFinish]]),"")</f>
        <v>46279</v>
      </c>
      <c r="GK9" s="42" t="n">
        <f aca="false">IF(Tasks[[#This Row],[_IsLeaf]]=1,N(Tasks[[#This Row],[Story Points]]),0)</f>
        <v>0</v>
      </c>
      <c r="GL9" s="42" t="str">
        <f aca="false">""</f>
        <v/>
      </c>
      <c r="GM9" s="88" t="b">
        <f aca="false">IF(Tasks[[#This Row],[Task Name]]="",FALSE(),AND(Tasks[[#This Row],[_IsLeaf]]=1,N(Tasks[[#This Row],[_Days]])=0))</f>
        <v>1</v>
      </c>
      <c r="GN9" s="89" t="n">
        <f aca="false">IF(Tasks[[#This Row],[Task Name]]="",0,IF(AND(Tasks[[#This Row],[_IsLeaf]]=1,NOT(Tasks[[#This Row],[_IsMilestone]]),N(Tasks[[#This Row],[Progress]])&gt;0),Tasks[[#This Row],[Start]],0))</f>
        <v>0</v>
      </c>
      <c r="GO9" s="89" t="n">
        <f aca="false">IF(Tasks[[#This Row],[_DoneFrom]]=0,0,IF(Tasks[[#This Row],[Progress]]&gt;=1,Tasks[[#This Row],[Finish]],MAX(Tasks[[#This Row],[_DoneFrom]],Tasks[[#This Row],[Start]]+ROUND((Tasks[[#This Row],[Finish]]-Tasks[[#This Row],[Start]]+1)*Tasks[[#This Row],[Progress]],0)-1)))</f>
        <v>0</v>
      </c>
      <c r="GP9" s="89" t="n">
        <f aca="false">IF(Tasks[[#This Row],[Task Name]]="",0,IF(OR(NOT(Tasks[[#This Row],[_IsLeaf]]=1),Tasks[[#This Row],[_IsMilestone]],N(Tasks[[#This Row],[Progress]])&gt;=1),0,IF(Tasks[[#This Row],[_DoneTo]]&gt;0,Tasks[[#This Row],[_DoneTo]]+1,Tasks[[#This Row],[Start]])))</f>
        <v>0</v>
      </c>
      <c r="GQ9" s="89" t="n">
        <f aca="false">IF(Tasks[[#This Row],[_RemFrom]]=0,0,Tasks[[#This Row],[Finish]])</f>
        <v>0</v>
      </c>
      <c r="GR9" s="88" t="b">
        <f aca="false">IF(Tasks[[#This Row],[Task Name]]="",FALSE(),OR(NOT(BaselineSet),N(Tasks[[#This Row],[Baseline Start]])&gt;0))</f>
        <v>1</v>
      </c>
      <c r="GS9"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3</v>
      </c>
      <c r="GU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 s="90" t="n">
        <f aca="false">IF(Tasks[[#This Row],[_IsLeaf]]=1,Tasks[[#This Row],[_Row]],"")</f>
        <v>4</v>
      </c>
      <c r="GW9" s="90" t="str">
        <f aca="false">IFERROR(INDEX(Tasks[UID],SMALL(Tasks[_PickKey],Tasks[[#This Row],[_Row]]))&amp;" "&amp;INDEX(Tasks[Task Name],SMALL(Tasks[_PickKey],Tasks[[#This Row],[_Row]])),"")</f>
        <v>6 Requirements gathering</v>
      </c>
      <c r="GX9" s="42" t="n">
        <f aca="false">IF(Tasks[[#This Row],[Task Name]]="","",IF(Tasks[[#This Row],[_IsSummary]],NETWORKDAYS.INTL(Tasks[[#This Row],[Start]],Tasks[[#This Row],[Finish]],WorkWeek,Holidays),N(Tasks[[#This Row],[_Days]])))</f>
        <v>0</v>
      </c>
    </row>
    <row r="10" customFormat="false" ht="15" hidden="false" customHeight="false" outlineLevel="0" collapsed="false">
      <c r="A10" s="21" t="n">
        <f aca="false">IF(Tasks[[#This Row],[Task Name]]="","",COUNTA(Tasks[[#Headers],[Task Name]]:Tasks[[#This Row],[Task Name]])-1)</f>
        <v>5</v>
      </c>
      <c r="B10" s="22" t="n">
        <v>5</v>
      </c>
      <c r="C10" s="22" t="n">
        <v>1</v>
      </c>
      <c r="D10" s="23" t="s">
        <v>616</v>
      </c>
      <c r="E10" s="22"/>
      <c r="F10" s="23"/>
      <c r="G10" s="22"/>
      <c r="H10" s="22"/>
      <c r="I10" s="23"/>
      <c r="J10" s="22"/>
      <c r="K10" s="22"/>
      <c r="L10" s="23"/>
      <c r="M10" s="22"/>
      <c r="N10" s="22"/>
      <c r="O10" s="23"/>
      <c r="P10" s="22"/>
      <c r="Q10" s="22"/>
      <c r="R10" s="23"/>
      <c r="S10" s="23"/>
      <c r="T10" s="83"/>
      <c r="U10" s="23"/>
      <c r="V10" s="83"/>
      <c r="W10" s="23"/>
      <c r="X10" s="83"/>
      <c r="Y10" s="23"/>
      <c r="Z10" s="83"/>
      <c r="AA10" s="23"/>
      <c r="AB10" s="23"/>
      <c r="AC10" s="7"/>
      <c r="AD10" s="7"/>
      <c r="AE10" s="62" t="n">
        <f aca="false">IF(Tasks[[#This Row],[Task Name]]="","",IF(Tasks[[#This Row],[_IsSummary]],MIN(INDEX(Tasks[_ShownFcstStart],Tasks[[#This Row],[_Row]]+1):INDEX(Tasks[_ShownFcstStart],Tasks[[#This Row],[_Row]]+Tasks[[#This Row],[_Descendants]])),Tasks[[#This Row],[_ShownFcstStart]]))</f>
        <v>46280</v>
      </c>
      <c r="AF10" s="62" t="n">
        <f aca="false">IF(Tasks[[#This Row],[Task Name]]="","",IF(Tasks[[#This Row],[_IsSummary]],MAX(INDEX(Tasks[_ShownFcstFinish],Tasks[[#This Row],[_Row]]+1):INDEX(Tasks[_ShownFcstFinish],Tasks[[#This Row],[_Row]]+Tasks[[#This Row],[_Descendants]])),Tasks[[#This Row],[_ShownFcstFinish]]))</f>
        <v>46301</v>
      </c>
      <c r="AG10" s="21" t="str">
        <f aca="false">""</f>
        <v/>
      </c>
      <c r="AH10" s="23"/>
      <c r="AI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 s="7"/>
      <c r="AK10" s="22" t="s">
        <v>235</v>
      </c>
      <c r="AL10" s="23"/>
      <c r="AM10" s="7"/>
      <c r="AN10" s="46" t="n">
        <f aca="false">IF(Tasks[[#This Row],[Task Name]]="","",IF(Tasks[[#This Row],[Finish]]&gt;=Tasks[[#This Row],[Planned Finish]],NETWORKDAYS.INTL(Tasks[[#This Row],[Planned Finish]],Tasks[[#This Row],[Finish]],WorkWeek,Holidays)-1,1-NETWORKDAYS.INTL(Tasks[[#This Row],[Finish]],Tasks[[#This Row],[Planned Finish]],WorkWeek,Holidays)))</f>
        <v>3</v>
      </c>
      <c r="AO10" s="21" t="str">
        <f aca="false">IF(Tasks[[#This Row],[Task Name]]="","",IF(Tasks[[#This Row],[Progress]]&gt;=1,"Complete",IF(OR(N(Tasks[[#This Row],[Actual Start]])&gt;0,Tasks[[#This Row],[Progress]]&gt;0),IF(Tasks[[#This Row],[Finish Var]]&gt;0,"Behind","In Progress"),IF(Tasks[[#This Row],[Planned Start]]&lt;StatusDate,"Late Start","Not Started"))))</f>
        <v>Complete</v>
      </c>
      <c r="AP10" s="21" t="str">
        <f aca="false">IF(Tasks[[#This Row],[Task Name]]="","",IF(IF(Tasks[[#This Row],[_IsSummary]],COUNTIF(INDEX(Tasks[_LeafCritical],Tasks[[#This Row],[_Row]]+1):INDEX(Tasks[_LeafCritical],Tasks[[#This Row],[_Row]]+Tasks[[#This Row],[_Descendants]]),TRUE())&gt;0,Tasks[[#This Row],[_LeafCritical]]),"Yes",""))</f>
        <v/>
      </c>
      <c r="AQ10" s="62" t="n">
        <f aca="false">IF(Tasks[[#This Row],[Task Name]]="","",IF(N(Tasks[[#This Row],[Baseline Start]])&gt;0,Tasks[[#This Row],[Baseline Start]],Tasks[[#This Row],[_CalcStart]]))</f>
        <v>46279</v>
      </c>
      <c r="AR10" s="62" t="n">
        <f aca="false">IF(Tasks[[#This Row],[Task Name]]="","",IF(N(Tasks[[#This Row],[Baseline Finish]])&gt;0,Tasks[[#This Row],[Baseline Finish]],Tasks[[#This Row],[_CalcFinish]]))</f>
        <v>46296</v>
      </c>
      <c r="AS10" s="46" t="n">
        <f aca="false">IF(Tasks[[#This Row],[Task Name]]="","",IF(Tasks[[#This Row],[Start]]&gt;=Tasks[[#This Row],[Planned Start]],NETWORKDAYS.INTL(Tasks[[#This Row],[Planned Start]],Tasks[[#This Row],[Start]],WorkWeek,Holidays)-1,1-NETWORKDAYS.INTL(Tasks[[#This Row],[Start]],Tasks[[#This Row],[Planned Start]],WorkWeek,Holidays)))</f>
        <v>1</v>
      </c>
      <c r="AT10" s="62" t="n">
        <f aca="false">IF(Tasks[[#This Row],[Task Name]]="","",IF(Tasks[[#This Row],[_IsSummary]],MIN(INDEX(Tasks[_LeafLateStart],Tasks[[#This Row],[_Row]]+1):INDEX(Tasks[_LeafLateStart],Tasks[[#This Row],[_Row]]+Tasks[[#This Row],[_Descendants]])),Tasks[[#This Row],[_LeafLateStart]]))</f>
        <v>46283</v>
      </c>
      <c r="AU10" s="62" t="n">
        <f aca="false">IF(Tasks[[#This Row],[Task Name]]="","",IF(Tasks[[#This Row],[_IsSummary]],MAX(INDEX(Tasks[_LeafLateFinish],Tasks[[#This Row],[_Row]]+1):INDEX(Tasks[_LeafLateFinish],Tasks[[#This Row],[_Row]]+Tasks[[#This Row],[_Descendants]])),Tasks[[#This Row],[_LeafLateFinish]]))</f>
        <v>46302</v>
      </c>
      <c r="AV10" s="46" t="n">
        <f aca="false">IF(Tasks[[#This Row],[Task Name]]="","",IF(Tasks[[#This Row],[_IsSummary]],MIN(INDEX(Tasks[_LeafTotalSlack],Tasks[[#This Row],[_Row]]+1):INDEX(Tasks[_LeafTotalSlack],Tasks[[#This Row],[_Row]]+Tasks[[#This Row],[_Descendants]])),Tasks[[#This Row],[_LeafTotalSlack]]))</f>
        <v>1</v>
      </c>
      <c r="AW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4"/>
      <c r="BA10"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BD10" s="21" t="str">
        <f aca="false">IF(Tasks[[#This Row],[Task Name]]="","",IF(Tasks[[#This Row],[_Level]]&lt;=OutlineShowLevel,"Yes","No"))</f>
        <v>Yes</v>
      </c>
      <c r="BE10" s="85" t="n">
        <f aca="false">IF(Tasks[[#This Row],[Task Name]]="","",IF(Tasks[[#This Row],[_IsSummary]],SUM(INDEX(Tasks[_LeafTotalWork],Tasks[[#This Row],[_Row]]+1):INDEX(Tasks[_LeafTotalWork],Tasks[[#This Row],[_Row]]+Tasks[[#This Row],[_Descendants]])),Tasks[[#This Row],[_LeafTotalWork]]))</f>
        <v>112</v>
      </c>
      <c r="BF10" s="23" t="s">
        <v>613</v>
      </c>
      <c r="BG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t="str">
        <f aca="false">""</f>
        <v/>
      </c>
      <c r="BI10" s="86"/>
      <c r="BJ10" s="22"/>
      <c r="BK10" s="46" t="n">
        <f aca="false">IF(OR(Tasks[[#This Row],[Task Name]]="",Tasks[[#This Row],[Baseline Duration]]=""),"",Tasks[[#This Row],[_SpanDays]]-N(Tasks[[#This Row],[Baseline Duration]]))</f>
        <v>2</v>
      </c>
      <c r="BL10" s="85" t="n">
        <f aca="false">IF(OR(Tasks[[#This Row],[Task Name]]="",Tasks[[#This Row],[Baseline Work]]=""),"",Tasks[[#This Row],[Work]]-N(Tasks[[#This Row],[Baseline Work]]))</f>
        <v>0</v>
      </c>
      <c r="BM10" s="62" t="n">
        <f aca="false">IF(Tasks[[#This Row],[Task Name]]="","",IF(OR(TakeBaseline="Yes",N(Tasks[[#This Row],[Baseline Start]])=0),Tasks[[#This Row],[Start]],Tasks[[#This Row],[Baseline Start]]))</f>
        <v>46279</v>
      </c>
      <c r="BN10" s="62" t="n">
        <f aca="false">IF(Tasks[[#This Row],[Task Name]]="","",IF(OR(TakeBaseline="Yes",N(Tasks[[#This Row],[Baseline Finish]])=0),Tasks[[#This Row],[Finish]],Tasks[[#This Row],[Baseline Finish]]))</f>
        <v>46296</v>
      </c>
      <c r="BO10" s="21" t="n">
        <f aca="false">IF(Tasks[[#This Row],[Task Name]]="","",IF(OR(TakeBaseline="Yes",N(Tasks[[#This Row],[Baseline Duration]])=0),Tasks[[#This Row],[_SpanDays]],Tasks[[#This Row],[Baseline Duration]]))</f>
        <v>14</v>
      </c>
      <c r="BP10" s="85" t="n">
        <f aca="false">IF(Tasks[[#This Row],[Task Name]]="","",IF(OR(TakeBaseline="Yes",N(Tasks[[#This Row],[Baseline Work]])=0),Tasks[[#This Row],[Work]],Tasks[[#This Row],[Baseline Work]]))</f>
        <v>112</v>
      </c>
      <c r="BQ10" s="7" t="n">
        <v>46279</v>
      </c>
      <c r="BR10" s="7" t="n">
        <v>46296</v>
      </c>
      <c r="BS10" s="22" t="n">
        <v>14</v>
      </c>
      <c r="BT10" s="87" t="n">
        <v>112</v>
      </c>
      <c r="BU10" s="42" t="n">
        <f aca="false">IF(Tasks[[#This Row],[Task Name]]="","",MAX(1,N(Tasks[[#This Row],[Level]])))</f>
        <v>1</v>
      </c>
      <c r="BV10" s="42" t="n">
        <f aca="false">ROW()-ROW(Tasks[[#Headers],[ID]])</f>
        <v>5</v>
      </c>
      <c r="BW10" s="42" t="n">
        <f aca="false">IF(OR(Tasks[[#This Row],[Task Name]]="",Tasks[[#This Row],[_Level]]&lt;=1),0,IFERROR(LOOKUP(2,1/(Tasks[[#Headers],[_Level]]:Tasks[[#This Row],[_Level]]=Tasks[[#This Row],[_Level]]-1),ROW(Tasks[[#Headers],[_Level]]:Tasks[[#This Row],[_Level]])),0))</f>
        <v>0</v>
      </c>
      <c r="BX10" s="42" t="n">
        <f aca="false">IFERROR(N(INDEX(Tasks[_Level],Tasks[[#This Row],[_Row]]+1)),0)</f>
        <v>2</v>
      </c>
      <c r="BY10" s="88" t="b">
        <f aca="false">AND(Tasks[[#This Row],[Task Name]]&lt;&gt;"",Tasks[[#This Row],[_NextLevel]]&gt;Tasks[[#This Row],[_Level]])</f>
        <v>1</v>
      </c>
      <c r="BZ10" s="42" t="n">
        <f aca="false">IF(Tasks[[#This Row],[_IsSummary]],COUNTIF(Tasks[WBS],Tasks[[#This Row],[WBS]]&amp;".*"),0)</f>
        <v>3</v>
      </c>
      <c r="CA10" s="42" t="n">
        <f aca="false">IF(AND(Tasks[[#This Row],[Task Name]]&lt;&gt;"",NOT(Tasks[[#This Row],[_IsSummary]])),1,0)</f>
        <v>0</v>
      </c>
      <c r="CB10" s="42" t="n">
        <f aca="false">IF(N(Tasks[[#This Row],[_Pred1UID]])=0,0,IFERROR(MATCH(Tasks[[#This Row],[_Pred1UID]],Tasks[UID],0),-1))</f>
        <v>0</v>
      </c>
      <c r="CC10" s="42" t="n">
        <f aca="false">IF(N(Tasks[[#This Row],[_Pred2UID]])=0,0,IFERROR(MATCH(Tasks[[#This Row],[_Pred2UID]],Tasks[UID],0),-1))</f>
        <v>0</v>
      </c>
      <c r="CD10" s="42" t="n">
        <f aca="false">IF(N(Tasks[[#This Row],[_Pred3UID]])=0,0,IFERROR(MATCH(Tasks[[#This Row],[_Pred3UID]],Tasks[UID],0),-1))</f>
        <v>0</v>
      </c>
      <c r="CE10" s="42" t="n">
        <f aca="false">IF(N(Tasks[[#This Row],[_Pred4UID]])=0,0,IFERROR(MATCH(Tasks[[#This Row],[_Pred4UID]],Tasks[UID],0),-1))</f>
        <v>0</v>
      </c>
      <c r="CF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 s="89" t="n">
        <f aca="false">IF(OR(Tasks[[#This Row],[_ConstraintCode]]=2,Tasks[[#This Row],[_ConstraintCode]]=3,Tasks[[#This Row],[_ConstraintCode]]=4,Tasks[[#This Row],[_ConstraintCode]]=6),Tasks[[#This Row],[_ConstraintStart]],0)</f>
        <v>0</v>
      </c>
      <c r="CI10" s="89" t="n">
        <f aca="false">IF(OR(Tasks[[#This Row],[_ConstraintCode]]=2,Tasks[[#This Row],[_ConstraintCode]]=3,Tasks[[#This Row],[_ConstraintCode]]=5,Tasks[[#This Row],[_ConstraintCode]]=7),Tasks[[#This Row],[_ConstraintStart]],2958465)</f>
        <v>2958465</v>
      </c>
      <c r="CJ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 s="89" t="str">
        <f aca="false">IF(NOT(Tasks[[#This Row],[_IsLeaf]]=1),"",IF(N(Tasks[[#This Row],[_Days]])&lt;=0,Tasks[[#This Row],[_LeafCalcStart]],WORKDAY.INTL(Tasks[[#This Row],[_LeafCalcStart]],Tasks[[#This Row],[_Days]]-1,WorkWeek,Holidays)))</f>
        <v/>
      </c>
      <c r="CL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 s="42" t="str">
        <f aca="false">IF(Tasks[[#This Row],[_Predecessors]]="","",TRIM(MID(SUBSTITUTE(SUBSTITUTE(SUBSTITUTE(UPPER(Tasks[[#This Row],[_Predecessors]]),";",",")," ",""),",",REPT(" ",99)),1,99)))</f>
        <v/>
      </c>
      <c r="CO10" s="42" t="str">
        <f aca="false">IF(Tasks[[#This Row],[_Pred1Text]]="","",IFERROR(VALUE(LEFT(Tasks[[#This Row],[_Pred1Text]],MIN(FIND("F",Tasks[[#This Row],[_Pred1Text]]&amp;"F"),FIND("S",Tasks[[#This Row],[_Pred1Text]]&amp;"S"),FIND("+",Tasks[[#This Row],[_Pred1Text]]&amp;"+"),FIND("-",Tasks[[#This Row],[_Pred1Text]]&amp;"-"))-1)),""))</f>
        <v/>
      </c>
      <c r="CP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 s="42" t="str">
        <f aca="false">IF(Tasks[[#This Row],[_Pred1Text]]="","",TRIM(MID(SUBSTITUTE(SUBSTITUTE(SUBSTITUTE(UPPER(Tasks[[#This Row],[_Predecessors]]),";",",")," ",""),",",REPT(" ",99)),100,99)))</f>
        <v/>
      </c>
      <c r="CS10" s="42" t="str">
        <f aca="false">IF(Tasks[[#This Row],[_Pred2Text]]="","",IFERROR(VALUE(LEFT(Tasks[[#This Row],[_Pred2Text]],MIN(FIND("F",Tasks[[#This Row],[_Pred2Text]]&amp;"F"),FIND("S",Tasks[[#This Row],[_Pred2Text]]&amp;"S"),FIND("+",Tasks[[#This Row],[_Pred2Text]]&amp;"+"),FIND("-",Tasks[[#This Row],[_Pred2Text]]&amp;"-"))-1)),""))</f>
        <v/>
      </c>
      <c r="CT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 s="42" t="str">
        <f aca="false">IF(Tasks[[#This Row],[_Pred2Text]]="","",TRIM(MID(SUBSTITUTE(SUBSTITUTE(SUBSTITUTE(UPPER(Tasks[[#This Row],[_Predecessors]]),";",",")," ",""),",",REPT(" ",99)),199,99)))</f>
        <v/>
      </c>
      <c r="CW10" s="42" t="str">
        <f aca="false">IF(Tasks[[#This Row],[_Pred3Text]]="","",IFERROR(VALUE(LEFT(Tasks[[#This Row],[_Pred3Text]],MIN(FIND("F",Tasks[[#This Row],[_Pred3Text]]&amp;"F"),FIND("S",Tasks[[#This Row],[_Pred3Text]]&amp;"S"),FIND("+",Tasks[[#This Row],[_Pred3Text]]&amp;"+"),FIND("-",Tasks[[#This Row],[_Pred3Text]]&amp;"-"))-1)),""))</f>
        <v/>
      </c>
      <c r="CX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 s="42" t="str">
        <f aca="false">IF(Tasks[[#This Row],[_Pred3Text]]="","",TRIM(MID(SUBSTITUTE(SUBSTITUTE(SUBSTITUTE(UPPER(Tasks[[#This Row],[_Predecessors]]),";",",")," ",""),",",REPT(" ",99)),298,99)))</f>
        <v/>
      </c>
      <c r="DA10" s="42" t="str">
        <f aca="false">IF(Tasks[[#This Row],[_Pred4Text]]="","",IFERROR(VALUE(LEFT(Tasks[[#This Row],[_Pred4Text]],MIN(FIND("F",Tasks[[#This Row],[_Pred4Text]]&amp;"F"),FIND("S",Tasks[[#This Row],[_Pred4Text]]&amp;"S"),FIND("+",Tasks[[#This Row],[_Pred4Text]]&amp;"+"),FIND("-",Tasks[[#This Row],[_Pred4Text]]&amp;"-"))-1)),""))</f>
        <v/>
      </c>
      <c r="DB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 s="42" t="str">
        <f aca="false">IF(OR(Tasks[[#This Row],[Task Name]]="",Tasks[[#This Row],[_Resources]]=""),"",TRIM(MID(SUBSTITUTE(Tasks[[#This Row],[_Resources]],",",REPT(" ",99)),1,99)))</f>
        <v/>
      </c>
      <c r="DE10" s="42" t="str">
        <f aca="false">IF(Tasks[[#This Row],[_Res1Text]]="","",TRIM(MID(SUBSTITUTE(Tasks[[#This Row],[_Resources]],",",REPT(" ",99)),100,99)))</f>
        <v/>
      </c>
      <c r="DF10" s="42" t="str">
        <f aca="false">IF(Tasks[[#This Row],[_Res2Text]]="","",TRIM(MID(SUBSTITUTE(Tasks[[#This Row],[_Resources]],",",REPT(" ",99)),199,99)))</f>
        <v/>
      </c>
      <c r="DG10" s="42" t="str">
        <f aca="false">IF(Tasks[[#This Row],[_Res3Text]]="","",TRIM(MID(SUBSTITUTE(Tasks[[#This Row],[_Resources]],",",REPT(" ",99)),298,99)))</f>
        <v/>
      </c>
      <c r="DH10" s="42" t="n">
        <f aca="false">IF(Tasks[[#This Row],[_Res1Text]]="",0,IFERROR(MATCH(TRIM(LEFT(Tasks[[#This Row],[_Res1Text]],FIND("[",Tasks[[#This Row],[_Res1Text]]&amp;"[")-1)),res_Name,0),IFERROR(MATCH(TRIM(LEFT(Tasks[[#This Row],[_Res1Text]],FIND("[",Tasks[[#This Row],[_Res1Text]]&amp;"[")-1)),res_Initials,0),0)))</f>
        <v>0</v>
      </c>
      <c r="DI10" s="42" t="n">
        <f aca="false">IF(Tasks[[#This Row],[_Res2Text]]="",0,IFERROR(MATCH(TRIM(LEFT(Tasks[[#This Row],[_Res2Text]],FIND("[",Tasks[[#This Row],[_Res2Text]]&amp;"[")-1)),res_Name,0),IFERROR(MATCH(TRIM(LEFT(Tasks[[#This Row],[_Res2Text]],FIND("[",Tasks[[#This Row],[_Res2Text]]&amp;"[")-1)),res_Initials,0),0)))</f>
        <v>0</v>
      </c>
      <c r="DJ10" s="42" t="n">
        <f aca="false">IF(Tasks[[#This Row],[_Res3Text]]="",0,IFERROR(MATCH(TRIM(LEFT(Tasks[[#This Row],[_Res3Text]],FIND("[",Tasks[[#This Row],[_Res3Text]]&amp;"[")-1)),res_Name,0),IFERROR(MATCH(TRIM(LEFT(Tasks[[#This Row],[_Res3Text]],FIND("[",Tasks[[#This Row],[_Res3Text]]&amp;"[")-1)),res_Initials,0),0)))</f>
        <v>0</v>
      </c>
      <c r="DK10" s="42" t="n">
        <f aca="false">IF(Tasks[[#This Row],[_Res4Text]]="",0,IFERROR(MATCH(TRIM(LEFT(Tasks[[#This Row],[_Res4Text]],FIND("[",Tasks[[#This Row],[_Res4Text]]&amp;"[")-1)),res_Name,0),IFERROR(MATCH(TRIM(LEFT(Tasks[[#This Row],[_Res4Text]],FIND("[",Tasks[[#This Row],[_Res4Text]]&amp;"[")-1)),res_Initials,0),0)))</f>
        <v>0</v>
      </c>
      <c r="DL10" s="42" t="str">
        <f aca="false">IF(Tasks[[#This Row],[_Res1Text]]="","",IF(Tasks[[#This Row],[_Res1Row]]&gt;0,INDEX(res_Name,Tasks[[#This Row],[_Res1Row]]),TRIM(LEFT(Tasks[[#This Row],[_Res1Text]],FIND("[",Tasks[[#This Row],[_Res1Text]]&amp;"[")-1))))</f>
        <v/>
      </c>
      <c r="DM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 s="42" t="n">
        <f aca="false">IF(NOT(Tasks[[#This Row],[_IsLeaf]]=1),0,(Tasks[[#This Row],[_Resource1]]&lt;&gt;"")+(Tasks[[#This Row],[_Res2]]&lt;&gt;"")+(Tasks[[#This Row],[_Res3]]&lt;&gt;"")+(Tasks[[#This Row],[_Res4]]&lt;&gt;""))</f>
        <v>0</v>
      </c>
      <c r="DO10" s="42" t="str">
        <f aca="false">IF(Tasks[[#This Row],[_Res2Text]]="","",IF(Tasks[[#This Row],[_Res2Row]]&gt;0,INDEX(res_Name,Tasks[[#This Row],[_Res2Row]]),TRIM(LEFT(Tasks[[#This Row],[_Res2Text]],FIND("[",Tasks[[#This Row],[_Res2Text]]&amp;"[")-1))))</f>
        <v/>
      </c>
      <c r="DP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 s="42" t="n">
        <f aca="false">IF(OR(NOT(Tasks[[#This Row],[_IsLeaf]]=1),Tasks[[#This Row],[_Res2Row]]=0),0,N(Tasks[[#This Row],[_Days]])*HoursPerDay*IF(Tasks[[#This Row],[_Res2Units]]="",DefaultUnits,Tasks[[#This Row],[_Res2Units]]))</f>
        <v>0</v>
      </c>
      <c r="DR10" s="42" t="n">
        <f aca="false">IF(AND(AND(Tasks[[#This Row],[_IsLeaf]]=1,Tasks[[#This Row],[_LeafTotalWork]]&gt;0),Tasks[[#This Row],[_Res2Work]]&gt;0),Tasks[[#This Row],[_Res2Work]]/(Tasks[[#This Row],[_FinishWorkday]]-Tasks[[#This Row],[_StartWorkday]]+1),0)</f>
        <v>0</v>
      </c>
      <c r="DS10" s="42" t="n">
        <f aca="false">Tasks[[#This Row],[_Res2WorkPerWD]]*MAX(0,Tasks[[#This Row],[_StartWorkday]]-1)</f>
        <v>0</v>
      </c>
      <c r="DT10" s="42" t="n">
        <f aca="false">Tasks[[#This Row],[_Res2Work]]*Tasks[[#This Row],[_LeafProgress]]</f>
        <v>0</v>
      </c>
      <c r="DU10" s="42" t="str">
        <f aca="false">IF(Tasks[[#This Row],[_Res3Text]]="","",IF(Tasks[[#This Row],[_Res3Row]]&gt;0,INDEX(res_Name,Tasks[[#This Row],[_Res3Row]]),TRIM(LEFT(Tasks[[#This Row],[_Res3Text]],FIND("[",Tasks[[#This Row],[_Res3Text]]&amp;"[")-1))))</f>
        <v/>
      </c>
      <c r="DV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 s="42" t="n">
        <f aca="false">IF(OR(NOT(Tasks[[#This Row],[_IsLeaf]]=1),Tasks[[#This Row],[_Res3Row]]=0),0,N(Tasks[[#This Row],[_Days]])*HoursPerDay*IF(Tasks[[#This Row],[_Res3Units]]="",DefaultUnits,Tasks[[#This Row],[_Res3Units]]))</f>
        <v>0</v>
      </c>
      <c r="DX10" s="42" t="n">
        <f aca="false">IF(AND(AND(Tasks[[#This Row],[_IsLeaf]]=1,Tasks[[#This Row],[_LeafTotalWork]]&gt;0),Tasks[[#This Row],[_Res3Work]]&gt;0),Tasks[[#This Row],[_Res3Work]]/(Tasks[[#This Row],[_FinishWorkday]]-Tasks[[#This Row],[_StartWorkday]]+1),0)</f>
        <v>0</v>
      </c>
      <c r="DY10" s="42" t="n">
        <f aca="false">Tasks[[#This Row],[_Res3WorkPerWD]]*MAX(0,Tasks[[#This Row],[_StartWorkday]]-1)</f>
        <v>0</v>
      </c>
      <c r="DZ10" s="42" t="n">
        <f aca="false">Tasks[[#This Row],[_Res3Work]]*Tasks[[#This Row],[_LeafProgress]]</f>
        <v>0</v>
      </c>
      <c r="EA10" s="42" t="str">
        <f aca="false">IF(Tasks[[#This Row],[_Res4Text]]="","",IF(Tasks[[#This Row],[_Res4Row]]&gt;0,INDEX(res_Name,Tasks[[#This Row],[_Res4Row]]),TRIM(LEFT(Tasks[[#This Row],[_Res4Text]],FIND("[",Tasks[[#This Row],[_Res4Text]]&amp;"[")-1))))</f>
        <v/>
      </c>
      <c r="EB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 s="42" t="n">
        <f aca="false">IF(OR(NOT(Tasks[[#This Row],[_IsLeaf]]=1),Tasks[[#This Row],[_Res4Row]]=0),0,N(Tasks[[#This Row],[_Days]])*HoursPerDay*IF(Tasks[[#This Row],[_Res4Units]]="",DefaultUnits,Tasks[[#This Row],[_Res4Units]]))</f>
        <v>0</v>
      </c>
      <c r="ED10" s="42" t="n">
        <f aca="false">IF(AND(AND(Tasks[[#This Row],[_IsLeaf]]=1,Tasks[[#This Row],[_LeafTotalWork]]&gt;0),Tasks[[#This Row],[_Res4Work]]&gt;0),Tasks[[#This Row],[_Res4Work]]/(Tasks[[#This Row],[_FinishWorkday]]-Tasks[[#This Row],[_StartWorkday]]+1),0)</f>
        <v>0</v>
      </c>
      <c r="EE10" s="42" t="n">
        <f aca="false">Tasks[[#This Row],[_Res4WorkPerWD]]*MAX(0,Tasks[[#This Row],[_StartWorkday]]-1)</f>
        <v>0</v>
      </c>
      <c r="EF10" s="42" t="n">
        <f aca="false">Tasks[[#This Row],[_Res4Work]]*Tasks[[#This Row],[_LeafProgress]]</f>
        <v>0</v>
      </c>
      <c r="EG10" s="42" t="n">
        <f aca="false">IF(ISNUMBER(Tasks[[#This Row],[% Complete]]),Tasks[[#This Row],[% Complete]],IF(Tasks[[#This Row],[Stage]]="",0,IFERROR(INDEX(stg_Pct,MATCH(Tasks[[#This Row],[Stage]],stg_Name,0)),0)))</f>
        <v>0</v>
      </c>
      <c r="EH10" s="42" t="n">
        <f aca="false">IF(NOT(Tasks[[#This Row],[_IsLeaf]]=1),0,IF(N(Tasks[[#This Row],[Actual Finish]])&gt;0,1,MIN(1,Tasks[[#This Row],[_Pct]])))</f>
        <v>0</v>
      </c>
      <c r="EI10" s="42" t="n">
        <f aca="false">IF(OR(NOT(Tasks[[#This Row],[_IsLeaf]]=1),Tasks[[#This Row],[_Res1Row]]=0),0,N(Tasks[[#This Row],[_Days]])*HoursPerDay*IF(Tasks[[#This Row],[_Units1]]="",DefaultUnits,Tasks[[#This Row],[_Units1]]))</f>
        <v>0</v>
      </c>
      <c r="EJ10" s="42" t="n">
        <f aca="false">Tasks[[#This Row],[_LeafWork]]+Tasks[[#This Row],[_Res2Work]]+Tasks[[#This Row],[_Res3Work]]+Tasks[[#This Row],[_Res4Work]]</f>
        <v>0</v>
      </c>
      <c r="EK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 s="42" t="n">
        <f aca="false">IF(NOT(Tasks[[#This Row],[_IsLeaf]]=1),0,MAX(_xlfn.MAXIFS(Tasks[_Row],Tasks[_Pred1UID],Tasks[[#This Row],[UID]]),_xlfn.MAXIFS(Tasks[_Row],Tasks[_Pred2UID],Tasks[[#This Row],[UID]]),_xlfn.MAXIFS(Tasks[_Row],Tasks[_Pred3UID],Tasks[[#This Row],[UID]]),_xlfn.MAXIFS(Tasks[_Row],Tasks[_Pred4UID],Tasks[[#This Row],[UID]])))</f>
        <v>0</v>
      </c>
      <c r="ET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 s="89" t="str">
        <f aca="false">IF(NOT(Tasks[[#This Row],[_IsLeaf]]=1),"",IF(N(Tasks[[#This Row],[_Days]])&lt;=0,Tasks[[#This Row],[_LeafLateFinish]],WORKDAY.INTL(Tasks[[#This Row],[_LeafLateFinish]],-(Tasks[[#This Row],[_Days]]-1),WorkWeek,Holidays)))</f>
        <v/>
      </c>
      <c r="EW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 s="88" t="b">
        <f aca="false">AND(Tasks[[#This Row],[_IsLeaf]]=1,Tasks[[#This Row],[_LeafProgress]]&lt;1,N(Tasks[[#This Row],[_LeafTotalSlack]])&lt;=CriticalSlackDays)</f>
        <v>0</v>
      </c>
      <c r="EY10" s="42" t="n">
        <f aca="false">IF(AND(Tasks[[#This Row],[_IsLeaf]]=1,Tasks[[#This Row],[_ConstraintCode]]=1,Tasks[[#This Row],[Mode]]&lt;&gt;"Manual",N(Tasks[[#This Row],[Actual Start]])=0),MAX(0,N(Tasks[[#This Row],[Free Slack]])),0)</f>
        <v>0</v>
      </c>
      <c r="EZ10" s="89" t="str">
        <f aca="false">IF(NOT(Tasks[[#This Row],[_IsLeaf]]=1),"",IF(Tasks[[#This Row],[_AlapShift]]=0,Tasks[[#This Row],[_LeafCalcStart]],WORKDAY.INTL(Tasks[[#This Row],[_LeafCalcStart]],Tasks[[#This Row],[_AlapShift]],WorkWeek,Holidays)))</f>
        <v/>
      </c>
      <c r="FA10" s="89" t="str">
        <f aca="false">IF(NOT(Tasks[[#This Row],[_IsLeaf]]=1),"",IF(Tasks[[#This Row],[_AlapShift]]=0,Tasks[[#This Row],[_LeafCalcFinish]],WORKDAY.INTL(Tasks[[#This Row],[_LeafCalcFinish]],Tasks[[#This Row],[_AlapShift]],WorkWeek,Holidays)))</f>
        <v/>
      </c>
      <c r="FB10" s="89" t="str">
        <f aca="false">IF(NOT(Tasks[[#This Row],[_IsLeaf]]=1),"",IF(Tasks[[#This Row],[_AlapShift]]=0,Tasks[[#This Row],[_LeafFcstStart]],WORKDAY.INTL(Tasks[[#This Row],[_LeafFcstStart]],Tasks[[#This Row],[_AlapShift]],WorkWeek,Holidays)))</f>
        <v/>
      </c>
      <c r="FC10" s="89" t="str">
        <f aca="false">IF(NOT(Tasks[[#This Row],[_IsLeaf]]=1),"",IF(Tasks[[#This Row],[_AlapShift]]=0,Tasks[[#This Row],[_LeafFcstFinish]],WORKDAY.INTL(Tasks[[#This Row],[_LeafFcstFinish]],Tasks[[#This Row],[_AlapShift]],WorkWeek,Holidays)))</f>
        <v/>
      </c>
      <c r="FD10" s="89" t="n">
        <f aca="false">IF(Tasks[[#This Row],[Task Name]]="","",IF(Tasks[[#This Row],[_IsSummary]],MIN(INDEX(Tasks[_ShownCalcStart],Tasks[[#This Row],[_Row]]+1):INDEX(Tasks[_ShownCalcStart],Tasks[[#This Row],[_Row]]+Tasks[[#This Row],[_Descendants]])),Tasks[[#This Row],[_ShownCalcStart]]))</f>
        <v>46279</v>
      </c>
      <c r="FE10" s="89" t="n">
        <f aca="false">IF(Tasks[[#This Row],[Task Name]]="","",IF(Tasks[[#This Row],[_IsSummary]],MAX(INDEX(Tasks[_ShownCalcFinish],Tasks[[#This Row],[_Row]]+1):INDEX(Tasks[_ShownCalcFinish],Tasks[[#This Row],[_Row]]+Tasks[[#This Row],[_Descendants]])),Tasks[[#This Row],[_ShownCalcFinish]]))</f>
        <v>46296</v>
      </c>
      <c r="FF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 s="42" t="n">
        <f aca="false">IF(AND(Tasks[[#This Row],[_IsLeaf]]=1,Tasks[[#This Row],[_LeafTotalWork]]&gt;0),NETWORKDAYS.INTL(ProjectStart,Tasks[[#This Row],[_ShownFcstStart]],WorkWeek,Holidays),0)</f>
        <v>0</v>
      </c>
      <c r="FS10" s="42" t="n">
        <f aca="false">IF(AND(Tasks[[#This Row],[_IsLeaf]]=1,Tasks[[#This Row],[_LeafTotalWork]]&gt;0),MAX(Tasks[[#This Row],[_StartWorkday]],NETWORKDAYS.INTL(ProjectStart,Tasks[[#This Row],[_ShownFcstFinish]],WorkWeek,Holidays)),0)</f>
        <v>0</v>
      </c>
      <c r="FT10" s="42" t="n">
        <f aca="false">IF(AND(Tasks[[#This Row],[_IsLeaf]]=1,Tasks[[#This Row],[_LeafTotalWork]]&gt;0),Tasks[[#This Row],[_LeafWork]]/(Tasks[[#This Row],[_FinishWorkday]]-Tasks[[#This Row],[_StartWorkday]]+1),0)</f>
        <v>0</v>
      </c>
      <c r="FU10" s="42" t="n">
        <f aca="false">Tasks[[#This Row],[_WorkPerWorkday]]*(Tasks[[#This Row],[_StartWorkday]]-1)</f>
        <v>-0</v>
      </c>
      <c r="FV10" s="42" t="n">
        <f aca="false">IF(Tasks[[#This Row],[_IsLeaf]]=1,MAX(N(Tasks[[#This Row],[_Days]]),0.1),0)</f>
        <v>0</v>
      </c>
      <c r="FW10" s="42" t="n">
        <f aca="false">Tasks[[#This Row],[_WeightDur]]*Tasks[[#This Row],[_LeafProgress]]</f>
        <v>0</v>
      </c>
      <c r="FX10" s="42" t="n">
        <f aca="false">Tasks[[#This Row],[_WeightDur]]*Tasks[[#This Row],[_PlannedPct]]</f>
        <v>0</v>
      </c>
      <c r="FY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 s="42" t="str">
        <f aca="false">IF(AND(Tasks[[#This Row],[_IsLeaf]]=1,N(Tasks[[#This Row],[_Days]])=0,Tasks[[#This Row],[_LeafProgress]]&lt;1),Tasks[[#This Row],[_ShownFcstFinish]]+Tasks[[#This Row],[_Row]]/100000,"")</f>
        <v/>
      </c>
      <c r="GA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 s="42" t="str">
        <f aca="false">IF(Tasks[[#This Row],[Task Name]]="","",LEFT(Tasks[[#This Row],[WBS]],FIND(".",Tasks[[#This Row],[WBS]]&amp;".")-1))</f>
        <v>2</v>
      </c>
      <c r="GC10" s="42" t="n">
        <f aca="false">IF(AND(Tasks[[#This Row],[Task Name]]&lt;&gt;"",Tasks[[#This Row],[_Level]]=1),Tasks[[#This Row],[_Row]],"")</f>
        <v>5</v>
      </c>
      <c r="GD10" s="42" t="str">
        <f aca="false">IF(AND(Tasks[[#This Row],[_IsLeaf]]=1,N(Tasks[[#This Row],[_Days]])=0),Tasks[[#This Row],[Planned Finish]]+Tasks[[#This Row],[_Row]]/100000,"")</f>
        <v/>
      </c>
      <c r="GE10" s="42" t="str">
        <f aca="false">IF(AND(Tasks[[#This Row],[_IsLeaf]]=1,Tasks[[#This Row],[_LeafProgress]]&lt;1,OR(N(Tasks[[#This Row],[Finish Var]])&gt;0,Tasks[[#This Row],[Status]]="Late Start")),MAX(0,Tasks[[#This Row],[Finish Var]])+1-Tasks[[#This Row],[_Row]]/1000000,"")</f>
        <v/>
      </c>
      <c r="GF10" s="42" t="str">
        <f aca="false">IF(AND(Tasks[[#This Row],[_IsLeaf]]=1,N(Tasks[[#This Row],[Actual Start]])=0,Tasks[[#This Row],[_ShownFcstStart]]&gt;=StatusDate,Tasks[[#This Row],[_ShownFcstStart]]&lt;=LookaheadEnd),Tasks[[#This Row],[_ShownFcstStart]]+Tasks[[#This Row],[_Row]]/100000,"")</f>
        <v/>
      </c>
      <c r="GG10" s="42" t="str">
        <f aca="false">IF(AND(Tasks[[#This Row],[_IsLeaf]]=1,Tasks[[#This Row],[_LeafProgress]]&lt;1,Tasks[[#This Row],[_ShownFcstFinish]]&gt;=StatusDate,Tasks[[#This Row],[_ShownFcstFinish]]&lt;=LookaheadEnd),Tasks[[#This Row],[_ShownFcstFinish]]+Tasks[[#This Row],[_Row]]/100000,"")</f>
        <v/>
      </c>
      <c r="GH10" s="42" t="str">
        <f aca="false">IF(Tasks[[#This Row],[_LeafCritical]],Tasks[[#This Row],[_ShownFcstStart]]+Tasks[[#This Row],[_Row]]/100000,"")</f>
        <v/>
      </c>
      <c r="GI10" s="42" t="n">
        <f aca="false">Tasks[[#This Row],[_LeafWork]]*Tasks[[#This Row],[_LeafProgress]]</f>
        <v>0</v>
      </c>
      <c r="GJ10" s="89" t="str">
        <f aca="false">IF(AND(Tasks[[#This Row],[_IsLeaf]]=1,Tasks[[#This Row],[_LeafProgress]]&gt;=1),IF(N(Tasks[[#This Row],[Actual Finish]])&gt;0,Tasks[[#This Row],[Actual Finish]],Tasks[[#This Row],[_ShownFcstFinish]]),"")</f>
        <v/>
      </c>
      <c r="GK10" s="42" t="n">
        <f aca="false">IF(Tasks[[#This Row],[_IsLeaf]]=1,N(Tasks[[#This Row],[Story Points]]),0)</f>
        <v>0</v>
      </c>
      <c r="GL10" s="42" t="str">
        <f aca="false">""</f>
        <v/>
      </c>
      <c r="GM10" s="88" t="b">
        <f aca="false">IF(Tasks[[#This Row],[Task Name]]="",FALSE(),AND(Tasks[[#This Row],[_IsLeaf]]=1,N(Tasks[[#This Row],[_Days]])=0))</f>
        <v>0</v>
      </c>
      <c r="GN10" s="89" t="n">
        <f aca="false">IF(Tasks[[#This Row],[Task Name]]="",0,IF(AND(Tasks[[#This Row],[_IsLeaf]]=1,NOT(Tasks[[#This Row],[_IsMilestone]]),N(Tasks[[#This Row],[Progress]])&gt;0),Tasks[[#This Row],[Start]],0))</f>
        <v>0</v>
      </c>
      <c r="GO10" s="89" t="n">
        <f aca="false">IF(Tasks[[#This Row],[_DoneFrom]]=0,0,IF(Tasks[[#This Row],[Progress]]&gt;=1,Tasks[[#This Row],[Finish]],MAX(Tasks[[#This Row],[_DoneFrom]],Tasks[[#This Row],[Start]]+ROUND((Tasks[[#This Row],[Finish]]-Tasks[[#This Row],[Start]]+1)*Tasks[[#This Row],[Progress]],0)-1)))</f>
        <v>0</v>
      </c>
      <c r="GP10" s="89" t="n">
        <f aca="false">IF(Tasks[[#This Row],[Task Name]]="",0,IF(OR(NOT(Tasks[[#This Row],[_IsLeaf]]=1),Tasks[[#This Row],[_IsMilestone]],N(Tasks[[#This Row],[Progress]])&gt;=1),0,IF(Tasks[[#This Row],[_DoneTo]]&gt;0,Tasks[[#This Row],[_DoneTo]]+1,Tasks[[#This Row],[Start]])))</f>
        <v>0</v>
      </c>
      <c r="GQ10" s="89" t="n">
        <f aca="false">IF(Tasks[[#This Row],[_RemFrom]]=0,0,Tasks[[#This Row],[Finish]])</f>
        <v>0</v>
      </c>
      <c r="GR10" s="88" t="b">
        <f aca="false">IF(Tasks[[#This Row],[Task Name]]="",FALSE(),OR(NOT(BaselineSet),N(Tasks[[#This Row],[Baseline Start]])&gt;0))</f>
        <v>1</v>
      </c>
      <c r="GS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 s="90" t="str">
        <f aca="false">IF(Tasks[[#This Row],[_IsLeaf]]=1,Tasks[[#This Row],[_Row]],"")</f>
        <v/>
      </c>
      <c r="GW10" s="90" t="str">
        <f aca="false">IFERROR(INDEX(Tasks[UID],SMALL(Tasks[_PickKey],Tasks[[#This Row],[_Row]]))&amp;" "&amp;INDEX(Tasks[Task Name],SMALL(Tasks[_PickKey],Tasks[[#This Row],[_Row]])),"")</f>
        <v>8 UX wireframes &amp; prototype</v>
      </c>
      <c r="GX10" s="42" t="n">
        <f aca="false">IF(Tasks[[#This Row],[Task Name]]="","",IF(Tasks[[#This Row],[_IsSummary]],NETWORKDAYS.INTL(Tasks[[#This Row],[Start]],Tasks[[#This Row],[Finish]],WorkWeek,Holidays),N(Tasks[[#This Row],[_Days]])))</f>
        <v>16</v>
      </c>
    </row>
    <row r="11" customFormat="false" ht="15" hidden="false" customHeight="false" outlineLevel="1" collapsed="false">
      <c r="A11" s="21" t="n">
        <f aca="false">IF(Tasks[[#This Row],[Task Name]]="","",COUNTA(Tasks[[#Headers],[Task Name]]:Tasks[[#This Row],[Task Name]])-1)</f>
        <v>6</v>
      </c>
      <c r="B11" s="22" t="n">
        <v>6</v>
      </c>
      <c r="C11" s="22" t="n">
        <v>2</v>
      </c>
      <c r="D11" s="91" t="s">
        <v>617</v>
      </c>
      <c r="E11" s="22" t="n">
        <v>8</v>
      </c>
      <c r="F11" s="23" t="n">
        <v>4</v>
      </c>
      <c r="G11" s="22"/>
      <c r="H11" s="22"/>
      <c r="I11" s="23"/>
      <c r="J11" s="22"/>
      <c r="K11" s="22"/>
      <c r="L11" s="23"/>
      <c r="M11" s="22"/>
      <c r="N11" s="22"/>
      <c r="O11" s="23"/>
      <c r="P11" s="22"/>
      <c r="Q11" s="22"/>
      <c r="R11" s="23"/>
      <c r="S11" s="23" t="s">
        <v>613</v>
      </c>
      <c r="T11" s="83"/>
      <c r="U11" s="23"/>
      <c r="V11" s="83"/>
      <c r="W11" s="23"/>
      <c r="X11" s="83"/>
      <c r="Y11" s="23"/>
      <c r="Z11" s="83"/>
      <c r="AA11" s="23"/>
      <c r="AB11" s="23" t="s">
        <v>139</v>
      </c>
      <c r="AC11" s="7" t="n">
        <v>46280</v>
      </c>
      <c r="AD11" s="7" t="n">
        <v>46290</v>
      </c>
      <c r="AE11" s="62" t="n">
        <f aca="false">IF(Tasks[[#This Row],[Task Name]]="","",IF(Tasks[[#This Row],[_IsSummary]],MIN(INDEX(Tasks[_ShownFcstStart],Tasks[[#This Row],[_Row]]+1):INDEX(Tasks[_ShownFcstStart],Tasks[[#This Row],[_Row]]+Tasks[[#This Row],[_Descendants]])),Tasks[[#This Row],[_ShownFcstStart]]))</f>
        <v>46280</v>
      </c>
      <c r="AF11" s="62" t="n">
        <f aca="false">IF(Tasks[[#This Row],[Task Name]]="","",IF(Tasks[[#This Row],[_IsSummary]],MAX(INDEX(Tasks[_ShownFcstFinish],Tasks[[#This Row],[_Row]]+1):INDEX(Tasks[_ShownFcstFinish],Tasks[[#This Row],[_Row]]+Tasks[[#This Row],[_Descendants]])),Tasks[[#This Row],[_ShownFcstFinish]]))</f>
        <v>46290</v>
      </c>
      <c r="AG11" s="21" t="str">
        <f aca="false">""</f>
        <v/>
      </c>
      <c r="AH11" s="23"/>
      <c r="AI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 s="7"/>
      <c r="AK11" s="22" t="s">
        <v>235</v>
      </c>
      <c r="AL11" s="23"/>
      <c r="AM11" s="7"/>
      <c r="AN11" s="46" t="n">
        <f aca="false">IF(Tasks[[#This Row],[Task Name]]="","",IF(Tasks[[#This Row],[Finish]]&gt;=Tasks[[#This Row],[Planned Finish]],NETWORKDAYS.INTL(Tasks[[#This Row],[Planned Finish]],Tasks[[#This Row],[Finish]],WorkWeek,Holidays)-1,1-NETWORKDAYS.INTL(Tasks[[#This Row],[Finish]],Tasks[[#This Row],[Planned Finish]],WorkWeek,Holidays)))</f>
        <v>2</v>
      </c>
      <c r="AO11" s="21" t="str">
        <f aca="false">IF(Tasks[[#This Row],[Task Name]]="","",IF(Tasks[[#This Row],[Progress]]&gt;=1,"Complete",IF(OR(N(Tasks[[#This Row],[Actual Start]])&gt;0,Tasks[[#This Row],[Progress]]&gt;0),IF(Tasks[[#This Row],[Finish Var]]&gt;0,"Behind","In Progress"),IF(Tasks[[#This Row],[Planned Start]]&lt;StatusDate,"Late Start","Not Started"))))</f>
        <v>Complete</v>
      </c>
      <c r="AP11" s="21" t="str">
        <f aca="false">IF(Tasks[[#This Row],[Task Name]]="","",IF(IF(Tasks[[#This Row],[_IsSummary]],COUNTIF(INDEX(Tasks[_LeafCritical],Tasks[[#This Row],[_Row]]+1):INDEX(Tasks[_LeafCritical],Tasks[[#This Row],[_Row]]+Tasks[[#This Row],[_Descendants]]),TRUE())&gt;0,Tasks[[#This Row],[_LeafCritical]]),"Yes",""))</f>
        <v/>
      </c>
      <c r="AQ11" s="62" t="n">
        <f aca="false">IF(Tasks[[#This Row],[Task Name]]="","",IF(N(Tasks[[#This Row],[Baseline Start]])&gt;0,Tasks[[#This Row],[Baseline Start]],Tasks[[#This Row],[_CalcStart]]))</f>
        <v>46279</v>
      </c>
      <c r="AR11" s="62" t="n">
        <f aca="false">IF(Tasks[[#This Row],[Task Name]]="","",IF(N(Tasks[[#This Row],[Baseline Finish]])&gt;0,Tasks[[#This Row],[Baseline Finish]],Tasks[[#This Row],[_CalcFinish]]))</f>
        <v>46288</v>
      </c>
      <c r="AS11" s="46" t="n">
        <f aca="false">IF(Tasks[[#This Row],[Task Name]]="","",IF(Tasks[[#This Row],[Start]]&gt;=Tasks[[#This Row],[Planned Start]],NETWORKDAYS.INTL(Tasks[[#This Row],[Planned Start]],Tasks[[#This Row],[Start]],WorkWeek,Holidays)-1,1-NETWORKDAYS.INTL(Tasks[[#This Row],[Start]],Tasks[[#This Row],[Planned Start]],WorkWeek,Holidays)))</f>
        <v>1</v>
      </c>
      <c r="AT11" s="62" t="n">
        <f aca="false">IF(Tasks[[#This Row],[Task Name]]="","",IF(Tasks[[#This Row],[_IsSummary]],MIN(INDEX(Tasks[_LeafLateStart],Tasks[[#This Row],[_Row]]+1):INDEX(Tasks[_LeafLateStart],Tasks[[#This Row],[_Row]]+Tasks[[#This Row],[_Descendants]])),Tasks[[#This Row],[_LeafLateStart]]))</f>
        <v>46283</v>
      </c>
      <c r="AU11" s="62" t="n">
        <f aca="false">IF(Tasks[[#This Row],[Task Name]]="","",IF(Tasks[[#This Row],[_IsSummary]],MAX(INDEX(Tasks[_LeafLateFinish],Tasks[[#This Row],[_Row]]+1):INDEX(Tasks[_LeafLateFinish],Tasks[[#This Row],[_Row]]+Tasks[[#This Row],[_Descendants]])),Tasks[[#This Row],[_LeafLateFinish]]))</f>
        <v>46294</v>
      </c>
      <c r="AV11" s="46" t="n">
        <f aca="false">IF(Tasks[[#This Row],[Task Name]]="","",IF(Tasks[[#This Row],[_IsSummary]],MIN(INDEX(Tasks[_LeafTotalSlack],Tasks[[#This Row],[_Row]]+1):INDEX(Tasks[_LeafTotalSlack],Tasks[[#This Row],[_Row]]+Tasks[[#This Row],[_Descendants]])),Tasks[[#This Row],[_LeafTotalSlack]]))</f>
        <v>2</v>
      </c>
      <c r="AW11"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4"/>
      <c r="BA11"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BC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BD11" s="21" t="str">
        <f aca="false">IF(Tasks[[#This Row],[Task Name]]="","",IF(Tasks[[#This Row],[_Level]]&lt;=OutlineShowLevel,"Yes","No"))</f>
        <v>Yes</v>
      </c>
      <c r="BE11" s="85" t="n">
        <f aca="false">IF(Tasks[[#This Row],[Task Name]]="","",IF(Tasks[[#This Row],[_IsSummary]],SUM(INDEX(Tasks[_LeafTotalWork],Tasks[[#This Row],[_Row]]+1):INDEX(Tasks[_LeafTotalWork],Tasks[[#This Row],[_Row]]+Tasks[[#This Row],[_Descendants]])),Tasks[[#This Row],[_LeafTotalWork]]))</f>
        <v>64</v>
      </c>
      <c r="BF11" s="23"/>
      <c r="BG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Morgan Patel</v>
      </c>
      <c r="BH11" s="21" t="str">
        <f aca="false">""</f>
        <v/>
      </c>
      <c r="BI11" s="86"/>
      <c r="BJ11" s="22"/>
      <c r="BK11" s="46" t="n">
        <f aca="false">IF(OR(Tasks[[#This Row],[Task Name]]="",Tasks[[#This Row],[Baseline Duration]]=""),"",Tasks[[#This Row],[_SpanDays]]-N(Tasks[[#This Row],[Baseline Duration]]))</f>
        <v>0</v>
      </c>
      <c r="BL11" s="85" t="n">
        <f aca="false">IF(OR(Tasks[[#This Row],[Task Name]]="",Tasks[[#This Row],[Baseline Work]]=""),"",Tasks[[#This Row],[Work]]-N(Tasks[[#This Row],[Baseline Work]]))</f>
        <v>0</v>
      </c>
      <c r="BM11" s="62" t="n">
        <f aca="false">IF(Tasks[[#This Row],[Task Name]]="","",IF(OR(TakeBaseline="Yes",N(Tasks[[#This Row],[Baseline Start]])=0),Tasks[[#This Row],[Start]],Tasks[[#This Row],[Baseline Start]]))</f>
        <v>46279</v>
      </c>
      <c r="BN11" s="62" t="n">
        <f aca="false">IF(Tasks[[#This Row],[Task Name]]="","",IF(OR(TakeBaseline="Yes",N(Tasks[[#This Row],[Baseline Finish]])=0),Tasks[[#This Row],[Finish]],Tasks[[#This Row],[Baseline Finish]]))</f>
        <v>46288</v>
      </c>
      <c r="BO11" s="21" t="n">
        <f aca="false">IF(Tasks[[#This Row],[Task Name]]="","",IF(OR(TakeBaseline="Yes",N(Tasks[[#This Row],[Baseline Duration]])=0),Tasks[[#This Row],[_SpanDays]],Tasks[[#This Row],[Baseline Duration]]))</f>
        <v>8</v>
      </c>
      <c r="BP11" s="85" t="n">
        <f aca="false">IF(Tasks[[#This Row],[Task Name]]="","",IF(OR(TakeBaseline="Yes",N(Tasks[[#This Row],[Baseline Work]])=0),Tasks[[#This Row],[Work]],Tasks[[#This Row],[Baseline Work]]))</f>
        <v>64</v>
      </c>
      <c r="BQ11" s="7" t="n">
        <v>46279</v>
      </c>
      <c r="BR11" s="7" t="n">
        <v>46288</v>
      </c>
      <c r="BS11" s="22" t="n">
        <v>8</v>
      </c>
      <c r="BT11" s="87" t="n">
        <v>64</v>
      </c>
      <c r="BU11" s="42" t="n">
        <f aca="false">IF(Tasks[[#This Row],[Task Name]]="","",MAX(1,N(Tasks[[#This Row],[Level]])))</f>
        <v>2</v>
      </c>
      <c r="BV11" s="42" t="n">
        <f aca="false">ROW()-ROW(Tasks[[#Headers],[ID]])</f>
        <v>6</v>
      </c>
      <c r="BW11" s="42" t="n">
        <f aca="false">IF(OR(Tasks[[#This Row],[Task Name]]="",Tasks[[#This Row],[_Level]]&lt;=1),0,IFERROR(LOOKUP(2,1/(Tasks[[#Headers],[_Level]]:Tasks[[#This Row],[_Level]]=Tasks[[#This Row],[_Level]]-1),ROW(Tasks[[#Headers],[_Level]]:Tasks[[#This Row],[_Level]])),0))</f>
        <v>10</v>
      </c>
      <c r="BX11" s="42" t="n">
        <f aca="false">IFERROR(N(INDEX(Tasks[_Level],Tasks[[#This Row],[_Row]]+1)),0)</f>
        <v>2</v>
      </c>
      <c r="BY11" s="88" t="b">
        <f aca="false">AND(Tasks[[#This Row],[Task Name]]&lt;&gt;"",Tasks[[#This Row],[_NextLevel]]&gt;Tasks[[#This Row],[_Level]])</f>
        <v>0</v>
      </c>
      <c r="BZ11" s="42" t="n">
        <f aca="false">IF(Tasks[[#This Row],[_IsSummary]],COUNTIF(Tasks[WBS],Tasks[[#This Row],[WBS]]&amp;".*"),0)</f>
        <v>0</v>
      </c>
      <c r="CA11" s="42" t="n">
        <f aca="false">IF(AND(Tasks[[#This Row],[Task Name]]&lt;&gt;"",NOT(Tasks[[#This Row],[_IsSummary]])),1,0)</f>
        <v>1</v>
      </c>
      <c r="CB11" s="42" t="n">
        <f aca="false">IF(N(Tasks[[#This Row],[_Pred1UID]])=0,0,IFERROR(MATCH(Tasks[[#This Row],[_Pred1UID]],Tasks[UID],0),-1))</f>
        <v>4</v>
      </c>
      <c r="CC11" s="42" t="n">
        <f aca="false">IF(N(Tasks[[#This Row],[_Pred2UID]])=0,0,IFERROR(MATCH(Tasks[[#This Row],[_Pred2UID]],Tasks[UID],0),-1))</f>
        <v>0</v>
      </c>
      <c r="CD11" s="42" t="n">
        <f aca="false">IF(N(Tasks[[#This Row],[_Pred3UID]])=0,0,IFERROR(MATCH(Tasks[[#This Row],[_Pred3UID]],Tasks[UID],0),-1))</f>
        <v>0</v>
      </c>
      <c r="CE11" s="42" t="n">
        <f aca="false">IF(N(Tasks[[#This Row],[_Pred4UID]])=0,0,IFERROR(MATCH(Tasks[[#This Row],[_Pred4UID]],Tasks[UID],0),-1))</f>
        <v>0</v>
      </c>
      <c r="CF11"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 s="89" t="n">
        <f aca="false">IF(OR(Tasks[[#This Row],[_ConstraintCode]]=2,Tasks[[#This Row],[_ConstraintCode]]=3,Tasks[[#This Row],[_ConstraintCode]]=4,Tasks[[#This Row],[_ConstraintCode]]=6),Tasks[[#This Row],[_ConstraintStart]],0)</f>
        <v>0</v>
      </c>
      <c r="CI11" s="89" t="n">
        <f aca="false">IF(OR(Tasks[[#This Row],[_ConstraintCode]]=2,Tasks[[#This Row],[_ConstraintCode]]=3,Tasks[[#This Row],[_ConstraintCode]]=5,Tasks[[#This Row],[_ConstraintCode]]=7),Tasks[[#This Row],[_ConstraintStart]],2958465)</f>
        <v>2958465</v>
      </c>
      <c r="CJ11"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K11" s="89" t="n">
        <f aca="false">IF(NOT(Tasks[[#This Row],[_IsLeaf]]=1),"",IF(N(Tasks[[#This Row],[_Days]])&lt;=0,Tasks[[#This Row],[_LeafCalcStart]],WORKDAY.INTL(Tasks[[#This Row],[_LeafCalcStart]],Tasks[[#This Row],[_Days]]-1,WorkWeek,Holidays)))</f>
        <v>46288</v>
      </c>
      <c r="CL11"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M11"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46290</v>
      </c>
      <c r="CN11" s="42" t="str">
        <f aca="false">IF(Tasks[[#This Row],[_Predecessors]]="","",TRIM(MID(SUBSTITUTE(SUBSTITUTE(SUBSTITUTE(UPPER(Tasks[[#This Row],[_Predecessors]]),";",",")," ",""),",",REPT(" ",99)),1,99)))</f>
        <v>4</v>
      </c>
      <c r="CO11" s="42" t="n">
        <f aca="false">IF(Tasks[[#This Row],[_Pred1Text]]="","",IFERROR(VALUE(LEFT(Tasks[[#This Row],[_Pred1Text]],MIN(FIND("F",Tasks[[#This Row],[_Pred1Text]]&amp;"F"),FIND("S",Tasks[[#This Row],[_Pred1Text]]&amp;"S"),FIND("+",Tasks[[#This Row],[_Pred1Text]]&amp;"+"),FIND("-",Tasks[[#This Row],[_Pred1Text]]&amp;"-"))-1)),""))</f>
        <v>4</v>
      </c>
      <c r="CP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1"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1" s="42" t="str">
        <f aca="false">IF(Tasks[[#This Row],[_Pred1Text]]="","",TRIM(MID(SUBSTITUTE(SUBSTITUTE(SUBSTITUTE(UPPER(Tasks[[#This Row],[_Predecessors]]),";",",")," ",""),",",REPT(" ",99)),100,99)))</f>
        <v/>
      </c>
      <c r="CS11" s="42" t="str">
        <f aca="false">IF(Tasks[[#This Row],[_Pred2Text]]="","",IFERROR(VALUE(LEFT(Tasks[[#This Row],[_Pred2Text]],MIN(FIND("F",Tasks[[#This Row],[_Pred2Text]]&amp;"F"),FIND("S",Tasks[[#This Row],[_Pred2Text]]&amp;"S"),FIND("+",Tasks[[#This Row],[_Pred2Text]]&amp;"+"),FIND("-",Tasks[[#This Row],[_Pred2Text]]&amp;"-"))-1)),""))</f>
        <v/>
      </c>
      <c r="CT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 s="42" t="str">
        <f aca="false">IF(Tasks[[#This Row],[_Pred2Text]]="","",TRIM(MID(SUBSTITUTE(SUBSTITUTE(SUBSTITUTE(UPPER(Tasks[[#This Row],[_Predecessors]]),";",",")," ",""),",",REPT(" ",99)),199,99)))</f>
        <v/>
      </c>
      <c r="CW11" s="42" t="str">
        <f aca="false">IF(Tasks[[#This Row],[_Pred3Text]]="","",IFERROR(VALUE(LEFT(Tasks[[#This Row],[_Pred3Text]],MIN(FIND("F",Tasks[[#This Row],[_Pred3Text]]&amp;"F"),FIND("S",Tasks[[#This Row],[_Pred3Text]]&amp;"S"),FIND("+",Tasks[[#This Row],[_Pred3Text]]&amp;"+"),FIND("-",Tasks[[#This Row],[_Pred3Text]]&amp;"-"))-1)),""))</f>
        <v/>
      </c>
      <c r="CX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 s="42" t="str">
        <f aca="false">IF(Tasks[[#This Row],[_Pred3Text]]="","",TRIM(MID(SUBSTITUTE(SUBSTITUTE(SUBSTITUTE(UPPER(Tasks[[#This Row],[_Predecessors]]),";",",")," ",""),",",REPT(" ",99)),298,99)))</f>
        <v/>
      </c>
      <c r="DA11" s="42" t="str">
        <f aca="false">IF(Tasks[[#This Row],[_Pred4Text]]="","",IFERROR(VALUE(LEFT(Tasks[[#This Row],[_Pred4Text]],MIN(FIND("F",Tasks[[#This Row],[_Pred4Text]]&amp;"F"),FIND("S",Tasks[[#This Row],[_Pred4Text]]&amp;"S"),FIND("+",Tasks[[#This Row],[_Pred4Text]]&amp;"+"),FIND("-",Tasks[[#This Row],[_Pred4Text]]&amp;"-"))-1)),""))</f>
        <v/>
      </c>
      <c r="DB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 s="42" t="str">
        <f aca="false">IF(OR(Tasks[[#This Row],[Task Name]]="",Tasks[[#This Row],[_Resources]]=""),"",TRIM(MID(SUBSTITUTE(Tasks[[#This Row],[_Resources]],",",REPT(" ",99)),1,99)))</f>
        <v>Morgan Patel</v>
      </c>
      <c r="DE11" s="42" t="str">
        <f aca="false">IF(Tasks[[#This Row],[_Res1Text]]="","",TRIM(MID(SUBSTITUTE(Tasks[[#This Row],[_Resources]],",",REPT(" ",99)),100,99)))</f>
        <v/>
      </c>
      <c r="DF11" s="42" t="str">
        <f aca="false">IF(Tasks[[#This Row],[_Res2Text]]="","",TRIM(MID(SUBSTITUTE(Tasks[[#This Row],[_Resources]],",",REPT(" ",99)),199,99)))</f>
        <v/>
      </c>
      <c r="DG11" s="42" t="str">
        <f aca="false">IF(Tasks[[#This Row],[_Res3Text]]="","",TRIM(MID(SUBSTITUTE(Tasks[[#This Row],[_Resources]],",",REPT(" ",99)),298,99)))</f>
        <v/>
      </c>
      <c r="DH11" s="42" t="n">
        <f aca="false">IF(Tasks[[#This Row],[_Res1Text]]="",0,IFERROR(MATCH(TRIM(LEFT(Tasks[[#This Row],[_Res1Text]],FIND("[",Tasks[[#This Row],[_Res1Text]]&amp;"[")-1)),res_Name,0),IFERROR(MATCH(TRIM(LEFT(Tasks[[#This Row],[_Res1Text]],FIND("[",Tasks[[#This Row],[_Res1Text]]&amp;"[")-1)),res_Initials,0),0)))</f>
        <v>2</v>
      </c>
      <c r="DI11" s="42" t="n">
        <f aca="false">IF(Tasks[[#This Row],[_Res2Text]]="",0,IFERROR(MATCH(TRIM(LEFT(Tasks[[#This Row],[_Res2Text]],FIND("[",Tasks[[#This Row],[_Res2Text]]&amp;"[")-1)),res_Name,0),IFERROR(MATCH(TRIM(LEFT(Tasks[[#This Row],[_Res2Text]],FIND("[",Tasks[[#This Row],[_Res2Text]]&amp;"[")-1)),res_Initials,0),0)))</f>
        <v>0</v>
      </c>
      <c r="DJ11" s="42" t="n">
        <f aca="false">IF(Tasks[[#This Row],[_Res3Text]]="",0,IFERROR(MATCH(TRIM(LEFT(Tasks[[#This Row],[_Res3Text]],FIND("[",Tasks[[#This Row],[_Res3Text]]&amp;"[")-1)),res_Name,0),IFERROR(MATCH(TRIM(LEFT(Tasks[[#This Row],[_Res3Text]],FIND("[",Tasks[[#This Row],[_Res3Text]]&amp;"[")-1)),res_Initials,0),0)))</f>
        <v>0</v>
      </c>
      <c r="DK11" s="42" t="n">
        <f aca="false">IF(Tasks[[#This Row],[_Res4Text]]="",0,IFERROR(MATCH(TRIM(LEFT(Tasks[[#This Row],[_Res4Text]],FIND("[",Tasks[[#This Row],[_Res4Text]]&amp;"[")-1)),res_Name,0),IFERROR(MATCH(TRIM(LEFT(Tasks[[#This Row],[_Res4Text]],FIND("[",Tasks[[#This Row],[_Res4Text]]&amp;"[")-1)),res_Initials,0),0)))</f>
        <v>0</v>
      </c>
      <c r="DL11" s="42" t="str">
        <f aca="false">IF(Tasks[[#This Row],[_Res1Text]]="","",IF(Tasks[[#This Row],[_Res1Row]]&gt;0,INDEX(res_Name,Tasks[[#This Row],[_Res1Row]]),TRIM(LEFT(Tasks[[#This Row],[_Res1Text]],FIND("[",Tasks[[#This Row],[_Res1Text]]&amp;"[")-1))))</f>
        <v>Morgan Patel</v>
      </c>
      <c r="DM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 s="42" t="n">
        <f aca="false">IF(NOT(Tasks[[#This Row],[_IsLeaf]]=1),0,(Tasks[[#This Row],[_Resource1]]&lt;&gt;"")+(Tasks[[#This Row],[_Res2]]&lt;&gt;"")+(Tasks[[#This Row],[_Res3]]&lt;&gt;"")+(Tasks[[#This Row],[_Res4]]&lt;&gt;""))</f>
        <v>1</v>
      </c>
      <c r="DO11" s="42" t="str">
        <f aca="false">IF(Tasks[[#This Row],[_Res2Text]]="","",IF(Tasks[[#This Row],[_Res2Row]]&gt;0,INDEX(res_Name,Tasks[[#This Row],[_Res2Row]]),TRIM(LEFT(Tasks[[#This Row],[_Res2Text]],FIND("[",Tasks[[#This Row],[_Res2Text]]&amp;"[")-1))))</f>
        <v/>
      </c>
      <c r="DP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 s="42" t="n">
        <f aca="false">IF(OR(NOT(Tasks[[#This Row],[_IsLeaf]]=1),Tasks[[#This Row],[_Res2Row]]=0),0,N(Tasks[[#This Row],[_Days]])*HoursPerDay*IF(Tasks[[#This Row],[_Res2Units]]="",DefaultUnits,Tasks[[#This Row],[_Res2Units]]))</f>
        <v>0</v>
      </c>
      <c r="DR11" s="42" t="n">
        <f aca="false">IF(AND(AND(Tasks[[#This Row],[_IsLeaf]]=1,Tasks[[#This Row],[_LeafTotalWork]]&gt;0),Tasks[[#This Row],[_Res2Work]]&gt;0),Tasks[[#This Row],[_Res2Work]]/(Tasks[[#This Row],[_FinishWorkday]]-Tasks[[#This Row],[_StartWorkday]]+1),0)</f>
        <v>0</v>
      </c>
      <c r="DS11" s="42" t="n">
        <f aca="false">Tasks[[#This Row],[_Res2WorkPerWD]]*MAX(0,Tasks[[#This Row],[_StartWorkday]]-1)</f>
        <v>0</v>
      </c>
      <c r="DT11" s="42" t="n">
        <f aca="false">Tasks[[#This Row],[_Res2Work]]*Tasks[[#This Row],[_LeafProgress]]</f>
        <v>0</v>
      </c>
      <c r="DU11" s="42" t="str">
        <f aca="false">IF(Tasks[[#This Row],[_Res3Text]]="","",IF(Tasks[[#This Row],[_Res3Row]]&gt;0,INDEX(res_Name,Tasks[[#This Row],[_Res3Row]]),TRIM(LEFT(Tasks[[#This Row],[_Res3Text]],FIND("[",Tasks[[#This Row],[_Res3Text]]&amp;"[")-1))))</f>
        <v/>
      </c>
      <c r="DV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 s="42" t="n">
        <f aca="false">IF(OR(NOT(Tasks[[#This Row],[_IsLeaf]]=1),Tasks[[#This Row],[_Res3Row]]=0),0,N(Tasks[[#This Row],[_Days]])*HoursPerDay*IF(Tasks[[#This Row],[_Res3Units]]="",DefaultUnits,Tasks[[#This Row],[_Res3Units]]))</f>
        <v>0</v>
      </c>
      <c r="DX11" s="42" t="n">
        <f aca="false">IF(AND(AND(Tasks[[#This Row],[_IsLeaf]]=1,Tasks[[#This Row],[_LeafTotalWork]]&gt;0),Tasks[[#This Row],[_Res3Work]]&gt;0),Tasks[[#This Row],[_Res3Work]]/(Tasks[[#This Row],[_FinishWorkday]]-Tasks[[#This Row],[_StartWorkday]]+1),0)</f>
        <v>0</v>
      </c>
      <c r="DY11" s="42" t="n">
        <f aca="false">Tasks[[#This Row],[_Res3WorkPerWD]]*MAX(0,Tasks[[#This Row],[_StartWorkday]]-1)</f>
        <v>0</v>
      </c>
      <c r="DZ11" s="42" t="n">
        <f aca="false">Tasks[[#This Row],[_Res3Work]]*Tasks[[#This Row],[_LeafProgress]]</f>
        <v>0</v>
      </c>
      <c r="EA11" s="42" t="str">
        <f aca="false">IF(Tasks[[#This Row],[_Res4Text]]="","",IF(Tasks[[#This Row],[_Res4Row]]&gt;0,INDEX(res_Name,Tasks[[#This Row],[_Res4Row]]),TRIM(LEFT(Tasks[[#This Row],[_Res4Text]],FIND("[",Tasks[[#This Row],[_Res4Text]]&amp;"[")-1))))</f>
        <v/>
      </c>
      <c r="EB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 s="42" t="n">
        <f aca="false">IF(OR(NOT(Tasks[[#This Row],[_IsLeaf]]=1),Tasks[[#This Row],[_Res4Row]]=0),0,N(Tasks[[#This Row],[_Days]])*HoursPerDay*IF(Tasks[[#This Row],[_Res4Units]]="",DefaultUnits,Tasks[[#This Row],[_Res4Units]]))</f>
        <v>0</v>
      </c>
      <c r="ED11" s="42" t="n">
        <f aca="false">IF(AND(AND(Tasks[[#This Row],[_IsLeaf]]=1,Tasks[[#This Row],[_LeafTotalWork]]&gt;0),Tasks[[#This Row],[_Res4Work]]&gt;0),Tasks[[#This Row],[_Res4Work]]/(Tasks[[#This Row],[_FinishWorkday]]-Tasks[[#This Row],[_StartWorkday]]+1),0)</f>
        <v>0</v>
      </c>
      <c r="EE11" s="42" t="n">
        <f aca="false">Tasks[[#This Row],[_Res4WorkPerWD]]*MAX(0,Tasks[[#This Row],[_StartWorkday]]-1)</f>
        <v>0</v>
      </c>
      <c r="EF11" s="42" t="n">
        <f aca="false">Tasks[[#This Row],[_Res4Work]]*Tasks[[#This Row],[_LeafProgress]]</f>
        <v>0</v>
      </c>
      <c r="EG11" s="92" t="n">
        <f aca="false">IF(ISNUMBER(Tasks[[#This Row],[% Complete]]),Tasks[[#This Row],[% Complete]],IF(Tasks[[#This Row],[Stage]]="",0,IFERROR(INDEX(stg_Pct,MATCH(Tasks[[#This Row],[Stage]],stg_Name,0)),0)))</f>
        <v>1</v>
      </c>
      <c r="EH11" s="42" t="n">
        <f aca="false">IF(NOT(Tasks[[#This Row],[_IsLeaf]]=1),0,IF(N(Tasks[[#This Row],[Actual Finish]])&gt;0,1,MIN(1,Tasks[[#This Row],[_Pct]])))</f>
        <v>1</v>
      </c>
      <c r="EI11" s="42" t="n">
        <f aca="false">IF(OR(NOT(Tasks[[#This Row],[_IsLeaf]]=1),Tasks[[#This Row],[_Res1Row]]=0),0,N(Tasks[[#This Row],[_Days]])*HoursPerDay*IF(Tasks[[#This Row],[_Units1]]="",DefaultUnits,Tasks[[#This Row],[_Units1]]))</f>
        <v>64</v>
      </c>
      <c r="EJ11" s="42" t="n">
        <f aca="false">Tasks[[#This Row],[_LeafWork]]+Tasks[[#This Row],[_Res2Work]]+Tasks[[#This Row],[_Res3Work]]+Tasks[[#This Row],[_Res4Work]]</f>
        <v>64</v>
      </c>
      <c r="EK11"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2912183</v>
      </c>
      <c r="EL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 s="42" t="n">
        <f aca="false">IF(NOT(Tasks[[#This Row],[_IsLeaf]]=1),0,MAX(_xlfn.MAXIFS(Tasks[_Row],Tasks[_Pred1UID],Tasks[[#This Row],[UID]]),_xlfn.MAXIFS(Tasks[_Row],Tasks[_Pred2UID],Tasks[[#This Row],[UID]]),_xlfn.MAXIFS(Tasks[_Row],Tasks[_Pred3UID],Tasks[[#This Row],[UID]]),_xlfn.MAXIFS(Tasks[_Row],Tasks[_Pred4UID],Tasks[[#This Row],[UID]])))</f>
        <v>7</v>
      </c>
      <c r="ET11"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46294</v>
      </c>
      <c r="EU11"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46294</v>
      </c>
      <c r="EV11" s="89" t="n">
        <f aca="false">IF(NOT(Tasks[[#This Row],[_IsLeaf]]=1),"",IF(N(Tasks[[#This Row],[_Days]])&lt;=0,Tasks[[#This Row],[_LeafLateFinish]],WORKDAY.INTL(Tasks[[#This Row],[_LeafLateFinish]],-(Tasks[[#This Row],[_Days]]-1),WorkWeek,Holidays)))</f>
        <v>46283</v>
      </c>
      <c r="EW11"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X11" s="88" t="b">
        <f aca="false">AND(Tasks[[#This Row],[_IsLeaf]]=1,Tasks[[#This Row],[_LeafProgress]]&lt;1,N(Tasks[[#This Row],[_LeafTotalSlack]])&lt;=CriticalSlackDays)</f>
        <v>0</v>
      </c>
      <c r="EY11" s="42" t="n">
        <f aca="false">IF(AND(Tasks[[#This Row],[_IsLeaf]]=1,Tasks[[#This Row],[_ConstraintCode]]=1,Tasks[[#This Row],[Mode]]&lt;&gt;"Manual",N(Tasks[[#This Row],[Actual Start]])=0),MAX(0,N(Tasks[[#This Row],[Free Slack]])),0)</f>
        <v>0</v>
      </c>
      <c r="EZ11" s="89" t="n">
        <f aca="false">IF(NOT(Tasks[[#This Row],[_IsLeaf]]=1),"",IF(Tasks[[#This Row],[_AlapShift]]=0,Tasks[[#This Row],[_LeafCalcStart]],WORKDAY.INTL(Tasks[[#This Row],[_LeafCalcStart]],Tasks[[#This Row],[_AlapShift]],WorkWeek,Holidays)))</f>
        <v>46279</v>
      </c>
      <c r="FA11" s="89" t="n">
        <f aca="false">IF(NOT(Tasks[[#This Row],[_IsLeaf]]=1),"",IF(Tasks[[#This Row],[_AlapShift]]=0,Tasks[[#This Row],[_LeafCalcFinish]],WORKDAY.INTL(Tasks[[#This Row],[_LeafCalcFinish]],Tasks[[#This Row],[_AlapShift]],WorkWeek,Holidays)))</f>
        <v>46288</v>
      </c>
      <c r="FB11" s="89" t="n">
        <f aca="false">IF(NOT(Tasks[[#This Row],[_IsLeaf]]=1),"",IF(Tasks[[#This Row],[_AlapShift]]=0,Tasks[[#This Row],[_LeafFcstStart]],WORKDAY.INTL(Tasks[[#This Row],[_LeafFcstStart]],Tasks[[#This Row],[_AlapShift]],WorkWeek,Holidays)))</f>
        <v>46280</v>
      </c>
      <c r="FC11" s="89" t="n">
        <f aca="false">IF(NOT(Tasks[[#This Row],[_IsLeaf]]=1),"",IF(Tasks[[#This Row],[_AlapShift]]=0,Tasks[[#This Row],[_LeafFcstFinish]],WORKDAY.INTL(Tasks[[#This Row],[_LeafFcstFinish]],Tasks[[#This Row],[_AlapShift]],WorkWeek,Holidays)))</f>
        <v>46290</v>
      </c>
      <c r="FD11" s="89" t="n">
        <f aca="false">IF(Tasks[[#This Row],[Task Name]]="","",IF(Tasks[[#This Row],[_IsSummary]],MIN(INDEX(Tasks[_ShownCalcStart],Tasks[[#This Row],[_Row]]+1):INDEX(Tasks[_ShownCalcStart],Tasks[[#This Row],[_Row]]+Tasks[[#This Row],[_Descendants]])),Tasks[[#This Row],[_ShownCalcStart]]))</f>
        <v>46279</v>
      </c>
      <c r="FE11" s="89" t="n">
        <f aca="false">IF(Tasks[[#This Row],[Task Name]]="","",IF(Tasks[[#This Row],[_IsSummary]],MAX(INDEX(Tasks[_ShownCalcFinish],Tasks[[#This Row],[_Row]]+1):INDEX(Tasks[_ShownCalcFinish],Tasks[[#This Row],[_Row]]+Tasks[[#This Row],[_Descendants]])),Tasks[[#This Row],[_ShownCalcFinish]]))</f>
        <v>46288</v>
      </c>
      <c r="FF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46279</v>
      </c>
      <c r="FK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46280</v>
      </c>
      <c r="FO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 s="42" t="n">
        <f aca="false">IF(AND(Tasks[[#This Row],[_IsLeaf]]=1,Tasks[[#This Row],[_LeafTotalWork]]&gt;0),NETWORKDAYS.INTL(ProjectStart,Tasks[[#This Row],[_ShownFcstStart]],WorkWeek,Holidays),0)</f>
        <v>7</v>
      </c>
      <c r="FS11" s="42" t="n">
        <f aca="false">IF(AND(Tasks[[#This Row],[_IsLeaf]]=1,Tasks[[#This Row],[_LeafTotalWork]]&gt;0),MAX(Tasks[[#This Row],[_StartWorkday]],NETWORKDAYS.INTL(ProjectStart,Tasks[[#This Row],[_ShownFcstFinish]],WorkWeek,Holidays)),0)</f>
        <v>15</v>
      </c>
      <c r="FT11" s="42" t="n">
        <f aca="false">IF(AND(Tasks[[#This Row],[_IsLeaf]]=1,Tasks[[#This Row],[_LeafTotalWork]]&gt;0),Tasks[[#This Row],[_LeafWork]]/(Tasks[[#This Row],[_FinishWorkday]]-Tasks[[#This Row],[_StartWorkday]]+1),0)</f>
        <v>7.11111111111111</v>
      </c>
      <c r="FU11" s="42" t="n">
        <f aca="false">Tasks[[#This Row],[_WorkPerWorkday]]*(Tasks[[#This Row],[_StartWorkday]]-1)</f>
        <v>42.6666666666667</v>
      </c>
      <c r="FV11" s="42" t="n">
        <f aca="false">IF(Tasks[[#This Row],[_IsLeaf]]=1,MAX(N(Tasks[[#This Row],[_Days]]),0.1),0)</f>
        <v>8</v>
      </c>
      <c r="FW11" s="42" t="n">
        <f aca="false">Tasks[[#This Row],[_WeightDur]]*Tasks[[#This Row],[_LeafProgress]]</f>
        <v>8</v>
      </c>
      <c r="FX11" s="42" t="n">
        <f aca="false">Tasks[[#This Row],[_WeightDur]]*Tasks[[#This Row],[_PlannedPct]]</f>
        <v>8</v>
      </c>
      <c r="FY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FZ11" s="42" t="str">
        <f aca="false">IF(AND(Tasks[[#This Row],[_IsLeaf]]=1,N(Tasks[[#This Row],[_Days]])=0,Tasks[[#This Row],[_LeafProgress]]&lt;1),Tasks[[#This Row],[_ShownFcstFinish]]+Tasks[[#This Row],[_Row]]/100000,"")</f>
        <v/>
      </c>
      <c r="GA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1" s="42" t="str">
        <f aca="false">IF(Tasks[[#This Row],[Task Name]]="","",LEFT(Tasks[[#This Row],[WBS]],FIND(".",Tasks[[#This Row],[WBS]]&amp;".")-1))</f>
        <v>2</v>
      </c>
      <c r="GC11" s="42" t="str">
        <f aca="false">IF(AND(Tasks[[#This Row],[Task Name]]&lt;&gt;"",Tasks[[#This Row],[_Level]]=1),Tasks[[#This Row],[_Row]],"")</f>
        <v/>
      </c>
      <c r="GD11" s="42" t="str">
        <f aca="false">IF(AND(Tasks[[#This Row],[_IsLeaf]]=1,N(Tasks[[#This Row],[_Days]])=0),Tasks[[#This Row],[Planned Finish]]+Tasks[[#This Row],[_Row]]/100000,"")</f>
        <v/>
      </c>
      <c r="GE11" s="42" t="str">
        <f aca="false">IF(AND(Tasks[[#This Row],[_IsLeaf]]=1,Tasks[[#This Row],[_LeafProgress]]&lt;1,OR(N(Tasks[[#This Row],[Finish Var]])&gt;0,Tasks[[#This Row],[Status]]="Late Start")),MAX(0,Tasks[[#This Row],[Finish Var]])+1-Tasks[[#This Row],[_Row]]/1000000,"")</f>
        <v/>
      </c>
      <c r="GF11" s="42" t="str">
        <f aca="false">IF(AND(Tasks[[#This Row],[_IsLeaf]]=1,N(Tasks[[#This Row],[Actual Start]])=0,Tasks[[#This Row],[_ShownFcstStart]]&gt;=StatusDate,Tasks[[#This Row],[_ShownFcstStart]]&lt;=LookaheadEnd),Tasks[[#This Row],[_ShownFcstStart]]+Tasks[[#This Row],[_Row]]/100000,"")</f>
        <v/>
      </c>
      <c r="GG11" s="42" t="str">
        <f aca="false">IF(AND(Tasks[[#This Row],[_IsLeaf]]=1,Tasks[[#This Row],[_LeafProgress]]&lt;1,Tasks[[#This Row],[_ShownFcstFinish]]&gt;=StatusDate,Tasks[[#This Row],[_ShownFcstFinish]]&lt;=LookaheadEnd),Tasks[[#This Row],[_ShownFcstFinish]]+Tasks[[#This Row],[_Row]]/100000,"")</f>
        <v/>
      </c>
      <c r="GH11" s="42" t="str">
        <f aca="false">IF(Tasks[[#This Row],[_LeafCritical]],Tasks[[#This Row],[_ShownFcstStart]]+Tasks[[#This Row],[_Row]]/100000,"")</f>
        <v/>
      </c>
      <c r="GI11" s="42" t="n">
        <f aca="false">Tasks[[#This Row],[_LeafWork]]*Tasks[[#This Row],[_LeafProgress]]</f>
        <v>64</v>
      </c>
      <c r="GJ11" s="89" t="n">
        <f aca="false">IF(AND(Tasks[[#This Row],[_IsLeaf]]=1,Tasks[[#This Row],[_LeafProgress]]&gt;=1),IF(N(Tasks[[#This Row],[Actual Finish]])&gt;0,Tasks[[#This Row],[Actual Finish]],Tasks[[#This Row],[_ShownFcstFinish]]),"")</f>
        <v>46290</v>
      </c>
      <c r="GK11" s="42" t="n">
        <f aca="false">IF(Tasks[[#This Row],[_IsLeaf]]=1,N(Tasks[[#This Row],[Story Points]]),0)</f>
        <v>0</v>
      </c>
      <c r="GL11" s="42" t="str">
        <f aca="false">""</f>
        <v/>
      </c>
      <c r="GM11" s="88" t="b">
        <f aca="false">IF(Tasks[[#This Row],[Task Name]]="",FALSE(),AND(Tasks[[#This Row],[_IsLeaf]]=1,N(Tasks[[#This Row],[_Days]])=0))</f>
        <v>0</v>
      </c>
      <c r="GN11" s="89" t="n">
        <f aca="false">IF(Tasks[[#This Row],[Task Name]]="",0,IF(AND(Tasks[[#This Row],[_IsLeaf]]=1,NOT(Tasks[[#This Row],[_IsMilestone]]),N(Tasks[[#This Row],[Progress]])&gt;0),Tasks[[#This Row],[Start]],0))</f>
        <v>46280</v>
      </c>
      <c r="GO11" s="89" t="n">
        <f aca="false">IF(Tasks[[#This Row],[_DoneFrom]]=0,0,IF(Tasks[[#This Row],[Progress]]&gt;=1,Tasks[[#This Row],[Finish]],MAX(Tasks[[#This Row],[_DoneFrom]],Tasks[[#This Row],[Start]]+ROUND((Tasks[[#This Row],[Finish]]-Tasks[[#This Row],[Start]]+1)*Tasks[[#This Row],[Progress]],0)-1)))</f>
        <v>46290</v>
      </c>
      <c r="GP11" s="89" t="n">
        <f aca="false">IF(Tasks[[#This Row],[Task Name]]="",0,IF(OR(NOT(Tasks[[#This Row],[_IsLeaf]]=1),Tasks[[#This Row],[_IsMilestone]],N(Tasks[[#This Row],[Progress]])&gt;=1),0,IF(Tasks[[#This Row],[_DoneTo]]&gt;0,Tasks[[#This Row],[_DoneTo]]+1,Tasks[[#This Row],[Start]])))</f>
        <v>0</v>
      </c>
      <c r="GQ11" s="89" t="n">
        <f aca="false">IF(Tasks[[#This Row],[_RemFrom]]=0,0,Tasks[[#This Row],[Finish]])</f>
        <v>0</v>
      </c>
      <c r="GR11" s="88" t="b">
        <f aca="false">IF(Tasks[[#This Row],[Task Name]]="",FALSE(),OR(NOT(BaselineSet),N(Tasks[[#This Row],[Baseline Start]])&gt;0))</f>
        <v>1</v>
      </c>
      <c r="GS11"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8</v>
      </c>
      <c r="GT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4</v>
      </c>
      <c r="GU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Morgan Patel</v>
      </c>
      <c r="GV11" s="90" t="n">
        <f aca="false">IF(Tasks[[#This Row],[_IsLeaf]]=1,Tasks[[#This Row],[_Row]],"")</f>
        <v>6</v>
      </c>
      <c r="GW11" s="90" t="str">
        <f aca="false">IFERROR(INDEX(Tasks[UID],SMALL(Tasks[_PickKey],Tasks[[#This Row],[_Row]]))&amp;" "&amp;INDEX(Tasks[Task Name],SMALL(Tasks[_PickKey],Tasks[[#This Row],[_Row]])),"")</f>
        <v>9 Design sign-off</v>
      </c>
      <c r="GX11" s="42" t="n">
        <f aca="false">IF(Tasks[[#This Row],[Task Name]]="","",IF(Tasks[[#This Row],[_IsSummary]],NETWORKDAYS.INTL(Tasks[[#This Row],[Start]],Tasks[[#This Row],[Finish]],WorkWeek,Holidays),N(Tasks[[#This Row],[_Days]])))</f>
        <v>8</v>
      </c>
    </row>
    <row r="12" customFormat="false" ht="15" hidden="false" customHeight="false" outlineLevel="1" collapsed="false">
      <c r="A12" s="21" t="n">
        <f aca="false">IF(Tasks[[#This Row],[Task Name]]="","",COUNTA(Tasks[[#Headers],[Task Name]]:Tasks[[#This Row],[Task Name]])-1)</f>
        <v>7</v>
      </c>
      <c r="B12" s="22" t="n">
        <v>8</v>
      </c>
      <c r="C12" s="22" t="n">
        <v>2</v>
      </c>
      <c r="D12" s="91" t="s">
        <v>618</v>
      </c>
      <c r="E12" s="22" t="n">
        <v>6</v>
      </c>
      <c r="F12" s="23" t="n">
        <v>6</v>
      </c>
      <c r="G12" s="22"/>
      <c r="H12" s="22"/>
      <c r="I12" s="23"/>
      <c r="J12" s="22"/>
      <c r="K12" s="22"/>
      <c r="L12" s="23"/>
      <c r="M12" s="22"/>
      <c r="N12" s="22"/>
      <c r="O12" s="23"/>
      <c r="P12" s="22"/>
      <c r="Q12" s="22"/>
      <c r="R12" s="23"/>
      <c r="S12" s="23" t="s">
        <v>619</v>
      </c>
      <c r="T12" s="83"/>
      <c r="U12" s="23"/>
      <c r="V12" s="83"/>
      <c r="W12" s="23"/>
      <c r="X12" s="83"/>
      <c r="Y12" s="23"/>
      <c r="Z12" s="83"/>
      <c r="AA12" s="23"/>
      <c r="AB12" s="23" t="s">
        <v>139</v>
      </c>
      <c r="AC12" s="7" t="n">
        <v>46293</v>
      </c>
      <c r="AD12" s="7" t="n">
        <v>46301</v>
      </c>
      <c r="AE12" s="62" t="n">
        <f aca="false">IF(Tasks[[#This Row],[Task Name]]="","",IF(Tasks[[#This Row],[_IsSummary]],MIN(INDEX(Tasks[_ShownFcstStart],Tasks[[#This Row],[_Row]]+1):INDEX(Tasks[_ShownFcstStart],Tasks[[#This Row],[_Row]]+Tasks[[#This Row],[_Descendants]])),Tasks[[#This Row],[_ShownFcstStart]]))</f>
        <v>46293</v>
      </c>
      <c r="AF12" s="62" t="n">
        <f aca="false">IF(Tasks[[#This Row],[Task Name]]="","",IF(Tasks[[#This Row],[_IsSummary]],MAX(INDEX(Tasks[_ShownFcstFinish],Tasks[[#This Row],[_Row]]+1):INDEX(Tasks[_ShownFcstFinish],Tasks[[#This Row],[_Row]]+Tasks[[#This Row],[_Descendants]])),Tasks[[#This Row],[_ShownFcstFinish]]))</f>
        <v>46301</v>
      </c>
      <c r="AG12" s="21" t="str">
        <f aca="false">""</f>
        <v/>
      </c>
      <c r="AH12" s="23"/>
      <c r="AI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 s="7"/>
      <c r="AK12" s="22" t="s">
        <v>235</v>
      </c>
      <c r="AL12" s="23"/>
      <c r="AM12" s="7"/>
      <c r="AN12" s="46" t="n">
        <f aca="false">IF(Tasks[[#This Row],[Task Name]]="","",IF(Tasks[[#This Row],[Finish]]&gt;=Tasks[[#This Row],[Planned Finish]],NETWORKDAYS.INTL(Tasks[[#This Row],[Planned Finish]],Tasks[[#This Row],[Finish]],WorkWeek,Holidays)-1,1-NETWORKDAYS.INTL(Tasks[[#This Row],[Finish]],Tasks[[#This Row],[Planned Finish]],WorkWeek,Holidays)))</f>
        <v>3</v>
      </c>
      <c r="AO12" s="21" t="str">
        <f aca="false">IF(Tasks[[#This Row],[Task Name]]="","",IF(Tasks[[#This Row],[Progress]]&gt;=1,"Complete",IF(OR(N(Tasks[[#This Row],[Actual Start]])&gt;0,Tasks[[#This Row],[Progress]]&gt;0),IF(Tasks[[#This Row],[Finish Var]]&gt;0,"Behind","In Progress"),IF(Tasks[[#This Row],[Planned Start]]&lt;StatusDate,"Late Start","Not Started"))))</f>
        <v>Complete</v>
      </c>
      <c r="AP12" s="21" t="str">
        <f aca="false">IF(Tasks[[#This Row],[Task Name]]="","",IF(IF(Tasks[[#This Row],[_IsSummary]],COUNTIF(INDEX(Tasks[_LeafCritical],Tasks[[#This Row],[_Row]]+1):INDEX(Tasks[_LeafCritical],Tasks[[#This Row],[_Row]]+Tasks[[#This Row],[_Descendants]]),TRUE())&gt;0,Tasks[[#This Row],[_LeafCritical]]),"Yes",""))</f>
        <v/>
      </c>
      <c r="AQ12" s="62" t="n">
        <f aca="false">IF(Tasks[[#This Row],[Task Name]]="","",IF(N(Tasks[[#This Row],[Baseline Start]])&gt;0,Tasks[[#This Row],[Baseline Start]],Tasks[[#This Row],[_CalcStart]]))</f>
        <v>46289</v>
      </c>
      <c r="AR12" s="62" t="n">
        <f aca="false">IF(Tasks[[#This Row],[Task Name]]="","",IF(N(Tasks[[#This Row],[Baseline Finish]])&gt;0,Tasks[[#This Row],[Baseline Finish]],Tasks[[#This Row],[_CalcFinish]]))</f>
        <v>46296</v>
      </c>
      <c r="AS12" s="46" t="n">
        <f aca="false">IF(Tasks[[#This Row],[Task Name]]="","",IF(Tasks[[#This Row],[Start]]&gt;=Tasks[[#This Row],[Planned Start]],NETWORKDAYS.INTL(Tasks[[#This Row],[Planned Start]],Tasks[[#This Row],[Start]],WorkWeek,Holidays)-1,1-NETWORKDAYS.INTL(Tasks[[#This Row],[Start]],Tasks[[#This Row],[Planned Start]],WorkWeek,Holidays)))</f>
        <v>2</v>
      </c>
      <c r="AT12" s="62" t="n">
        <f aca="false">IF(Tasks[[#This Row],[Task Name]]="","",IF(Tasks[[#This Row],[_IsSummary]],MIN(INDEX(Tasks[_LeafLateStart],Tasks[[#This Row],[_Row]]+1):INDEX(Tasks[_LeafLateStart],Tasks[[#This Row],[_Row]]+Tasks[[#This Row],[_Descendants]])),Tasks[[#This Row],[_LeafLateStart]]))</f>
        <v>46295</v>
      </c>
      <c r="AU12" s="62" t="n">
        <f aca="false">IF(Tasks[[#This Row],[Task Name]]="","",IF(Tasks[[#This Row],[_IsSummary]],MAX(INDEX(Tasks[_LeafLateFinish],Tasks[[#This Row],[_Row]]+1):INDEX(Tasks[_LeafLateFinish],Tasks[[#This Row],[_Row]]+Tasks[[#This Row],[_Descendants]])),Tasks[[#This Row],[_LeafLateFinish]]))</f>
        <v>46302</v>
      </c>
      <c r="AV12" s="46" t="n">
        <f aca="false">IF(Tasks[[#This Row],[Task Name]]="","",IF(Tasks[[#This Row],[_IsSummary]],MIN(INDEX(Tasks[_LeafTotalSlack],Tasks[[#This Row],[_Row]]+1):INDEX(Tasks[_LeafTotalSlack],Tasks[[#This Row],[_Row]]+Tasks[[#This Row],[_Descendants]])),Tasks[[#This Row],[_LeafTotalSlack]]))</f>
        <v>1</v>
      </c>
      <c r="AW12"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4"/>
      <c r="BA12"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BC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BD12" s="21" t="str">
        <f aca="false">IF(Tasks[[#This Row],[Task Name]]="","",IF(Tasks[[#This Row],[_Level]]&lt;=OutlineShowLevel,"Yes","No"))</f>
        <v>Yes</v>
      </c>
      <c r="BE12" s="85" t="n">
        <f aca="false">IF(Tasks[[#This Row],[Task Name]]="","",IF(Tasks[[#This Row],[_IsSummary]],SUM(INDEX(Tasks[_LeafTotalWork],Tasks[[#This Row],[_Row]]+1):INDEX(Tasks[_LeafTotalWork],Tasks[[#This Row],[_Row]]+Tasks[[#This Row],[_Descendants]])),Tasks[[#This Row],[_LeafTotalWork]]))</f>
        <v>48</v>
      </c>
      <c r="BF12" s="23"/>
      <c r="BG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Casey Kim</v>
      </c>
      <c r="BH12" s="21" t="str">
        <f aca="false">""</f>
        <v/>
      </c>
      <c r="BI12" s="86"/>
      <c r="BJ12" s="22"/>
      <c r="BK12" s="46" t="n">
        <f aca="false">IF(OR(Tasks[[#This Row],[Task Name]]="",Tasks[[#This Row],[Baseline Duration]]=""),"",Tasks[[#This Row],[_SpanDays]]-N(Tasks[[#This Row],[Baseline Duration]]))</f>
        <v>0</v>
      </c>
      <c r="BL12" s="85" t="n">
        <f aca="false">IF(OR(Tasks[[#This Row],[Task Name]]="",Tasks[[#This Row],[Baseline Work]]=""),"",Tasks[[#This Row],[Work]]-N(Tasks[[#This Row],[Baseline Work]]))</f>
        <v>0</v>
      </c>
      <c r="BM12" s="62" t="n">
        <f aca="false">IF(Tasks[[#This Row],[Task Name]]="","",IF(OR(TakeBaseline="Yes",N(Tasks[[#This Row],[Baseline Start]])=0),Tasks[[#This Row],[Start]],Tasks[[#This Row],[Baseline Start]]))</f>
        <v>46289</v>
      </c>
      <c r="BN12" s="62" t="n">
        <f aca="false">IF(Tasks[[#This Row],[Task Name]]="","",IF(OR(TakeBaseline="Yes",N(Tasks[[#This Row],[Baseline Finish]])=0),Tasks[[#This Row],[Finish]],Tasks[[#This Row],[Baseline Finish]]))</f>
        <v>46296</v>
      </c>
      <c r="BO12" s="21" t="n">
        <f aca="false">IF(Tasks[[#This Row],[Task Name]]="","",IF(OR(TakeBaseline="Yes",N(Tasks[[#This Row],[Baseline Duration]])=0),Tasks[[#This Row],[_SpanDays]],Tasks[[#This Row],[Baseline Duration]]))</f>
        <v>6</v>
      </c>
      <c r="BP12" s="85" t="n">
        <f aca="false">IF(Tasks[[#This Row],[Task Name]]="","",IF(OR(TakeBaseline="Yes",N(Tasks[[#This Row],[Baseline Work]])=0),Tasks[[#This Row],[Work]],Tasks[[#This Row],[Baseline Work]]))</f>
        <v>48</v>
      </c>
      <c r="BQ12" s="7" t="n">
        <v>46289</v>
      </c>
      <c r="BR12" s="7" t="n">
        <v>46296</v>
      </c>
      <c r="BS12" s="22" t="n">
        <v>6</v>
      </c>
      <c r="BT12" s="87" t="n">
        <v>48</v>
      </c>
      <c r="BU12" s="42" t="n">
        <f aca="false">IF(Tasks[[#This Row],[Task Name]]="","",MAX(1,N(Tasks[[#This Row],[Level]])))</f>
        <v>2</v>
      </c>
      <c r="BV12" s="42" t="n">
        <f aca="false">ROW()-ROW(Tasks[[#Headers],[ID]])</f>
        <v>7</v>
      </c>
      <c r="BW12" s="42" t="n">
        <f aca="false">IF(OR(Tasks[[#This Row],[Task Name]]="",Tasks[[#This Row],[_Level]]&lt;=1),0,IFERROR(LOOKUP(2,1/(Tasks[[#Headers],[_Level]]:Tasks[[#This Row],[_Level]]=Tasks[[#This Row],[_Level]]-1),ROW(Tasks[[#Headers],[_Level]]:Tasks[[#This Row],[_Level]])),0))</f>
        <v>10</v>
      </c>
      <c r="BX12" s="42" t="n">
        <f aca="false">IFERROR(N(INDEX(Tasks[_Level],Tasks[[#This Row],[_Row]]+1)),0)</f>
        <v>2</v>
      </c>
      <c r="BY12" s="88" t="b">
        <f aca="false">AND(Tasks[[#This Row],[Task Name]]&lt;&gt;"",Tasks[[#This Row],[_NextLevel]]&gt;Tasks[[#This Row],[_Level]])</f>
        <v>0</v>
      </c>
      <c r="BZ12" s="42" t="n">
        <f aca="false">IF(Tasks[[#This Row],[_IsSummary]],COUNTIF(Tasks[WBS],Tasks[[#This Row],[WBS]]&amp;".*"),0)</f>
        <v>0</v>
      </c>
      <c r="CA12" s="42" t="n">
        <f aca="false">IF(AND(Tasks[[#This Row],[Task Name]]&lt;&gt;"",NOT(Tasks[[#This Row],[_IsSummary]])),1,0)</f>
        <v>1</v>
      </c>
      <c r="CB12" s="42" t="n">
        <f aca="false">IF(N(Tasks[[#This Row],[_Pred1UID]])=0,0,IFERROR(MATCH(Tasks[[#This Row],[_Pred1UID]],Tasks[UID],0),-1))</f>
        <v>6</v>
      </c>
      <c r="CC12" s="42" t="n">
        <f aca="false">IF(N(Tasks[[#This Row],[_Pred2UID]])=0,0,IFERROR(MATCH(Tasks[[#This Row],[_Pred2UID]],Tasks[UID],0),-1))</f>
        <v>0</v>
      </c>
      <c r="CD12" s="42" t="n">
        <f aca="false">IF(N(Tasks[[#This Row],[_Pred3UID]])=0,0,IFERROR(MATCH(Tasks[[#This Row],[_Pred3UID]],Tasks[UID],0),-1))</f>
        <v>0</v>
      </c>
      <c r="CE12" s="42" t="n">
        <f aca="false">IF(N(Tasks[[#This Row],[_Pred4UID]])=0,0,IFERROR(MATCH(Tasks[[#This Row],[_Pred4UID]],Tasks[UID],0),-1))</f>
        <v>0</v>
      </c>
      <c r="CF12"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 s="89" t="n">
        <f aca="false">IF(OR(Tasks[[#This Row],[_ConstraintCode]]=2,Tasks[[#This Row],[_ConstraintCode]]=3,Tasks[[#This Row],[_ConstraintCode]]=4,Tasks[[#This Row],[_ConstraintCode]]=6),Tasks[[#This Row],[_ConstraintStart]],0)</f>
        <v>0</v>
      </c>
      <c r="CI12" s="89" t="n">
        <f aca="false">IF(OR(Tasks[[#This Row],[_ConstraintCode]]=2,Tasks[[#This Row],[_ConstraintCode]]=3,Tasks[[#This Row],[_ConstraintCode]]=5,Tasks[[#This Row],[_ConstraintCode]]=7),Tasks[[#This Row],[_ConstraintStart]],2958465)</f>
        <v>2958465</v>
      </c>
      <c r="CJ12"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K12" s="89" t="n">
        <f aca="false">IF(NOT(Tasks[[#This Row],[_IsLeaf]]=1),"",IF(N(Tasks[[#This Row],[_Days]])&lt;=0,Tasks[[#This Row],[_LeafCalcStart]],WORKDAY.INTL(Tasks[[#This Row],[_LeafCalcStart]],Tasks[[#This Row],[_Days]]-1,WorkWeek,Holidays)))</f>
        <v>46296</v>
      </c>
      <c r="CL12"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M12"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2" s="42" t="str">
        <f aca="false">IF(Tasks[[#This Row],[_Predecessors]]="","",TRIM(MID(SUBSTITUTE(SUBSTITUTE(SUBSTITUTE(UPPER(Tasks[[#This Row],[_Predecessors]]),";",",")," ",""),",",REPT(" ",99)),1,99)))</f>
        <v>6</v>
      </c>
      <c r="CO12" s="42" t="n">
        <f aca="false">IF(Tasks[[#This Row],[_Pred1Text]]="","",IFERROR(VALUE(LEFT(Tasks[[#This Row],[_Pred1Text]],MIN(FIND("F",Tasks[[#This Row],[_Pred1Text]]&amp;"F"),FIND("S",Tasks[[#This Row],[_Pred1Text]]&amp;"S"),FIND("+",Tasks[[#This Row],[_Pred1Text]]&amp;"+"),FIND("-",Tasks[[#This Row],[_Pred1Text]]&amp;"-"))-1)),""))</f>
        <v>6</v>
      </c>
      <c r="CP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2"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2" s="42" t="str">
        <f aca="false">IF(Tasks[[#This Row],[_Pred1Text]]="","",TRIM(MID(SUBSTITUTE(SUBSTITUTE(SUBSTITUTE(UPPER(Tasks[[#This Row],[_Predecessors]]),";",",")," ",""),",",REPT(" ",99)),100,99)))</f>
        <v/>
      </c>
      <c r="CS12" s="42" t="str">
        <f aca="false">IF(Tasks[[#This Row],[_Pred2Text]]="","",IFERROR(VALUE(LEFT(Tasks[[#This Row],[_Pred2Text]],MIN(FIND("F",Tasks[[#This Row],[_Pred2Text]]&amp;"F"),FIND("S",Tasks[[#This Row],[_Pred2Text]]&amp;"S"),FIND("+",Tasks[[#This Row],[_Pred2Text]]&amp;"+"),FIND("-",Tasks[[#This Row],[_Pred2Text]]&amp;"-"))-1)),""))</f>
        <v/>
      </c>
      <c r="CT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 s="42" t="str">
        <f aca="false">IF(Tasks[[#This Row],[_Pred2Text]]="","",TRIM(MID(SUBSTITUTE(SUBSTITUTE(SUBSTITUTE(UPPER(Tasks[[#This Row],[_Predecessors]]),";",",")," ",""),",",REPT(" ",99)),199,99)))</f>
        <v/>
      </c>
      <c r="CW12" s="42" t="str">
        <f aca="false">IF(Tasks[[#This Row],[_Pred3Text]]="","",IFERROR(VALUE(LEFT(Tasks[[#This Row],[_Pred3Text]],MIN(FIND("F",Tasks[[#This Row],[_Pred3Text]]&amp;"F"),FIND("S",Tasks[[#This Row],[_Pred3Text]]&amp;"S"),FIND("+",Tasks[[#This Row],[_Pred3Text]]&amp;"+"),FIND("-",Tasks[[#This Row],[_Pred3Text]]&amp;"-"))-1)),""))</f>
        <v/>
      </c>
      <c r="CX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 s="42" t="str">
        <f aca="false">IF(Tasks[[#This Row],[_Pred3Text]]="","",TRIM(MID(SUBSTITUTE(SUBSTITUTE(SUBSTITUTE(UPPER(Tasks[[#This Row],[_Predecessors]]),";",",")," ",""),",",REPT(" ",99)),298,99)))</f>
        <v/>
      </c>
      <c r="DA12" s="42" t="str">
        <f aca="false">IF(Tasks[[#This Row],[_Pred4Text]]="","",IFERROR(VALUE(LEFT(Tasks[[#This Row],[_Pred4Text]],MIN(FIND("F",Tasks[[#This Row],[_Pred4Text]]&amp;"F"),FIND("S",Tasks[[#This Row],[_Pred4Text]]&amp;"S"),FIND("+",Tasks[[#This Row],[_Pred4Text]]&amp;"+"),FIND("-",Tasks[[#This Row],[_Pred4Text]]&amp;"-"))-1)),""))</f>
        <v/>
      </c>
      <c r="DB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 s="42" t="str">
        <f aca="false">IF(OR(Tasks[[#This Row],[Task Name]]="",Tasks[[#This Row],[_Resources]]=""),"",TRIM(MID(SUBSTITUTE(Tasks[[#This Row],[_Resources]],",",REPT(" ",99)),1,99)))</f>
        <v>Casey Kim</v>
      </c>
      <c r="DE12" s="42" t="str">
        <f aca="false">IF(Tasks[[#This Row],[_Res1Text]]="","",TRIM(MID(SUBSTITUTE(Tasks[[#This Row],[_Resources]],",",REPT(" ",99)),100,99)))</f>
        <v/>
      </c>
      <c r="DF12" s="42" t="str">
        <f aca="false">IF(Tasks[[#This Row],[_Res2Text]]="","",TRIM(MID(SUBSTITUTE(Tasks[[#This Row],[_Resources]],",",REPT(" ",99)),199,99)))</f>
        <v/>
      </c>
      <c r="DG12" s="42" t="str">
        <f aca="false">IF(Tasks[[#This Row],[_Res3Text]]="","",TRIM(MID(SUBSTITUTE(Tasks[[#This Row],[_Resources]],",",REPT(" ",99)),298,99)))</f>
        <v/>
      </c>
      <c r="DH12" s="42" t="n">
        <f aca="false">IF(Tasks[[#This Row],[_Res1Text]]="",0,IFERROR(MATCH(TRIM(LEFT(Tasks[[#This Row],[_Res1Text]],FIND("[",Tasks[[#This Row],[_Res1Text]]&amp;"[")-1)),res_Name,0),IFERROR(MATCH(TRIM(LEFT(Tasks[[#This Row],[_Res1Text]],FIND("[",Tasks[[#This Row],[_Res1Text]]&amp;"[")-1)),res_Initials,0),0)))</f>
        <v>4</v>
      </c>
      <c r="DI12" s="42" t="n">
        <f aca="false">IF(Tasks[[#This Row],[_Res2Text]]="",0,IFERROR(MATCH(TRIM(LEFT(Tasks[[#This Row],[_Res2Text]],FIND("[",Tasks[[#This Row],[_Res2Text]]&amp;"[")-1)),res_Name,0),IFERROR(MATCH(TRIM(LEFT(Tasks[[#This Row],[_Res2Text]],FIND("[",Tasks[[#This Row],[_Res2Text]]&amp;"[")-1)),res_Initials,0),0)))</f>
        <v>0</v>
      </c>
      <c r="DJ12" s="42" t="n">
        <f aca="false">IF(Tasks[[#This Row],[_Res3Text]]="",0,IFERROR(MATCH(TRIM(LEFT(Tasks[[#This Row],[_Res3Text]],FIND("[",Tasks[[#This Row],[_Res3Text]]&amp;"[")-1)),res_Name,0),IFERROR(MATCH(TRIM(LEFT(Tasks[[#This Row],[_Res3Text]],FIND("[",Tasks[[#This Row],[_Res3Text]]&amp;"[")-1)),res_Initials,0),0)))</f>
        <v>0</v>
      </c>
      <c r="DK12" s="42" t="n">
        <f aca="false">IF(Tasks[[#This Row],[_Res4Text]]="",0,IFERROR(MATCH(TRIM(LEFT(Tasks[[#This Row],[_Res4Text]],FIND("[",Tasks[[#This Row],[_Res4Text]]&amp;"[")-1)),res_Name,0),IFERROR(MATCH(TRIM(LEFT(Tasks[[#This Row],[_Res4Text]],FIND("[",Tasks[[#This Row],[_Res4Text]]&amp;"[")-1)),res_Initials,0),0)))</f>
        <v>0</v>
      </c>
      <c r="DL12" s="42" t="str">
        <f aca="false">IF(Tasks[[#This Row],[_Res1Text]]="","",IF(Tasks[[#This Row],[_Res1Row]]&gt;0,INDEX(res_Name,Tasks[[#This Row],[_Res1Row]]),TRIM(LEFT(Tasks[[#This Row],[_Res1Text]],FIND("[",Tasks[[#This Row],[_Res1Text]]&amp;"[")-1))))</f>
        <v>Casey Kim</v>
      </c>
      <c r="DM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 s="42" t="n">
        <f aca="false">IF(NOT(Tasks[[#This Row],[_IsLeaf]]=1),0,(Tasks[[#This Row],[_Resource1]]&lt;&gt;"")+(Tasks[[#This Row],[_Res2]]&lt;&gt;"")+(Tasks[[#This Row],[_Res3]]&lt;&gt;"")+(Tasks[[#This Row],[_Res4]]&lt;&gt;""))</f>
        <v>1</v>
      </c>
      <c r="DO12" s="42" t="str">
        <f aca="false">IF(Tasks[[#This Row],[_Res2Text]]="","",IF(Tasks[[#This Row],[_Res2Row]]&gt;0,INDEX(res_Name,Tasks[[#This Row],[_Res2Row]]),TRIM(LEFT(Tasks[[#This Row],[_Res2Text]],FIND("[",Tasks[[#This Row],[_Res2Text]]&amp;"[")-1))))</f>
        <v/>
      </c>
      <c r="DP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 s="42" t="n">
        <f aca="false">IF(OR(NOT(Tasks[[#This Row],[_IsLeaf]]=1),Tasks[[#This Row],[_Res2Row]]=0),0,N(Tasks[[#This Row],[_Days]])*HoursPerDay*IF(Tasks[[#This Row],[_Res2Units]]="",DefaultUnits,Tasks[[#This Row],[_Res2Units]]))</f>
        <v>0</v>
      </c>
      <c r="DR12" s="42" t="n">
        <f aca="false">IF(AND(AND(Tasks[[#This Row],[_IsLeaf]]=1,Tasks[[#This Row],[_LeafTotalWork]]&gt;0),Tasks[[#This Row],[_Res2Work]]&gt;0),Tasks[[#This Row],[_Res2Work]]/(Tasks[[#This Row],[_FinishWorkday]]-Tasks[[#This Row],[_StartWorkday]]+1),0)</f>
        <v>0</v>
      </c>
      <c r="DS12" s="42" t="n">
        <f aca="false">Tasks[[#This Row],[_Res2WorkPerWD]]*MAX(0,Tasks[[#This Row],[_StartWorkday]]-1)</f>
        <v>0</v>
      </c>
      <c r="DT12" s="42" t="n">
        <f aca="false">Tasks[[#This Row],[_Res2Work]]*Tasks[[#This Row],[_LeafProgress]]</f>
        <v>0</v>
      </c>
      <c r="DU12" s="42" t="str">
        <f aca="false">IF(Tasks[[#This Row],[_Res3Text]]="","",IF(Tasks[[#This Row],[_Res3Row]]&gt;0,INDEX(res_Name,Tasks[[#This Row],[_Res3Row]]),TRIM(LEFT(Tasks[[#This Row],[_Res3Text]],FIND("[",Tasks[[#This Row],[_Res3Text]]&amp;"[")-1))))</f>
        <v/>
      </c>
      <c r="DV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 s="42" t="n">
        <f aca="false">IF(OR(NOT(Tasks[[#This Row],[_IsLeaf]]=1),Tasks[[#This Row],[_Res3Row]]=0),0,N(Tasks[[#This Row],[_Days]])*HoursPerDay*IF(Tasks[[#This Row],[_Res3Units]]="",DefaultUnits,Tasks[[#This Row],[_Res3Units]]))</f>
        <v>0</v>
      </c>
      <c r="DX12" s="42" t="n">
        <f aca="false">IF(AND(AND(Tasks[[#This Row],[_IsLeaf]]=1,Tasks[[#This Row],[_LeafTotalWork]]&gt;0),Tasks[[#This Row],[_Res3Work]]&gt;0),Tasks[[#This Row],[_Res3Work]]/(Tasks[[#This Row],[_FinishWorkday]]-Tasks[[#This Row],[_StartWorkday]]+1),0)</f>
        <v>0</v>
      </c>
      <c r="DY12" s="42" t="n">
        <f aca="false">Tasks[[#This Row],[_Res3WorkPerWD]]*MAX(0,Tasks[[#This Row],[_StartWorkday]]-1)</f>
        <v>0</v>
      </c>
      <c r="DZ12" s="42" t="n">
        <f aca="false">Tasks[[#This Row],[_Res3Work]]*Tasks[[#This Row],[_LeafProgress]]</f>
        <v>0</v>
      </c>
      <c r="EA12" s="42" t="str">
        <f aca="false">IF(Tasks[[#This Row],[_Res4Text]]="","",IF(Tasks[[#This Row],[_Res4Row]]&gt;0,INDEX(res_Name,Tasks[[#This Row],[_Res4Row]]),TRIM(LEFT(Tasks[[#This Row],[_Res4Text]],FIND("[",Tasks[[#This Row],[_Res4Text]]&amp;"[")-1))))</f>
        <v/>
      </c>
      <c r="EB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 s="42" t="n">
        <f aca="false">IF(OR(NOT(Tasks[[#This Row],[_IsLeaf]]=1),Tasks[[#This Row],[_Res4Row]]=0),0,N(Tasks[[#This Row],[_Days]])*HoursPerDay*IF(Tasks[[#This Row],[_Res4Units]]="",DefaultUnits,Tasks[[#This Row],[_Res4Units]]))</f>
        <v>0</v>
      </c>
      <c r="ED12" s="42" t="n">
        <f aca="false">IF(AND(AND(Tasks[[#This Row],[_IsLeaf]]=1,Tasks[[#This Row],[_LeafTotalWork]]&gt;0),Tasks[[#This Row],[_Res4Work]]&gt;0),Tasks[[#This Row],[_Res4Work]]/(Tasks[[#This Row],[_FinishWorkday]]-Tasks[[#This Row],[_StartWorkday]]+1),0)</f>
        <v>0</v>
      </c>
      <c r="EE12" s="42" t="n">
        <f aca="false">Tasks[[#This Row],[_Res4WorkPerWD]]*MAX(0,Tasks[[#This Row],[_StartWorkday]]-1)</f>
        <v>0</v>
      </c>
      <c r="EF12" s="42" t="n">
        <f aca="false">Tasks[[#This Row],[_Res4Work]]*Tasks[[#This Row],[_LeafProgress]]</f>
        <v>0</v>
      </c>
      <c r="EG12" s="92" t="n">
        <f aca="false">IF(ISNUMBER(Tasks[[#This Row],[% Complete]]),Tasks[[#This Row],[% Complete]],IF(Tasks[[#This Row],[Stage]]="",0,IFERROR(INDEX(stg_Pct,MATCH(Tasks[[#This Row],[Stage]],stg_Name,0)),0)))</f>
        <v>1</v>
      </c>
      <c r="EH12" s="42" t="n">
        <f aca="false">IF(NOT(Tasks[[#This Row],[_IsLeaf]]=1),0,IF(N(Tasks[[#This Row],[Actual Finish]])&gt;0,1,MIN(1,Tasks[[#This Row],[_Pct]])))</f>
        <v>1</v>
      </c>
      <c r="EI12" s="42" t="n">
        <f aca="false">IF(OR(NOT(Tasks[[#This Row],[_IsLeaf]]=1),Tasks[[#This Row],[_Res1Row]]=0),0,N(Tasks[[#This Row],[_Days]])*HoursPerDay*IF(Tasks[[#This Row],[_Units1]]="",DefaultUnits,Tasks[[#This Row],[_Units1]]))</f>
        <v>48</v>
      </c>
      <c r="EJ12" s="42" t="n">
        <f aca="false">Tasks[[#This Row],[_LeafWork]]+Tasks[[#This Row],[_Res2Work]]+Tasks[[#This Row],[_Res3Work]]+Tasks[[#This Row],[_Res4Work]]</f>
        <v>48</v>
      </c>
      <c r="EK12"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2912171</v>
      </c>
      <c r="EL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 s="42" t="n">
        <f aca="false">IF(NOT(Tasks[[#This Row],[_IsLeaf]]=1),0,MAX(_xlfn.MAXIFS(Tasks[_Row],Tasks[_Pred1UID],Tasks[[#This Row],[UID]]),_xlfn.MAXIFS(Tasks[_Row],Tasks[_Pred2UID],Tasks[[#This Row],[UID]]),_xlfn.MAXIFS(Tasks[_Row],Tasks[_Pred3UID],Tasks[[#This Row],[UID]]),_xlfn.MAXIFS(Tasks[_Row],Tasks[_Pred4UID],Tasks[[#This Row],[UID]])))</f>
        <v>8</v>
      </c>
      <c r="ET12"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2"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2" s="89" t="n">
        <f aca="false">IF(NOT(Tasks[[#This Row],[_IsLeaf]]=1),"",IF(N(Tasks[[#This Row],[_Days]])&lt;=0,Tasks[[#This Row],[_LeafLateFinish]],WORKDAY.INTL(Tasks[[#This Row],[_LeafLateFinish]],-(Tasks[[#This Row],[_Days]]-1),WorkWeek,Holidays)))</f>
        <v>46295</v>
      </c>
      <c r="EW12"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2" s="88" t="b">
        <f aca="false">AND(Tasks[[#This Row],[_IsLeaf]]=1,Tasks[[#This Row],[_LeafProgress]]&lt;1,N(Tasks[[#This Row],[_LeafTotalSlack]])&lt;=CriticalSlackDays)</f>
        <v>0</v>
      </c>
      <c r="EY12" s="42" t="n">
        <f aca="false">IF(AND(Tasks[[#This Row],[_IsLeaf]]=1,Tasks[[#This Row],[_ConstraintCode]]=1,Tasks[[#This Row],[Mode]]&lt;&gt;"Manual",N(Tasks[[#This Row],[Actual Start]])=0),MAX(0,N(Tasks[[#This Row],[Free Slack]])),0)</f>
        <v>0</v>
      </c>
      <c r="EZ12" s="89" t="n">
        <f aca="false">IF(NOT(Tasks[[#This Row],[_IsLeaf]]=1),"",IF(Tasks[[#This Row],[_AlapShift]]=0,Tasks[[#This Row],[_LeafCalcStart]],WORKDAY.INTL(Tasks[[#This Row],[_LeafCalcStart]],Tasks[[#This Row],[_AlapShift]],WorkWeek,Holidays)))</f>
        <v>46289</v>
      </c>
      <c r="FA12" s="89" t="n">
        <f aca="false">IF(NOT(Tasks[[#This Row],[_IsLeaf]]=1),"",IF(Tasks[[#This Row],[_AlapShift]]=0,Tasks[[#This Row],[_LeafCalcFinish]],WORKDAY.INTL(Tasks[[#This Row],[_LeafCalcFinish]],Tasks[[#This Row],[_AlapShift]],WorkWeek,Holidays)))</f>
        <v>46296</v>
      </c>
      <c r="FB12" s="89" t="n">
        <f aca="false">IF(NOT(Tasks[[#This Row],[_IsLeaf]]=1),"",IF(Tasks[[#This Row],[_AlapShift]]=0,Tasks[[#This Row],[_LeafFcstStart]],WORKDAY.INTL(Tasks[[#This Row],[_LeafFcstStart]],Tasks[[#This Row],[_AlapShift]],WorkWeek,Holidays)))</f>
        <v>46293</v>
      </c>
      <c r="FC12" s="89" t="n">
        <f aca="false">IF(NOT(Tasks[[#This Row],[_IsLeaf]]=1),"",IF(Tasks[[#This Row],[_AlapShift]]=0,Tasks[[#This Row],[_LeafFcstFinish]],WORKDAY.INTL(Tasks[[#This Row],[_LeafFcstFinish]],Tasks[[#This Row],[_AlapShift]],WorkWeek,Holidays)))</f>
        <v>46301</v>
      </c>
      <c r="FD12" s="89" t="n">
        <f aca="false">IF(Tasks[[#This Row],[Task Name]]="","",IF(Tasks[[#This Row],[_IsSummary]],MIN(INDEX(Tasks[_ShownCalcStart],Tasks[[#This Row],[_Row]]+1):INDEX(Tasks[_ShownCalcStart],Tasks[[#This Row],[_Row]]+Tasks[[#This Row],[_Descendants]])),Tasks[[#This Row],[_ShownCalcStart]]))</f>
        <v>46289</v>
      </c>
      <c r="FE12" s="89" t="n">
        <f aca="false">IF(Tasks[[#This Row],[Task Name]]="","",IF(Tasks[[#This Row],[_IsSummary]],MAX(INDEX(Tasks[_ShownCalcFinish],Tasks[[#This Row],[_Row]]+1):INDEX(Tasks[_ShownCalcFinish],Tasks[[#This Row],[_Row]]+Tasks[[#This Row],[_Descendants]])),Tasks[[#This Row],[_ShownCalcFinish]]))</f>
        <v>46296</v>
      </c>
      <c r="FF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46289</v>
      </c>
      <c r="FK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46293</v>
      </c>
      <c r="FO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 s="42" t="n">
        <f aca="false">IF(AND(Tasks[[#This Row],[_IsLeaf]]=1,Tasks[[#This Row],[_LeafTotalWork]]&gt;0),NETWORKDAYS.INTL(ProjectStart,Tasks[[#This Row],[_ShownFcstStart]],WorkWeek,Holidays),0)</f>
        <v>16</v>
      </c>
      <c r="FS12" s="42" t="n">
        <f aca="false">IF(AND(Tasks[[#This Row],[_IsLeaf]]=1,Tasks[[#This Row],[_LeafTotalWork]]&gt;0),MAX(Tasks[[#This Row],[_StartWorkday]],NETWORKDAYS.INTL(ProjectStart,Tasks[[#This Row],[_ShownFcstFinish]],WorkWeek,Holidays)),0)</f>
        <v>22</v>
      </c>
      <c r="FT12" s="42" t="n">
        <f aca="false">IF(AND(Tasks[[#This Row],[_IsLeaf]]=1,Tasks[[#This Row],[_LeafTotalWork]]&gt;0),Tasks[[#This Row],[_LeafWork]]/(Tasks[[#This Row],[_FinishWorkday]]-Tasks[[#This Row],[_StartWorkday]]+1),0)</f>
        <v>6.85714285714286</v>
      </c>
      <c r="FU12" s="42" t="n">
        <f aca="false">Tasks[[#This Row],[_WorkPerWorkday]]*(Tasks[[#This Row],[_StartWorkday]]-1)</f>
        <v>102.857142857143</v>
      </c>
      <c r="FV12" s="42" t="n">
        <f aca="false">IF(Tasks[[#This Row],[_IsLeaf]]=1,MAX(N(Tasks[[#This Row],[_Days]]),0.1),0)</f>
        <v>6</v>
      </c>
      <c r="FW12" s="42" t="n">
        <f aca="false">Tasks[[#This Row],[_WeightDur]]*Tasks[[#This Row],[_LeafProgress]]</f>
        <v>6</v>
      </c>
      <c r="FX12" s="42" t="n">
        <f aca="false">Tasks[[#This Row],[_WeightDur]]*Tasks[[#This Row],[_PlannedPct]]</f>
        <v>6</v>
      </c>
      <c r="FY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FZ12" s="42" t="str">
        <f aca="false">IF(AND(Tasks[[#This Row],[_IsLeaf]]=1,N(Tasks[[#This Row],[_Days]])=0,Tasks[[#This Row],[_LeafProgress]]&lt;1),Tasks[[#This Row],[_ShownFcstFinish]]+Tasks[[#This Row],[_Row]]/100000,"")</f>
        <v/>
      </c>
      <c r="GA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2" s="42" t="str">
        <f aca="false">IF(Tasks[[#This Row],[Task Name]]="","",LEFT(Tasks[[#This Row],[WBS]],FIND(".",Tasks[[#This Row],[WBS]]&amp;".")-1))</f>
        <v>2</v>
      </c>
      <c r="GC12" s="42" t="str">
        <f aca="false">IF(AND(Tasks[[#This Row],[Task Name]]&lt;&gt;"",Tasks[[#This Row],[_Level]]=1),Tasks[[#This Row],[_Row]],"")</f>
        <v/>
      </c>
      <c r="GD12" s="42" t="str">
        <f aca="false">IF(AND(Tasks[[#This Row],[_IsLeaf]]=1,N(Tasks[[#This Row],[_Days]])=0),Tasks[[#This Row],[Planned Finish]]+Tasks[[#This Row],[_Row]]/100000,"")</f>
        <v/>
      </c>
      <c r="GE12" s="42" t="str">
        <f aca="false">IF(AND(Tasks[[#This Row],[_IsLeaf]]=1,Tasks[[#This Row],[_LeafProgress]]&lt;1,OR(N(Tasks[[#This Row],[Finish Var]])&gt;0,Tasks[[#This Row],[Status]]="Late Start")),MAX(0,Tasks[[#This Row],[Finish Var]])+1-Tasks[[#This Row],[_Row]]/1000000,"")</f>
        <v/>
      </c>
      <c r="GF12" s="42" t="str">
        <f aca="false">IF(AND(Tasks[[#This Row],[_IsLeaf]]=1,N(Tasks[[#This Row],[Actual Start]])=0,Tasks[[#This Row],[_ShownFcstStart]]&gt;=StatusDate,Tasks[[#This Row],[_ShownFcstStart]]&lt;=LookaheadEnd),Tasks[[#This Row],[_ShownFcstStart]]+Tasks[[#This Row],[_Row]]/100000,"")</f>
        <v/>
      </c>
      <c r="GG12" s="42" t="str">
        <f aca="false">IF(AND(Tasks[[#This Row],[_IsLeaf]]=1,Tasks[[#This Row],[_LeafProgress]]&lt;1,Tasks[[#This Row],[_ShownFcstFinish]]&gt;=StatusDate,Tasks[[#This Row],[_ShownFcstFinish]]&lt;=LookaheadEnd),Tasks[[#This Row],[_ShownFcstFinish]]+Tasks[[#This Row],[_Row]]/100000,"")</f>
        <v/>
      </c>
      <c r="GH12" s="42" t="str">
        <f aca="false">IF(Tasks[[#This Row],[_LeafCritical]],Tasks[[#This Row],[_ShownFcstStart]]+Tasks[[#This Row],[_Row]]/100000,"")</f>
        <v/>
      </c>
      <c r="GI12" s="42" t="n">
        <f aca="false">Tasks[[#This Row],[_LeafWork]]*Tasks[[#This Row],[_LeafProgress]]</f>
        <v>48</v>
      </c>
      <c r="GJ12" s="89" t="n">
        <f aca="false">IF(AND(Tasks[[#This Row],[_IsLeaf]]=1,Tasks[[#This Row],[_LeafProgress]]&gt;=1),IF(N(Tasks[[#This Row],[Actual Finish]])&gt;0,Tasks[[#This Row],[Actual Finish]],Tasks[[#This Row],[_ShownFcstFinish]]),"")</f>
        <v>46301</v>
      </c>
      <c r="GK12" s="42" t="n">
        <f aca="false">IF(Tasks[[#This Row],[_IsLeaf]]=1,N(Tasks[[#This Row],[Story Points]]),0)</f>
        <v>0</v>
      </c>
      <c r="GL12" s="42" t="str">
        <f aca="false">""</f>
        <v/>
      </c>
      <c r="GM12" s="88" t="b">
        <f aca="false">IF(Tasks[[#This Row],[Task Name]]="",FALSE(),AND(Tasks[[#This Row],[_IsLeaf]]=1,N(Tasks[[#This Row],[_Days]])=0))</f>
        <v>0</v>
      </c>
      <c r="GN12" s="89" t="n">
        <f aca="false">IF(Tasks[[#This Row],[Task Name]]="",0,IF(AND(Tasks[[#This Row],[_IsLeaf]]=1,NOT(Tasks[[#This Row],[_IsMilestone]]),N(Tasks[[#This Row],[Progress]])&gt;0),Tasks[[#This Row],[Start]],0))</f>
        <v>46293</v>
      </c>
      <c r="GO12" s="89" t="n">
        <f aca="false">IF(Tasks[[#This Row],[_DoneFrom]]=0,0,IF(Tasks[[#This Row],[Progress]]&gt;=1,Tasks[[#This Row],[Finish]],MAX(Tasks[[#This Row],[_DoneFrom]],Tasks[[#This Row],[Start]]+ROUND((Tasks[[#This Row],[Finish]]-Tasks[[#This Row],[Start]]+1)*Tasks[[#This Row],[Progress]],0)-1)))</f>
        <v>46301</v>
      </c>
      <c r="GP12" s="89" t="n">
        <f aca="false">IF(Tasks[[#This Row],[Task Name]]="",0,IF(OR(NOT(Tasks[[#This Row],[_IsLeaf]]=1),Tasks[[#This Row],[_IsMilestone]],N(Tasks[[#This Row],[Progress]])&gt;=1),0,IF(Tasks[[#This Row],[_DoneTo]]&gt;0,Tasks[[#This Row],[_DoneTo]]+1,Tasks[[#This Row],[Start]])))</f>
        <v>0</v>
      </c>
      <c r="GQ12" s="89" t="n">
        <f aca="false">IF(Tasks[[#This Row],[_RemFrom]]=0,0,Tasks[[#This Row],[Finish]])</f>
        <v>0</v>
      </c>
      <c r="GR12" s="88" t="b">
        <f aca="false">IF(Tasks[[#This Row],[Task Name]]="",FALSE(),OR(NOT(BaselineSet),N(Tasks[[#This Row],[Baseline Start]])&gt;0))</f>
        <v>1</v>
      </c>
      <c r="GS12"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6</v>
      </c>
      <c r="GT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6</v>
      </c>
      <c r="GU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Casey Kim</v>
      </c>
      <c r="GV12" s="90" t="n">
        <f aca="false">IF(Tasks[[#This Row],[_IsLeaf]]=1,Tasks[[#This Row],[_Row]],"")</f>
        <v>7</v>
      </c>
      <c r="GW12" s="90" t="str">
        <f aca="false">IFERROR(INDEX(Tasks[UID],SMALL(Tasks[_PickKey],Tasks[[#This Row],[_Row]]))&amp;" "&amp;INDEX(Tasks[Task Name],SMALL(Tasks[_PickKey],Tasks[[#This Row],[_Row]])),"")</f>
        <v>21 System integration testing</v>
      </c>
      <c r="GX12" s="42" t="n">
        <f aca="false">IF(Tasks[[#This Row],[Task Name]]="","",IF(Tasks[[#This Row],[_IsSummary]],NETWORKDAYS.INTL(Tasks[[#This Row],[Start]],Tasks[[#This Row],[Finish]],WorkWeek,Holidays),N(Tasks[[#This Row],[_Days]])))</f>
        <v>6</v>
      </c>
    </row>
    <row r="13" customFormat="false" ht="15" hidden="false" customHeight="false" outlineLevel="1" collapsed="false">
      <c r="A13" s="21" t="n">
        <f aca="false">IF(Tasks[[#This Row],[Task Name]]="","",COUNTA(Tasks[[#Headers],[Task Name]]:Tasks[[#This Row],[Task Name]])-1)</f>
        <v>8</v>
      </c>
      <c r="B13" s="22" t="n">
        <v>9</v>
      </c>
      <c r="C13" s="22" t="n">
        <v>2</v>
      </c>
      <c r="D13" s="91" t="s">
        <v>620</v>
      </c>
      <c r="E13" s="22" t="n">
        <v>0</v>
      </c>
      <c r="F13" s="23" t="n">
        <v>8</v>
      </c>
      <c r="G13" s="22"/>
      <c r="H13" s="22"/>
      <c r="I13" s="23"/>
      <c r="J13" s="22"/>
      <c r="K13" s="22"/>
      <c r="L13" s="23"/>
      <c r="M13" s="22"/>
      <c r="N13" s="22"/>
      <c r="O13" s="23"/>
      <c r="P13" s="22"/>
      <c r="Q13" s="22"/>
      <c r="R13" s="23"/>
      <c r="S13" s="23"/>
      <c r="T13" s="83"/>
      <c r="U13" s="23"/>
      <c r="V13" s="83"/>
      <c r="W13" s="23"/>
      <c r="X13" s="83"/>
      <c r="Y13" s="23"/>
      <c r="Z13" s="83"/>
      <c r="AA13" s="23"/>
      <c r="AB13" s="23" t="s">
        <v>139</v>
      </c>
      <c r="AC13" s="7" t="n">
        <v>46301</v>
      </c>
      <c r="AD13" s="7" t="n">
        <v>46301</v>
      </c>
      <c r="AE13" s="62" t="n">
        <f aca="false">IF(Tasks[[#This Row],[Task Name]]="","",IF(Tasks[[#This Row],[_IsSummary]],MIN(INDEX(Tasks[_ShownFcstStart],Tasks[[#This Row],[_Row]]+1):INDEX(Tasks[_ShownFcstStart],Tasks[[#This Row],[_Row]]+Tasks[[#This Row],[_Descendants]])),Tasks[[#This Row],[_ShownFcstStart]]))</f>
        <v>46301</v>
      </c>
      <c r="AF13" s="62" t="n">
        <f aca="false">IF(Tasks[[#This Row],[Task Name]]="","",IF(Tasks[[#This Row],[_IsSummary]],MAX(INDEX(Tasks[_ShownFcstFinish],Tasks[[#This Row],[_Row]]+1):INDEX(Tasks[_ShownFcstFinish],Tasks[[#This Row],[_Row]]+Tasks[[#This Row],[_Descendants]])),Tasks[[#This Row],[_ShownFcstFinish]]))</f>
        <v>46301</v>
      </c>
      <c r="AG13" s="21" t="str">
        <f aca="false">""</f>
        <v/>
      </c>
      <c r="AH13" s="23" t="s">
        <v>621</v>
      </c>
      <c r="AI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 s="7"/>
      <c r="AK13" s="22" t="s">
        <v>235</v>
      </c>
      <c r="AL13" s="23"/>
      <c r="AM13" s="7"/>
      <c r="AN13" s="46" t="n">
        <f aca="false">IF(Tasks[[#This Row],[Task Name]]="","",IF(Tasks[[#This Row],[Finish]]&gt;=Tasks[[#This Row],[Planned Finish]],NETWORKDAYS.INTL(Tasks[[#This Row],[Planned Finish]],Tasks[[#This Row],[Finish]],WorkWeek,Holidays)-1,1-NETWORKDAYS.INTL(Tasks[[#This Row],[Finish]],Tasks[[#This Row],[Planned Finish]],WorkWeek,Holidays)))</f>
        <v>3</v>
      </c>
      <c r="AO13" s="21" t="str">
        <f aca="false">IF(Tasks[[#This Row],[Task Name]]="","",IF(Tasks[[#This Row],[Progress]]&gt;=1,"Complete",IF(OR(N(Tasks[[#This Row],[Actual Start]])&gt;0,Tasks[[#This Row],[Progress]]&gt;0),IF(Tasks[[#This Row],[Finish Var]]&gt;0,"Behind","In Progress"),IF(Tasks[[#This Row],[Planned Start]]&lt;StatusDate,"Late Start","Not Started"))))</f>
        <v>Complete</v>
      </c>
      <c r="AP13" s="21" t="str">
        <f aca="false">IF(Tasks[[#This Row],[Task Name]]="","",IF(IF(Tasks[[#This Row],[_IsSummary]],COUNTIF(INDEX(Tasks[_LeafCritical],Tasks[[#This Row],[_Row]]+1):INDEX(Tasks[_LeafCritical],Tasks[[#This Row],[_Row]]+Tasks[[#This Row],[_Descendants]]),TRUE())&gt;0,Tasks[[#This Row],[_LeafCritical]]),"Yes",""))</f>
        <v/>
      </c>
      <c r="AQ13" s="62" t="n">
        <f aca="false">IF(Tasks[[#This Row],[Task Name]]="","",IF(N(Tasks[[#This Row],[Baseline Start]])&gt;0,Tasks[[#This Row],[Baseline Start]],Tasks[[#This Row],[_CalcStart]]))</f>
        <v>46296</v>
      </c>
      <c r="AR13" s="62" t="n">
        <f aca="false">IF(Tasks[[#This Row],[Task Name]]="","",IF(N(Tasks[[#This Row],[Baseline Finish]])&gt;0,Tasks[[#This Row],[Baseline Finish]],Tasks[[#This Row],[_CalcFinish]]))</f>
        <v>46296</v>
      </c>
      <c r="AS13" s="46" t="n">
        <f aca="false">IF(Tasks[[#This Row],[Task Name]]="","",IF(Tasks[[#This Row],[Start]]&gt;=Tasks[[#This Row],[Planned Start]],NETWORKDAYS.INTL(Tasks[[#This Row],[Planned Start]],Tasks[[#This Row],[Start]],WorkWeek,Holidays)-1,1-NETWORKDAYS.INTL(Tasks[[#This Row],[Start]],Tasks[[#This Row],[Planned Start]],WorkWeek,Holidays)))</f>
        <v>3</v>
      </c>
      <c r="AT13" s="62" t="n">
        <f aca="false">IF(Tasks[[#This Row],[Task Name]]="","",IF(Tasks[[#This Row],[_IsSummary]],MIN(INDEX(Tasks[_LeafLateStart],Tasks[[#This Row],[_Row]]+1):INDEX(Tasks[_LeafLateStart],Tasks[[#This Row],[_Row]]+Tasks[[#This Row],[_Descendants]])),Tasks[[#This Row],[_LeafLateStart]]))</f>
        <v>46302</v>
      </c>
      <c r="AU13" s="62" t="n">
        <f aca="false">IF(Tasks[[#This Row],[Task Name]]="","",IF(Tasks[[#This Row],[_IsSummary]],MAX(INDEX(Tasks[_LeafLateFinish],Tasks[[#This Row],[_Row]]+1):INDEX(Tasks[_LeafLateFinish],Tasks[[#This Row],[_Row]]+Tasks[[#This Row],[_Descendants]])),Tasks[[#This Row],[_LeafLateFinish]]))</f>
        <v>46302</v>
      </c>
      <c r="AV13" s="46" t="n">
        <f aca="false">IF(Tasks[[#This Row],[Task Name]]="","",IF(Tasks[[#This Row],[_IsSummary]],MIN(INDEX(Tasks[_LeafTotalSlack],Tasks[[#This Row],[_Row]]+1):INDEX(Tasks[_LeafTotalSlack],Tasks[[#This Row],[_Row]]+Tasks[[#This Row],[_Descendants]])),Tasks[[#This Row],[_LeafTotalSlack]]))</f>
        <v>1</v>
      </c>
      <c r="AW13"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4"/>
      <c r="BA13"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BB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v>
      </c>
      <c r="BC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BD13" s="21" t="str">
        <f aca="false">IF(Tasks[[#This Row],[Task Name]]="","",IF(Tasks[[#This Row],[_Level]]&lt;=OutlineShowLevel,"Yes","No"))</f>
        <v>Yes</v>
      </c>
      <c r="BE13" s="85" t="n">
        <f aca="false">IF(Tasks[[#This Row],[Task Name]]="","",IF(Tasks[[#This Row],[_IsSummary]],SUM(INDEX(Tasks[_LeafTotalWork],Tasks[[#This Row],[_Row]]+1):INDEX(Tasks[_LeafTotalWork],Tasks[[#This Row],[_Row]]+Tasks[[#This Row],[_Descendants]])),Tasks[[#This Row],[_LeafTotalWork]]))</f>
        <v>0</v>
      </c>
      <c r="BF13" s="23"/>
      <c r="BG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t="str">
        <f aca="false">""</f>
        <v/>
      </c>
      <c r="BI13" s="86"/>
      <c r="BJ13" s="22"/>
      <c r="BK13" s="46" t="n">
        <f aca="false">IF(OR(Tasks[[#This Row],[Task Name]]="",Tasks[[#This Row],[Baseline Duration]]=""),"",Tasks[[#This Row],[_SpanDays]]-N(Tasks[[#This Row],[Baseline Duration]]))</f>
        <v>0</v>
      </c>
      <c r="BL13" s="85" t="n">
        <f aca="false">IF(OR(Tasks[[#This Row],[Task Name]]="",Tasks[[#This Row],[Baseline Work]]=""),"",Tasks[[#This Row],[Work]]-N(Tasks[[#This Row],[Baseline Work]]))</f>
        <v>0</v>
      </c>
      <c r="BM13" s="62" t="n">
        <f aca="false">IF(Tasks[[#This Row],[Task Name]]="","",IF(OR(TakeBaseline="Yes",N(Tasks[[#This Row],[Baseline Start]])=0),Tasks[[#This Row],[Start]],Tasks[[#This Row],[Baseline Start]]))</f>
        <v>46296</v>
      </c>
      <c r="BN13" s="62" t="n">
        <f aca="false">IF(Tasks[[#This Row],[Task Name]]="","",IF(OR(TakeBaseline="Yes",N(Tasks[[#This Row],[Baseline Finish]])=0),Tasks[[#This Row],[Finish]],Tasks[[#This Row],[Baseline Finish]]))</f>
        <v>46296</v>
      </c>
      <c r="BO13" s="21" t="n">
        <f aca="false">IF(Tasks[[#This Row],[Task Name]]="","",IF(OR(TakeBaseline="Yes",N(Tasks[[#This Row],[Baseline Duration]])=0),Tasks[[#This Row],[_SpanDays]],Tasks[[#This Row],[Baseline Duration]]))</f>
        <v>0</v>
      </c>
      <c r="BP13" s="85" t="n">
        <f aca="false">IF(Tasks[[#This Row],[Task Name]]="","",IF(OR(TakeBaseline="Yes",N(Tasks[[#This Row],[Baseline Work]])=0),Tasks[[#This Row],[Work]],Tasks[[#This Row],[Baseline Work]]))</f>
        <v>0</v>
      </c>
      <c r="BQ13" s="7" t="n">
        <v>46296</v>
      </c>
      <c r="BR13" s="7" t="n">
        <v>46296</v>
      </c>
      <c r="BS13" s="22" t="n">
        <v>0</v>
      </c>
      <c r="BT13" s="87" t="n">
        <v>0</v>
      </c>
      <c r="BU13" s="42" t="n">
        <f aca="false">IF(Tasks[[#This Row],[Task Name]]="","",MAX(1,N(Tasks[[#This Row],[Level]])))</f>
        <v>2</v>
      </c>
      <c r="BV13" s="42" t="n">
        <f aca="false">ROW()-ROW(Tasks[[#Headers],[ID]])</f>
        <v>8</v>
      </c>
      <c r="BW13" s="42" t="n">
        <f aca="false">IF(OR(Tasks[[#This Row],[Task Name]]="",Tasks[[#This Row],[_Level]]&lt;=1),0,IFERROR(LOOKUP(2,1/(Tasks[[#Headers],[_Level]]:Tasks[[#This Row],[_Level]]=Tasks[[#This Row],[_Level]]-1),ROW(Tasks[[#Headers],[_Level]]:Tasks[[#This Row],[_Level]])),0))</f>
        <v>10</v>
      </c>
      <c r="BX13" s="42" t="n">
        <f aca="false">IFERROR(N(INDEX(Tasks[_Level],Tasks[[#This Row],[_Row]]+1)),0)</f>
        <v>1</v>
      </c>
      <c r="BY13" s="88" t="b">
        <f aca="false">AND(Tasks[[#This Row],[Task Name]]&lt;&gt;"",Tasks[[#This Row],[_NextLevel]]&gt;Tasks[[#This Row],[_Level]])</f>
        <v>0</v>
      </c>
      <c r="BZ13" s="42" t="n">
        <f aca="false">IF(Tasks[[#This Row],[_IsSummary]],COUNTIF(Tasks[WBS],Tasks[[#This Row],[WBS]]&amp;".*"),0)</f>
        <v>0</v>
      </c>
      <c r="CA13" s="42" t="n">
        <f aca="false">IF(AND(Tasks[[#This Row],[Task Name]]&lt;&gt;"",NOT(Tasks[[#This Row],[_IsSummary]])),1,0)</f>
        <v>1</v>
      </c>
      <c r="CB13" s="42" t="n">
        <f aca="false">IF(N(Tasks[[#This Row],[_Pred1UID]])=0,0,IFERROR(MATCH(Tasks[[#This Row],[_Pred1UID]],Tasks[UID],0),-1))</f>
        <v>7</v>
      </c>
      <c r="CC13" s="42" t="n">
        <f aca="false">IF(N(Tasks[[#This Row],[_Pred2UID]])=0,0,IFERROR(MATCH(Tasks[[#This Row],[_Pred2UID]],Tasks[UID],0),-1))</f>
        <v>0</v>
      </c>
      <c r="CD13" s="42" t="n">
        <f aca="false">IF(N(Tasks[[#This Row],[_Pred3UID]])=0,0,IFERROR(MATCH(Tasks[[#This Row],[_Pred3UID]],Tasks[UID],0),-1))</f>
        <v>0</v>
      </c>
      <c r="CE13" s="42" t="n">
        <f aca="false">IF(N(Tasks[[#This Row],[_Pred4UID]])=0,0,IFERROR(MATCH(Tasks[[#This Row],[_Pred4UID]],Tasks[UID],0),-1))</f>
        <v>0</v>
      </c>
      <c r="CF13"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 s="89" t="n">
        <f aca="false">IF(OR(Tasks[[#This Row],[_ConstraintCode]]=2,Tasks[[#This Row],[_ConstraintCode]]=3,Tasks[[#This Row],[_ConstraintCode]]=4,Tasks[[#This Row],[_ConstraintCode]]=6),Tasks[[#This Row],[_ConstraintStart]],0)</f>
        <v>0</v>
      </c>
      <c r="CI13" s="89" t="n">
        <f aca="false">IF(OR(Tasks[[#This Row],[_ConstraintCode]]=2,Tasks[[#This Row],[_ConstraintCode]]=3,Tasks[[#This Row],[_ConstraintCode]]=5,Tasks[[#This Row],[_ConstraintCode]]=7),Tasks[[#This Row],[_ConstraintStart]],2958465)</f>
        <v>2958465</v>
      </c>
      <c r="CJ13"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K13" s="89" t="n">
        <f aca="false">IF(NOT(Tasks[[#This Row],[_IsLeaf]]=1),"",IF(N(Tasks[[#This Row],[_Days]])&lt;=0,Tasks[[#This Row],[_LeafCalcStart]],WORKDAY.INTL(Tasks[[#This Row],[_LeafCalcStart]],Tasks[[#This Row],[_Days]]-1,WorkWeek,Holidays)))</f>
        <v>46296</v>
      </c>
      <c r="CL13"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M13"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46301</v>
      </c>
      <c r="CN13" s="42" t="str">
        <f aca="false">IF(Tasks[[#This Row],[_Predecessors]]="","",TRIM(MID(SUBSTITUTE(SUBSTITUTE(SUBSTITUTE(UPPER(Tasks[[#This Row],[_Predecessors]]),";",",")," ",""),",",REPT(" ",99)),1,99)))</f>
        <v>8</v>
      </c>
      <c r="CO13" s="42" t="n">
        <f aca="false">IF(Tasks[[#This Row],[_Pred1Text]]="","",IFERROR(VALUE(LEFT(Tasks[[#This Row],[_Pred1Text]],MIN(FIND("F",Tasks[[#This Row],[_Pred1Text]]&amp;"F"),FIND("S",Tasks[[#This Row],[_Pred1Text]]&amp;"S"),FIND("+",Tasks[[#This Row],[_Pred1Text]]&amp;"+"),FIND("-",Tasks[[#This Row],[_Pred1Text]]&amp;"-"))-1)),""))</f>
        <v>8</v>
      </c>
      <c r="CP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3"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3" s="42" t="str">
        <f aca="false">IF(Tasks[[#This Row],[_Pred1Text]]="","",TRIM(MID(SUBSTITUTE(SUBSTITUTE(SUBSTITUTE(UPPER(Tasks[[#This Row],[_Predecessors]]),";",",")," ",""),",",REPT(" ",99)),100,99)))</f>
        <v/>
      </c>
      <c r="CS13" s="42" t="str">
        <f aca="false">IF(Tasks[[#This Row],[_Pred2Text]]="","",IFERROR(VALUE(LEFT(Tasks[[#This Row],[_Pred2Text]],MIN(FIND("F",Tasks[[#This Row],[_Pred2Text]]&amp;"F"),FIND("S",Tasks[[#This Row],[_Pred2Text]]&amp;"S"),FIND("+",Tasks[[#This Row],[_Pred2Text]]&amp;"+"),FIND("-",Tasks[[#This Row],[_Pred2Text]]&amp;"-"))-1)),""))</f>
        <v/>
      </c>
      <c r="CT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 s="42" t="str">
        <f aca="false">IF(Tasks[[#This Row],[_Pred2Text]]="","",TRIM(MID(SUBSTITUTE(SUBSTITUTE(SUBSTITUTE(UPPER(Tasks[[#This Row],[_Predecessors]]),";",",")," ",""),",",REPT(" ",99)),199,99)))</f>
        <v/>
      </c>
      <c r="CW13" s="42" t="str">
        <f aca="false">IF(Tasks[[#This Row],[_Pred3Text]]="","",IFERROR(VALUE(LEFT(Tasks[[#This Row],[_Pred3Text]],MIN(FIND("F",Tasks[[#This Row],[_Pred3Text]]&amp;"F"),FIND("S",Tasks[[#This Row],[_Pred3Text]]&amp;"S"),FIND("+",Tasks[[#This Row],[_Pred3Text]]&amp;"+"),FIND("-",Tasks[[#This Row],[_Pred3Text]]&amp;"-"))-1)),""))</f>
        <v/>
      </c>
      <c r="CX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 s="42" t="str">
        <f aca="false">IF(Tasks[[#This Row],[_Pred3Text]]="","",TRIM(MID(SUBSTITUTE(SUBSTITUTE(SUBSTITUTE(UPPER(Tasks[[#This Row],[_Predecessors]]),";",",")," ",""),",",REPT(" ",99)),298,99)))</f>
        <v/>
      </c>
      <c r="DA13" s="42" t="str">
        <f aca="false">IF(Tasks[[#This Row],[_Pred4Text]]="","",IFERROR(VALUE(LEFT(Tasks[[#This Row],[_Pred4Text]],MIN(FIND("F",Tasks[[#This Row],[_Pred4Text]]&amp;"F"),FIND("S",Tasks[[#This Row],[_Pred4Text]]&amp;"S"),FIND("+",Tasks[[#This Row],[_Pred4Text]]&amp;"+"),FIND("-",Tasks[[#This Row],[_Pred4Text]]&amp;"-"))-1)),""))</f>
        <v/>
      </c>
      <c r="DB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 s="42" t="str">
        <f aca="false">IF(OR(Tasks[[#This Row],[Task Name]]="",Tasks[[#This Row],[_Resources]]=""),"",TRIM(MID(SUBSTITUTE(Tasks[[#This Row],[_Resources]],",",REPT(" ",99)),1,99)))</f>
        <v/>
      </c>
      <c r="DE13" s="42" t="str">
        <f aca="false">IF(Tasks[[#This Row],[_Res1Text]]="","",TRIM(MID(SUBSTITUTE(Tasks[[#This Row],[_Resources]],",",REPT(" ",99)),100,99)))</f>
        <v/>
      </c>
      <c r="DF13" s="42" t="str">
        <f aca="false">IF(Tasks[[#This Row],[_Res2Text]]="","",TRIM(MID(SUBSTITUTE(Tasks[[#This Row],[_Resources]],",",REPT(" ",99)),199,99)))</f>
        <v/>
      </c>
      <c r="DG13" s="42" t="str">
        <f aca="false">IF(Tasks[[#This Row],[_Res3Text]]="","",TRIM(MID(SUBSTITUTE(Tasks[[#This Row],[_Resources]],",",REPT(" ",99)),298,99)))</f>
        <v/>
      </c>
      <c r="DH13" s="42" t="n">
        <f aca="false">IF(Tasks[[#This Row],[_Res1Text]]="",0,IFERROR(MATCH(TRIM(LEFT(Tasks[[#This Row],[_Res1Text]],FIND("[",Tasks[[#This Row],[_Res1Text]]&amp;"[")-1)),res_Name,0),IFERROR(MATCH(TRIM(LEFT(Tasks[[#This Row],[_Res1Text]],FIND("[",Tasks[[#This Row],[_Res1Text]]&amp;"[")-1)),res_Initials,0),0)))</f>
        <v>0</v>
      </c>
      <c r="DI13" s="42" t="n">
        <f aca="false">IF(Tasks[[#This Row],[_Res2Text]]="",0,IFERROR(MATCH(TRIM(LEFT(Tasks[[#This Row],[_Res2Text]],FIND("[",Tasks[[#This Row],[_Res2Text]]&amp;"[")-1)),res_Name,0),IFERROR(MATCH(TRIM(LEFT(Tasks[[#This Row],[_Res2Text]],FIND("[",Tasks[[#This Row],[_Res2Text]]&amp;"[")-1)),res_Initials,0),0)))</f>
        <v>0</v>
      </c>
      <c r="DJ13" s="42" t="n">
        <f aca="false">IF(Tasks[[#This Row],[_Res3Text]]="",0,IFERROR(MATCH(TRIM(LEFT(Tasks[[#This Row],[_Res3Text]],FIND("[",Tasks[[#This Row],[_Res3Text]]&amp;"[")-1)),res_Name,0),IFERROR(MATCH(TRIM(LEFT(Tasks[[#This Row],[_Res3Text]],FIND("[",Tasks[[#This Row],[_Res3Text]]&amp;"[")-1)),res_Initials,0),0)))</f>
        <v>0</v>
      </c>
      <c r="DK13" s="42" t="n">
        <f aca="false">IF(Tasks[[#This Row],[_Res4Text]]="",0,IFERROR(MATCH(TRIM(LEFT(Tasks[[#This Row],[_Res4Text]],FIND("[",Tasks[[#This Row],[_Res4Text]]&amp;"[")-1)),res_Name,0),IFERROR(MATCH(TRIM(LEFT(Tasks[[#This Row],[_Res4Text]],FIND("[",Tasks[[#This Row],[_Res4Text]]&amp;"[")-1)),res_Initials,0),0)))</f>
        <v>0</v>
      </c>
      <c r="DL13" s="42" t="str">
        <f aca="false">IF(Tasks[[#This Row],[_Res1Text]]="","",IF(Tasks[[#This Row],[_Res1Row]]&gt;0,INDEX(res_Name,Tasks[[#This Row],[_Res1Row]]),TRIM(LEFT(Tasks[[#This Row],[_Res1Text]],FIND("[",Tasks[[#This Row],[_Res1Text]]&amp;"[")-1))))</f>
        <v/>
      </c>
      <c r="DM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 s="42" t="n">
        <f aca="false">IF(NOT(Tasks[[#This Row],[_IsLeaf]]=1),0,(Tasks[[#This Row],[_Resource1]]&lt;&gt;"")+(Tasks[[#This Row],[_Res2]]&lt;&gt;"")+(Tasks[[#This Row],[_Res3]]&lt;&gt;"")+(Tasks[[#This Row],[_Res4]]&lt;&gt;""))</f>
        <v>0</v>
      </c>
      <c r="DO13" s="42" t="str">
        <f aca="false">IF(Tasks[[#This Row],[_Res2Text]]="","",IF(Tasks[[#This Row],[_Res2Row]]&gt;0,INDEX(res_Name,Tasks[[#This Row],[_Res2Row]]),TRIM(LEFT(Tasks[[#This Row],[_Res2Text]],FIND("[",Tasks[[#This Row],[_Res2Text]]&amp;"[")-1))))</f>
        <v/>
      </c>
      <c r="DP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 s="42" t="n">
        <f aca="false">IF(OR(NOT(Tasks[[#This Row],[_IsLeaf]]=1),Tasks[[#This Row],[_Res2Row]]=0),0,N(Tasks[[#This Row],[_Days]])*HoursPerDay*IF(Tasks[[#This Row],[_Res2Units]]="",DefaultUnits,Tasks[[#This Row],[_Res2Units]]))</f>
        <v>0</v>
      </c>
      <c r="DR13" s="42" t="n">
        <f aca="false">IF(AND(AND(Tasks[[#This Row],[_IsLeaf]]=1,Tasks[[#This Row],[_LeafTotalWork]]&gt;0),Tasks[[#This Row],[_Res2Work]]&gt;0),Tasks[[#This Row],[_Res2Work]]/(Tasks[[#This Row],[_FinishWorkday]]-Tasks[[#This Row],[_StartWorkday]]+1),0)</f>
        <v>0</v>
      </c>
      <c r="DS13" s="42" t="n">
        <f aca="false">Tasks[[#This Row],[_Res2WorkPerWD]]*MAX(0,Tasks[[#This Row],[_StartWorkday]]-1)</f>
        <v>0</v>
      </c>
      <c r="DT13" s="42" t="n">
        <f aca="false">Tasks[[#This Row],[_Res2Work]]*Tasks[[#This Row],[_LeafProgress]]</f>
        <v>0</v>
      </c>
      <c r="DU13" s="42" t="str">
        <f aca="false">IF(Tasks[[#This Row],[_Res3Text]]="","",IF(Tasks[[#This Row],[_Res3Row]]&gt;0,INDEX(res_Name,Tasks[[#This Row],[_Res3Row]]),TRIM(LEFT(Tasks[[#This Row],[_Res3Text]],FIND("[",Tasks[[#This Row],[_Res3Text]]&amp;"[")-1))))</f>
        <v/>
      </c>
      <c r="DV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 s="42" t="n">
        <f aca="false">IF(OR(NOT(Tasks[[#This Row],[_IsLeaf]]=1),Tasks[[#This Row],[_Res3Row]]=0),0,N(Tasks[[#This Row],[_Days]])*HoursPerDay*IF(Tasks[[#This Row],[_Res3Units]]="",DefaultUnits,Tasks[[#This Row],[_Res3Units]]))</f>
        <v>0</v>
      </c>
      <c r="DX13" s="42" t="n">
        <f aca="false">IF(AND(AND(Tasks[[#This Row],[_IsLeaf]]=1,Tasks[[#This Row],[_LeafTotalWork]]&gt;0),Tasks[[#This Row],[_Res3Work]]&gt;0),Tasks[[#This Row],[_Res3Work]]/(Tasks[[#This Row],[_FinishWorkday]]-Tasks[[#This Row],[_StartWorkday]]+1),0)</f>
        <v>0</v>
      </c>
      <c r="DY13" s="42" t="n">
        <f aca="false">Tasks[[#This Row],[_Res3WorkPerWD]]*MAX(0,Tasks[[#This Row],[_StartWorkday]]-1)</f>
        <v>0</v>
      </c>
      <c r="DZ13" s="42" t="n">
        <f aca="false">Tasks[[#This Row],[_Res3Work]]*Tasks[[#This Row],[_LeafProgress]]</f>
        <v>0</v>
      </c>
      <c r="EA13" s="42" t="str">
        <f aca="false">IF(Tasks[[#This Row],[_Res4Text]]="","",IF(Tasks[[#This Row],[_Res4Row]]&gt;0,INDEX(res_Name,Tasks[[#This Row],[_Res4Row]]),TRIM(LEFT(Tasks[[#This Row],[_Res4Text]],FIND("[",Tasks[[#This Row],[_Res4Text]]&amp;"[")-1))))</f>
        <v/>
      </c>
      <c r="EB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 s="42" t="n">
        <f aca="false">IF(OR(NOT(Tasks[[#This Row],[_IsLeaf]]=1),Tasks[[#This Row],[_Res4Row]]=0),0,N(Tasks[[#This Row],[_Days]])*HoursPerDay*IF(Tasks[[#This Row],[_Res4Units]]="",DefaultUnits,Tasks[[#This Row],[_Res4Units]]))</f>
        <v>0</v>
      </c>
      <c r="ED13" s="42" t="n">
        <f aca="false">IF(AND(AND(Tasks[[#This Row],[_IsLeaf]]=1,Tasks[[#This Row],[_LeafTotalWork]]&gt;0),Tasks[[#This Row],[_Res4Work]]&gt;0),Tasks[[#This Row],[_Res4Work]]/(Tasks[[#This Row],[_FinishWorkday]]-Tasks[[#This Row],[_StartWorkday]]+1),0)</f>
        <v>0</v>
      </c>
      <c r="EE13" s="42" t="n">
        <f aca="false">Tasks[[#This Row],[_Res4WorkPerWD]]*MAX(0,Tasks[[#This Row],[_StartWorkday]]-1)</f>
        <v>0</v>
      </c>
      <c r="EF13" s="42" t="n">
        <f aca="false">Tasks[[#This Row],[_Res4Work]]*Tasks[[#This Row],[_LeafProgress]]</f>
        <v>0</v>
      </c>
      <c r="EG13" s="92" t="n">
        <f aca="false">IF(ISNUMBER(Tasks[[#This Row],[% Complete]]),Tasks[[#This Row],[% Complete]],IF(Tasks[[#This Row],[Stage]]="",0,IFERROR(INDEX(stg_Pct,MATCH(Tasks[[#This Row],[Stage]],stg_Name,0)),0)))</f>
        <v>1</v>
      </c>
      <c r="EH13" s="42" t="n">
        <f aca="false">IF(NOT(Tasks[[#This Row],[_IsLeaf]]=1),0,IF(N(Tasks[[#This Row],[Actual Finish]])&gt;0,1,MIN(1,Tasks[[#This Row],[_Pct]])))</f>
        <v>1</v>
      </c>
      <c r="EI13" s="42" t="n">
        <f aca="false">IF(OR(NOT(Tasks[[#This Row],[_IsLeaf]]=1),Tasks[[#This Row],[_Res1Row]]=0),0,N(Tasks[[#This Row],[_Days]])*HoursPerDay*IF(Tasks[[#This Row],[_Units1]]="",DefaultUnits,Tasks[[#This Row],[_Units1]]))</f>
        <v>0</v>
      </c>
      <c r="EJ13" s="42" t="n">
        <f aca="false">Tasks[[#This Row],[_LeafWork]]+Tasks[[#This Row],[_Res2Work]]+Tasks[[#This Row],[_Res3Work]]+Tasks[[#This Row],[_Res4Work]]</f>
        <v>0</v>
      </c>
      <c r="EK13"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 s="42" t="n">
        <f aca="false">IF(NOT(Tasks[[#This Row],[_IsLeaf]]=1),0,MAX(_xlfn.MAXIFS(Tasks[_Row],Tasks[_Pred1UID],Tasks[[#This Row],[UID]]),_xlfn.MAXIFS(Tasks[_Row],Tasks[_Pred2UID],Tasks[[#This Row],[UID]]),_xlfn.MAXIFS(Tasks[_Row],Tasks[_Pred3UID],Tasks[[#This Row],[UID]]),_xlfn.MAXIFS(Tasks[_Row],Tasks[_Pred4UID],Tasks[[#This Row],[UID]])))</f>
        <v>10</v>
      </c>
      <c r="ET13"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46302</v>
      </c>
      <c r="EU13"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46302</v>
      </c>
      <c r="EV13" s="89" t="n">
        <f aca="false">IF(NOT(Tasks[[#This Row],[_IsLeaf]]=1),"",IF(N(Tasks[[#This Row],[_Days]])&lt;=0,Tasks[[#This Row],[_LeafLateFinish]],WORKDAY.INTL(Tasks[[#This Row],[_LeafLateFinish]],-(Tasks[[#This Row],[_Days]]-1),WorkWeek,Holidays)))</f>
        <v>46302</v>
      </c>
      <c r="EW13"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X13" s="88" t="b">
        <f aca="false">AND(Tasks[[#This Row],[_IsLeaf]]=1,Tasks[[#This Row],[_LeafProgress]]&lt;1,N(Tasks[[#This Row],[_LeafTotalSlack]])&lt;=CriticalSlackDays)</f>
        <v>0</v>
      </c>
      <c r="EY13" s="42" t="n">
        <f aca="false">IF(AND(Tasks[[#This Row],[_IsLeaf]]=1,Tasks[[#This Row],[_ConstraintCode]]=1,Tasks[[#This Row],[Mode]]&lt;&gt;"Manual",N(Tasks[[#This Row],[Actual Start]])=0),MAX(0,N(Tasks[[#This Row],[Free Slack]])),0)</f>
        <v>0</v>
      </c>
      <c r="EZ13" s="89" t="n">
        <f aca="false">IF(NOT(Tasks[[#This Row],[_IsLeaf]]=1),"",IF(Tasks[[#This Row],[_AlapShift]]=0,Tasks[[#This Row],[_LeafCalcStart]],WORKDAY.INTL(Tasks[[#This Row],[_LeafCalcStart]],Tasks[[#This Row],[_AlapShift]],WorkWeek,Holidays)))</f>
        <v>46296</v>
      </c>
      <c r="FA13" s="89" t="n">
        <f aca="false">IF(NOT(Tasks[[#This Row],[_IsLeaf]]=1),"",IF(Tasks[[#This Row],[_AlapShift]]=0,Tasks[[#This Row],[_LeafCalcFinish]],WORKDAY.INTL(Tasks[[#This Row],[_LeafCalcFinish]],Tasks[[#This Row],[_AlapShift]],WorkWeek,Holidays)))</f>
        <v>46296</v>
      </c>
      <c r="FB13" s="89" t="n">
        <f aca="false">IF(NOT(Tasks[[#This Row],[_IsLeaf]]=1),"",IF(Tasks[[#This Row],[_AlapShift]]=0,Tasks[[#This Row],[_LeafFcstStart]],WORKDAY.INTL(Tasks[[#This Row],[_LeafFcstStart]],Tasks[[#This Row],[_AlapShift]],WorkWeek,Holidays)))</f>
        <v>46301</v>
      </c>
      <c r="FC13" s="89" t="n">
        <f aca="false">IF(NOT(Tasks[[#This Row],[_IsLeaf]]=1),"",IF(Tasks[[#This Row],[_AlapShift]]=0,Tasks[[#This Row],[_LeafFcstFinish]],WORKDAY.INTL(Tasks[[#This Row],[_LeafFcstFinish]],Tasks[[#This Row],[_AlapShift]],WorkWeek,Holidays)))</f>
        <v>46301</v>
      </c>
      <c r="FD13" s="89" t="n">
        <f aca="false">IF(Tasks[[#This Row],[Task Name]]="","",IF(Tasks[[#This Row],[_IsSummary]],MIN(INDEX(Tasks[_ShownCalcStart],Tasks[[#This Row],[_Row]]+1):INDEX(Tasks[_ShownCalcStart],Tasks[[#This Row],[_Row]]+Tasks[[#This Row],[_Descendants]])),Tasks[[#This Row],[_ShownCalcStart]]))</f>
        <v>46296</v>
      </c>
      <c r="FE13" s="89" t="n">
        <f aca="false">IF(Tasks[[#This Row],[Task Name]]="","",IF(Tasks[[#This Row],[_IsSummary]],MAX(INDEX(Tasks[_ShownCalcFinish],Tasks[[#This Row],[_Row]]+1):INDEX(Tasks[_ShownCalcFinish],Tasks[[#This Row],[_Row]]+Tasks[[#This Row],[_Descendants]])),Tasks[[#This Row],[_ShownCalcFinish]]))</f>
        <v>46296</v>
      </c>
      <c r="FF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46296</v>
      </c>
      <c r="FK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46301</v>
      </c>
      <c r="FO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 s="42" t="n">
        <f aca="false">IF(AND(Tasks[[#This Row],[_IsLeaf]]=1,Tasks[[#This Row],[_LeafTotalWork]]&gt;0),NETWORKDAYS.INTL(ProjectStart,Tasks[[#This Row],[_ShownFcstStart]],WorkWeek,Holidays),0)</f>
        <v>0</v>
      </c>
      <c r="FS13" s="42" t="n">
        <f aca="false">IF(AND(Tasks[[#This Row],[_IsLeaf]]=1,Tasks[[#This Row],[_LeafTotalWork]]&gt;0),MAX(Tasks[[#This Row],[_StartWorkday]],NETWORKDAYS.INTL(ProjectStart,Tasks[[#This Row],[_ShownFcstFinish]],WorkWeek,Holidays)),0)</f>
        <v>0</v>
      </c>
      <c r="FT13" s="42" t="n">
        <f aca="false">IF(AND(Tasks[[#This Row],[_IsLeaf]]=1,Tasks[[#This Row],[_LeafTotalWork]]&gt;0),Tasks[[#This Row],[_LeafWork]]/(Tasks[[#This Row],[_FinishWorkday]]-Tasks[[#This Row],[_StartWorkday]]+1),0)</f>
        <v>0</v>
      </c>
      <c r="FU13" s="42" t="n">
        <f aca="false">Tasks[[#This Row],[_WorkPerWorkday]]*(Tasks[[#This Row],[_StartWorkday]]-1)</f>
        <v>-0</v>
      </c>
      <c r="FV13" s="42" t="n">
        <f aca="false">IF(Tasks[[#This Row],[_IsLeaf]]=1,MAX(N(Tasks[[#This Row],[_Days]]),0.1),0)</f>
        <v>0.1</v>
      </c>
      <c r="FW13" s="42" t="n">
        <f aca="false">Tasks[[#This Row],[_WeightDur]]*Tasks[[#This Row],[_LeafProgress]]</f>
        <v>0.1</v>
      </c>
      <c r="FX13" s="42" t="n">
        <f aca="false">Tasks[[#This Row],[_WeightDur]]*Tasks[[#This Row],[_PlannedPct]]</f>
        <v>0.1</v>
      </c>
      <c r="FY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8</v>
      </c>
      <c r="FZ13" s="42" t="str">
        <f aca="false">IF(AND(Tasks[[#This Row],[_IsLeaf]]=1,N(Tasks[[#This Row],[_Days]])=0,Tasks[[#This Row],[_LeafProgress]]&lt;1),Tasks[[#This Row],[_ShownFcstFinish]]+Tasks[[#This Row],[_Row]]/100000,"")</f>
        <v/>
      </c>
      <c r="GA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3" s="42" t="str">
        <f aca="false">IF(Tasks[[#This Row],[Task Name]]="","",LEFT(Tasks[[#This Row],[WBS]],FIND(".",Tasks[[#This Row],[WBS]]&amp;".")-1))</f>
        <v>2</v>
      </c>
      <c r="GC13" s="42" t="str">
        <f aca="false">IF(AND(Tasks[[#This Row],[Task Name]]&lt;&gt;"",Tasks[[#This Row],[_Level]]=1),Tasks[[#This Row],[_Row]],"")</f>
        <v/>
      </c>
      <c r="GD13" s="93" t="n">
        <f aca="false">IF(AND(Tasks[[#This Row],[_IsLeaf]]=1,N(Tasks[[#This Row],[_Days]])=0),Tasks[[#This Row],[Planned Finish]]+Tasks[[#This Row],[_Row]]/100000,"")</f>
        <v>46296.00008</v>
      </c>
      <c r="GE13" s="42" t="str">
        <f aca="false">IF(AND(Tasks[[#This Row],[_IsLeaf]]=1,Tasks[[#This Row],[_LeafProgress]]&lt;1,OR(N(Tasks[[#This Row],[Finish Var]])&gt;0,Tasks[[#This Row],[Status]]="Late Start")),MAX(0,Tasks[[#This Row],[Finish Var]])+1-Tasks[[#This Row],[_Row]]/1000000,"")</f>
        <v/>
      </c>
      <c r="GF13" s="42" t="str">
        <f aca="false">IF(AND(Tasks[[#This Row],[_IsLeaf]]=1,N(Tasks[[#This Row],[Actual Start]])=0,Tasks[[#This Row],[_ShownFcstStart]]&gt;=StatusDate,Tasks[[#This Row],[_ShownFcstStart]]&lt;=LookaheadEnd),Tasks[[#This Row],[_ShownFcstStart]]+Tasks[[#This Row],[_Row]]/100000,"")</f>
        <v/>
      </c>
      <c r="GG13" s="42" t="str">
        <f aca="false">IF(AND(Tasks[[#This Row],[_IsLeaf]]=1,Tasks[[#This Row],[_LeafProgress]]&lt;1,Tasks[[#This Row],[_ShownFcstFinish]]&gt;=StatusDate,Tasks[[#This Row],[_ShownFcstFinish]]&lt;=LookaheadEnd),Tasks[[#This Row],[_ShownFcstFinish]]+Tasks[[#This Row],[_Row]]/100000,"")</f>
        <v/>
      </c>
      <c r="GH13" s="42" t="str">
        <f aca="false">IF(Tasks[[#This Row],[_LeafCritical]],Tasks[[#This Row],[_ShownFcstStart]]+Tasks[[#This Row],[_Row]]/100000,"")</f>
        <v/>
      </c>
      <c r="GI13" s="42" t="n">
        <f aca="false">Tasks[[#This Row],[_LeafWork]]*Tasks[[#This Row],[_LeafProgress]]</f>
        <v>0</v>
      </c>
      <c r="GJ13" s="89" t="n">
        <f aca="false">IF(AND(Tasks[[#This Row],[_IsLeaf]]=1,Tasks[[#This Row],[_LeafProgress]]&gt;=1),IF(N(Tasks[[#This Row],[Actual Finish]])&gt;0,Tasks[[#This Row],[Actual Finish]],Tasks[[#This Row],[_ShownFcstFinish]]),"")</f>
        <v>46301</v>
      </c>
      <c r="GK13" s="42" t="n">
        <f aca="false">IF(Tasks[[#This Row],[_IsLeaf]]=1,N(Tasks[[#This Row],[Story Points]]),0)</f>
        <v>0</v>
      </c>
      <c r="GL13" s="42" t="str">
        <f aca="false">""</f>
        <v/>
      </c>
      <c r="GM13" s="88" t="b">
        <f aca="false">IF(Tasks[[#This Row],[Task Name]]="",FALSE(),AND(Tasks[[#This Row],[_IsLeaf]]=1,N(Tasks[[#This Row],[_Days]])=0))</f>
        <v>1</v>
      </c>
      <c r="GN13" s="89" t="n">
        <f aca="false">IF(Tasks[[#This Row],[Task Name]]="",0,IF(AND(Tasks[[#This Row],[_IsLeaf]]=1,NOT(Tasks[[#This Row],[_IsMilestone]]),N(Tasks[[#This Row],[Progress]])&gt;0),Tasks[[#This Row],[Start]],0))</f>
        <v>0</v>
      </c>
      <c r="GO13" s="89" t="n">
        <f aca="false">IF(Tasks[[#This Row],[_DoneFrom]]=0,0,IF(Tasks[[#This Row],[Progress]]&gt;=1,Tasks[[#This Row],[Finish]],MAX(Tasks[[#This Row],[_DoneFrom]],Tasks[[#This Row],[Start]]+ROUND((Tasks[[#This Row],[Finish]]-Tasks[[#This Row],[Start]]+1)*Tasks[[#This Row],[Progress]],0)-1)))</f>
        <v>0</v>
      </c>
      <c r="GP13" s="89" t="n">
        <f aca="false">IF(Tasks[[#This Row],[Task Name]]="",0,IF(OR(NOT(Tasks[[#This Row],[_IsLeaf]]=1),Tasks[[#This Row],[_IsMilestone]],N(Tasks[[#This Row],[Progress]])&gt;=1),0,IF(Tasks[[#This Row],[_DoneTo]]&gt;0,Tasks[[#This Row],[_DoneTo]]+1,Tasks[[#This Row],[Start]])))</f>
        <v>0</v>
      </c>
      <c r="GQ13" s="89" t="n">
        <f aca="false">IF(Tasks[[#This Row],[_RemFrom]]=0,0,Tasks[[#This Row],[Finish]])</f>
        <v>0</v>
      </c>
      <c r="GR13" s="88" t="b">
        <f aca="false">IF(Tasks[[#This Row],[Task Name]]="",FALSE(),OR(NOT(BaselineSet),N(Tasks[[#This Row],[Baseline Start]])&gt;0))</f>
        <v>1</v>
      </c>
      <c r="GS13"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8</v>
      </c>
      <c r="GU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 s="90" t="n">
        <f aca="false">IF(Tasks[[#This Row],[_IsLeaf]]=1,Tasks[[#This Row],[_Row]],"")</f>
        <v>8</v>
      </c>
      <c r="GW13" s="90" t="str">
        <f aca="false">IFERROR(INDEX(Tasks[UID],SMALL(Tasks[_PickKey],Tasks[[#This Row],[_Row]]))&amp;" "&amp;INDEX(Tasks[Task Name],SMALL(Tasks[_PickKey],Tasks[[#This Row],[_Row]])),"")</f>
        <v>24 Go-live readiness review</v>
      </c>
      <c r="GX13" s="42" t="n">
        <f aca="false">IF(Tasks[[#This Row],[Task Name]]="","",IF(Tasks[[#This Row],[_IsSummary]],NETWORKDAYS.INTL(Tasks[[#This Row],[Start]],Tasks[[#This Row],[Finish]],WorkWeek,Holidays),N(Tasks[[#This Row],[_Days]])))</f>
        <v>0</v>
      </c>
    </row>
    <row r="14" customFormat="false" ht="15" hidden="false" customHeight="false" outlineLevel="0" collapsed="false">
      <c r="A14" s="21" t="n">
        <f aca="false">IF(Tasks[[#This Row],[Task Name]]="","",COUNTA(Tasks[[#Headers],[Task Name]]:Tasks[[#This Row],[Task Name]])-1)</f>
        <v>9</v>
      </c>
      <c r="B14" s="22" t="n">
        <v>20</v>
      </c>
      <c r="C14" s="22" t="n">
        <v>1</v>
      </c>
      <c r="D14" s="23" t="s">
        <v>622</v>
      </c>
      <c r="E14" s="22"/>
      <c r="F14" s="23"/>
      <c r="G14" s="22"/>
      <c r="H14" s="22"/>
      <c r="I14" s="23"/>
      <c r="J14" s="22"/>
      <c r="K14" s="22"/>
      <c r="L14" s="23"/>
      <c r="M14" s="22"/>
      <c r="N14" s="22"/>
      <c r="O14" s="23"/>
      <c r="P14" s="22"/>
      <c r="Q14" s="22"/>
      <c r="R14" s="23"/>
      <c r="S14" s="23"/>
      <c r="T14" s="83"/>
      <c r="U14" s="23"/>
      <c r="V14" s="83"/>
      <c r="W14" s="23"/>
      <c r="X14" s="83"/>
      <c r="Y14" s="23"/>
      <c r="Z14" s="83"/>
      <c r="AA14" s="23"/>
      <c r="AB14" s="23"/>
      <c r="AC14" s="7"/>
      <c r="AD14" s="7"/>
      <c r="AE14" s="62" t="n">
        <f aca="false">IF(Tasks[[#This Row],[Task Name]]="","",IF(Tasks[[#This Row],[_IsSummary]],MIN(INDEX(Tasks[_ShownFcstStart],Tasks[[#This Row],[_Row]]+1):INDEX(Tasks[_ShownFcstStart],Tasks[[#This Row],[_Row]]+Tasks[[#This Row],[_Descendants]])),Tasks[[#This Row],[_ShownFcstStart]]))</f>
        <v>46302</v>
      </c>
      <c r="AF14" s="62" t="n">
        <f aca="false">IF(Tasks[[#This Row],[Task Name]]="","",IF(Tasks[[#This Row],[_IsSummary]],MAX(INDEX(Tasks[_ShownFcstFinish],Tasks[[#This Row],[_Row]]+1):INDEX(Tasks[_ShownFcstFinish],Tasks[[#This Row],[_Row]]+Tasks[[#This Row],[_Descendants]])),Tasks[[#This Row],[_ShownFcstFinish]]))</f>
        <v>46324</v>
      </c>
      <c r="AG14" s="21" t="str">
        <f aca="false">""</f>
        <v/>
      </c>
      <c r="AH14" s="23"/>
      <c r="AI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 s="7"/>
      <c r="AK14" s="22" t="s">
        <v>235</v>
      </c>
      <c r="AL14" s="23"/>
      <c r="AM14" s="7"/>
      <c r="AN14" s="46" t="n">
        <f aca="false">IF(Tasks[[#This Row],[Task Name]]="","",IF(Tasks[[#This Row],[Finish]]&gt;=Tasks[[#This Row],[Planned Finish]],NETWORKDAYS.INTL(Tasks[[#This Row],[Planned Finish]],Tasks[[#This Row],[Finish]],WorkWeek,Holidays)-1,1-NETWORKDAYS.INTL(Tasks[[#This Row],[Finish]],Tasks[[#This Row],[Planned Finish]],WorkWeek,Holidays)))</f>
        <v>4</v>
      </c>
      <c r="AO14" s="21" t="str">
        <f aca="false">IF(Tasks[[#This Row],[Task Name]]="","",IF(Tasks[[#This Row],[Progress]]&gt;=1,"Complete",IF(OR(N(Tasks[[#This Row],[Actual Start]])&gt;0,Tasks[[#This Row],[Progress]]&gt;0),IF(Tasks[[#This Row],[Finish Var]]&gt;0,"Behind","In Progress"),IF(Tasks[[#This Row],[Planned Start]]&lt;StatusDate,"Late Start","Not Started"))))</f>
        <v>Behind</v>
      </c>
      <c r="AP14" s="21" t="str">
        <f aca="false">IF(Tasks[[#This Row],[Task Name]]="","",IF(IF(Tasks[[#This Row],[_IsSummary]],COUNTIF(INDEX(Tasks[_LeafCritical],Tasks[[#This Row],[_Row]]+1):INDEX(Tasks[_LeafCritical],Tasks[[#This Row],[_Row]]+Tasks[[#This Row],[_Descendants]]),TRUE())&gt;0,Tasks[[#This Row],[_LeafCritical]]),"Yes",""))</f>
        <v>Yes</v>
      </c>
      <c r="AQ14" s="62" t="n">
        <f aca="false">IF(Tasks[[#This Row],[Task Name]]="","",IF(N(Tasks[[#This Row],[Baseline Start]])&gt;0,Tasks[[#This Row],[Baseline Start]],Tasks[[#This Row],[_CalcStart]]))</f>
        <v>46297</v>
      </c>
      <c r="AR14" s="62" t="n">
        <f aca="false">IF(Tasks[[#This Row],[Task Name]]="","",IF(N(Tasks[[#This Row],[Baseline Finish]])&gt;0,Tasks[[#This Row],[Baseline Finish]],Tasks[[#This Row],[_CalcFinish]]))</f>
        <v>46318</v>
      </c>
      <c r="AS14" s="46" t="n">
        <f aca="false">IF(Tasks[[#This Row],[Task Name]]="","",IF(Tasks[[#This Row],[Start]]&gt;=Tasks[[#This Row],[Planned Start]],NETWORKDAYS.INTL(Tasks[[#This Row],[Planned Start]],Tasks[[#This Row],[Start]],WorkWeek,Holidays)-1,1-NETWORKDAYS.INTL(Tasks[[#This Row],[Start]],Tasks[[#This Row],[Planned Start]],WorkWeek,Holidays)))</f>
        <v>3</v>
      </c>
      <c r="AT14" s="62" t="n">
        <f aca="false">IF(Tasks[[#This Row],[Task Name]]="","",IF(Tasks[[#This Row],[_IsSummary]],MIN(INDEX(Tasks[_LeafLateStart],Tasks[[#This Row],[_Row]]+1):INDEX(Tasks[_LeafLateStart],Tasks[[#This Row],[_Row]]+Tasks[[#This Row],[_Descendants]])),Tasks[[#This Row],[_LeafLateStart]]))</f>
        <v>46303</v>
      </c>
      <c r="AU14" s="62" t="n">
        <f aca="false">IF(Tasks[[#This Row],[Task Name]]="","",IF(Tasks[[#This Row],[_IsSummary]],MAX(INDEX(Tasks[_LeafLateFinish],Tasks[[#This Row],[_Row]]+1):INDEX(Tasks[_LeafLateFinish],Tasks[[#This Row],[_Row]]+Tasks[[#This Row],[_Descendants]])),Tasks[[#This Row],[_LeafLateFinish]]))</f>
        <v>46324</v>
      </c>
      <c r="AV14" s="46" t="n">
        <f aca="false">IF(Tasks[[#This Row],[Task Name]]="","",IF(Tasks[[#This Row],[_IsSummary]],MIN(INDEX(Tasks[_LeafTotalSlack],Tasks[[#This Row],[_Row]]+1):INDEX(Tasks[_LeafTotalSlack],Tasks[[#This Row],[_Row]]+Tasks[[#This Row],[_Descendants]])),Tasks[[#This Row],[_LeafTotalSlack]]))</f>
        <v>0</v>
      </c>
      <c r="AW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4"/>
      <c r="BA14"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0.791925465838509</v>
      </c>
      <c r="BB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BD14" s="21" t="str">
        <f aca="false">IF(Tasks[[#This Row],[Task Name]]="","",IF(Tasks[[#This Row],[_Level]]&lt;=OutlineShowLevel,"Yes","No"))</f>
        <v>Yes</v>
      </c>
      <c r="BE14" s="85" t="n">
        <f aca="false">IF(Tasks[[#This Row],[Task Name]]="","",IF(Tasks[[#This Row],[_IsSummary]],SUM(INDEX(Tasks[_LeafTotalWork],Tasks[[#This Row],[_Row]]+1):INDEX(Tasks[_LeafTotalWork],Tasks[[#This Row],[_Row]]+Tasks[[#This Row],[_Descendants]])),Tasks[[#This Row],[_LeafTotalWork]]))</f>
        <v>188</v>
      </c>
      <c r="BF14" s="23" t="s">
        <v>623</v>
      </c>
      <c r="BG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t="str">
        <f aca="false">""</f>
        <v/>
      </c>
      <c r="BI14" s="86"/>
      <c r="BJ14" s="22"/>
      <c r="BK14" s="46" t="n">
        <f aca="false">IF(OR(Tasks[[#This Row],[Task Name]]="",Tasks[[#This Row],[Baseline Duration]]=""),"",Tasks[[#This Row],[_SpanDays]]-N(Tasks[[#This Row],[Baseline Duration]]))</f>
        <v>1</v>
      </c>
      <c r="BL14" s="85" t="n">
        <f aca="false">IF(OR(Tasks[[#This Row],[Task Name]]="",Tasks[[#This Row],[Baseline Work]]=""),"",Tasks[[#This Row],[Work]]-N(Tasks[[#This Row],[Baseline Work]]))</f>
        <v>60</v>
      </c>
      <c r="BM14" s="62" t="n">
        <f aca="false">IF(Tasks[[#This Row],[Task Name]]="","",IF(OR(TakeBaseline="Yes",N(Tasks[[#This Row],[Baseline Start]])=0),Tasks[[#This Row],[Start]],Tasks[[#This Row],[Baseline Start]]))</f>
        <v>46297</v>
      </c>
      <c r="BN14" s="62" t="n">
        <f aca="false">IF(Tasks[[#This Row],[Task Name]]="","",IF(OR(TakeBaseline="Yes",N(Tasks[[#This Row],[Baseline Finish]])=0),Tasks[[#This Row],[Finish]],Tasks[[#This Row],[Baseline Finish]]))</f>
        <v>46318</v>
      </c>
      <c r="BO14" s="21" t="n">
        <f aca="false">IF(Tasks[[#This Row],[Task Name]]="","",IF(OR(TakeBaseline="Yes",N(Tasks[[#This Row],[Baseline Duration]])=0),Tasks[[#This Row],[_SpanDays]],Tasks[[#This Row],[Baseline Duration]]))</f>
        <v>16</v>
      </c>
      <c r="BP14" s="85" t="n">
        <f aca="false">IF(Tasks[[#This Row],[Task Name]]="","",IF(OR(TakeBaseline="Yes",N(Tasks[[#This Row],[Baseline Work]])=0),Tasks[[#This Row],[Work]],Tasks[[#This Row],[Baseline Work]]))</f>
        <v>128</v>
      </c>
      <c r="BQ14" s="7" t="n">
        <v>46297</v>
      </c>
      <c r="BR14" s="7" t="n">
        <v>46318</v>
      </c>
      <c r="BS14" s="22" t="n">
        <v>16</v>
      </c>
      <c r="BT14" s="87" t="n">
        <v>128</v>
      </c>
      <c r="BU14" s="42" t="n">
        <f aca="false">IF(Tasks[[#This Row],[Task Name]]="","",MAX(1,N(Tasks[[#This Row],[Level]])))</f>
        <v>1</v>
      </c>
      <c r="BV14" s="42" t="n">
        <f aca="false">ROW()-ROW(Tasks[[#Headers],[ID]])</f>
        <v>9</v>
      </c>
      <c r="BW14" s="42" t="n">
        <f aca="false">IF(OR(Tasks[[#This Row],[Task Name]]="",Tasks[[#This Row],[_Level]]&lt;=1),0,IFERROR(LOOKUP(2,1/(Tasks[[#Headers],[_Level]]:Tasks[[#This Row],[_Level]]=Tasks[[#This Row],[_Level]]-1),ROW(Tasks[[#Headers],[_Level]]:Tasks[[#This Row],[_Level]])),0))</f>
        <v>0</v>
      </c>
      <c r="BX14" s="42" t="n">
        <f aca="false">IFERROR(N(INDEX(Tasks[_Level],Tasks[[#This Row],[_Row]]+1)),0)</f>
        <v>2</v>
      </c>
      <c r="BY14" s="88" t="b">
        <f aca="false">AND(Tasks[[#This Row],[Task Name]]&lt;&gt;"",Tasks[[#This Row],[_NextLevel]]&gt;Tasks[[#This Row],[_Level]])</f>
        <v>1</v>
      </c>
      <c r="BZ14" s="42" t="n">
        <f aca="false">IF(Tasks[[#This Row],[_IsSummary]],COUNTIF(Tasks[WBS],Tasks[[#This Row],[WBS]]&amp;".*"),0)</f>
        <v>3</v>
      </c>
      <c r="CA14" s="42" t="n">
        <f aca="false">IF(AND(Tasks[[#This Row],[Task Name]]&lt;&gt;"",NOT(Tasks[[#This Row],[_IsSummary]])),1,0)</f>
        <v>0</v>
      </c>
      <c r="CB14" s="42" t="n">
        <f aca="false">IF(N(Tasks[[#This Row],[_Pred1UID]])=0,0,IFERROR(MATCH(Tasks[[#This Row],[_Pred1UID]],Tasks[UID],0),-1))</f>
        <v>0</v>
      </c>
      <c r="CC14" s="42" t="n">
        <f aca="false">IF(N(Tasks[[#This Row],[_Pred2UID]])=0,0,IFERROR(MATCH(Tasks[[#This Row],[_Pred2UID]],Tasks[UID],0),-1))</f>
        <v>0</v>
      </c>
      <c r="CD14" s="42" t="n">
        <f aca="false">IF(N(Tasks[[#This Row],[_Pred3UID]])=0,0,IFERROR(MATCH(Tasks[[#This Row],[_Pred3UID]],Tasks[UID],0),-1))</f>
        <v>0</v>
      </c>
      <c r="CE14" s="42" t="n">
        <f aca="false">IF(N(Tasks[[#This Row],[_Pred4UID]])=0,0,IFERROR(MATCH(Tasks[[#This Row],[_Pred4UID]],Tasks[UID],0),-1))</f>
        <v>0</v>
      </c>
      <c r="CF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 s="89" t="n">
        <f aca="false">IF(OR(Tasks[[#This Row],[_ConstraintCode]]=2,Tasks[[#This Row],[_ConstraintCode]]=3,Tasks[[#This Row],[_ConstraintCode]]=4,Tasks[[#This Row],[_ConstraintCode]]=6),Tasks[[#This Row],[_ConstraintStart]],0)</f>
        <v>0</v>
      </c>
      <c r="CI14" s="89" t="n">
        <f aca="false">IF(OR(Tasks[[#This Row],[_ConstraintCode]]=2,Tasks[[#This Row],[_ConstraintCode]]=3,Tasks[[#This Row],[_ConstraintCode]]=5,Tasks[[#This Row],[_ConstraintCode]]=7),Tasks[[#This Row],[_ConstraintStart]],2958465)</f>
        <v>2958465</v>
      </c>
      <c r="CJ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 s="89" t="str">
        <f aca="false">IF(NOT(Tasks[[#This Row],[_IsLeaf]]=1),"",IF(N(Tasks[[#This Row],[_Days]])&lt;=0,Tasks[[#This Row],[_LeafCalcStart]],WORKDAY.INTL(Tasks[[#This Row],[_LeafCalcStart]],Tasks[[#This Row],[_Days]]-1,WorkWeek,Holidays)))</f>
        <v/>
      </c>
      <c r="CL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 s="42" t="str">
        <f aca="false">IF(Tasks[[#This Row],[_Predecessors]]="","",TRIM(MID(SUBSTITUTE(SUBSTITUTE(SUBSTITUTE(UPPER(Tasks[[#This Row],[_Predecessors]]),";",",")," ",""),",",REPT(" ",99)),1,99)))</f>
        <v/>
      </c>
      <c r="CO14" s="42" t="str">
        <f aca="false">IF(Tasks[[#This Row],[_Pred1Text]]="","",IFERROR(VALUE(LEFT(Tasks[[#This Row],[_Pred1Text]],MIN(FIND("F",Tasks[[#This Row],[_Pred1Text]]&amp;"F"),FIND("S",Tasks[[#This Row],[_Pred1Text]]&amp;"S"),FIND("+",Tasks[[#This Row],[_Pred1Text]]&amp;"+"),FIND("-",Tasks[[#This Row],[_Pred1Text]]&amp;"-"))-1)),""))</f>
        <v/>
      </c>
      <c r="CP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 s="42" t="str">
        <f aca="false">IF(Tasks[[#This Row],[_Pred1Text]]="","",TRIM(MID(SUBSTITUTE(SUBSTITUTE(SUBSTITUTE(UPPER(Tasks[[#This Row],[_Predecessors]]),";",",")," ",""),",",REPT(" ",99)),100,99)))</f>
        <v/>
      </c>
      <c r="CS14" s="42" t="str">
        <f aca="false">IF(Tasks[[#This Row],[_Pred2Text]]="","",IFERROR(VALUE(LEFT(Tasks[[#This Row],[_Pred2Text]],MIN(FIND("F",Tasks[[#This Row],[_Pred2Text]]&amp;"F"),FIND("S",Tasks[[#This Row],[_Pred2Text]]&amp;"S"),FIND("+",Tasks[[#This Row],[_Pred2Text]]&amp;"+"),FIND("-",Tasks[[#This Row],[_Pred2Text]]&amp;"-"))-1)),""))</f>
        <v/>
      </c>
      <c r="CT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 s="42" t="str">
        <f aca="false">IF(Tasks[[#This Row],[_Pred2Text]]="","",TRIM(MID(SUBSTITUTE(SUBSTITUTE(SUBSTITUTE(UPPER(Tasks[[#This Row],[_Predecessors]]),";",",")," ",""),",",REPT(" ",99)),199,99)))</f>
        <v/>
      </c>
      <c r="CW14" s="42" t="str">
        <f aca="false">IF(Tasks[[#This Row],[_Pred3Text]]="","",IFERROR(VALUE(LEFT(Tasks[[#This Row],[_Pred3Text]],MIN(FIND("F",Tasks[[#This Row],[_Pred3Text]]&amp;"F"),FIND("S",Tasks[[#This Row],[_Pred3Text]]&amp;"S"),FIND("+",Tasks[[#This Row],[_Pred3Text]]&amp;"+"),FIND("-",Tasks[[#This Row],[_Pred3Text]]&amp;"-"))-1)),""))</f>
        <v/>
      </c>
      <c r="CX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 s="42" t="str">
        <f aca="false">IF(Tasks[[#This Row],[_Pred3Text]]="","",TRIM(MID(SUBSTITUTE(SUBSTITUTE(SUBSTITUTE(UPPER(Tasks[[#This Row],[_Predecessors]]),";",",")," ",""),",",REPT(" ",99)),298,99)))</f>
        <v/>
      </c>
      <c r="DA14" s="42" t="str">
        <f aca="false">IF(Tasks[[#This Row],[_Pred4Text]]="","",IFERROR(VALUE(LEFT(Tasks[[#This Row],[_Pred4Text]],MIN(FIND("F",Tasks[[#This Row],[_Pred4Text]]&amp;"F"),FIND("S",Tasks[[#This Row],[_Pred4Text]]&amp;"S"),FIND("+",Tasks[[#This Row],[_Pred4Text]]&amp;"+"),FIND("-",Tasks[[#This Row],[_Pred4Text]]&amp;"-"))-1)),""))</f>
        <v/>
      </c>
      <c r="DB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 s="42" t="str">
        <f aca="false">IF(OR(Tasks[[#This Row],[Task Name]]="",Tasks[[#This Row],[_Resources]]=""),"",TRIM(MID(SUBSTITUTE(Tasks[[#This Row],[_Resources]],",",REPT(" ",99)),1,99)))</f>
        <v/>
      </c>
      <c r="DE14" s="42" t="str">
        <f aca="false">IF(Tasks[[#This Row],[_Res1Text]]="","",TRIM(MID(SUBSTITUTE(Tasks[[#This Row],[_Resources]],",",REPT(" ",99)),100,99)))</f>
        <v/>
      </c>
      <c r="DF14" s="42" t="str">
        <f aca="false">IF(Tasks[[#This Row],[_Res2Text]]="","",TRIM(MID(SUBSTITUTE(Tasks[[#This Row],[_Resources]],",",REPT(" ",99)),199,99)))</f>
        <v/>
      </c>
      <c r="DG14" s="42" t="str">
        <f aca="false">IF(Tasks[[#This Row],[_Res3Text]]="","",TRIM(MID(SUBSTITUTE(Tasks[[#This Row],[_Resources]],",",REPT(" ",99)),298,99)))</f>
        <v/>
      </c>
      <c r="DH14" s="42" t="n">
        <f aca="false">IF(Tasks[[#This Row],[_Res1Text]]="",0,IFERROR(MATCH(TRIM(LEFT(Tasks[[#This Row],[_Res1Text]],FIND("[",Tasks[[#This Row],[_Res1Text]]&amp;"[")-1)),res_Name,0),IFERROR(MATCH(TRIM(LEFT(Tasks[[#This Row],[_Res1Text]],FIND("[",Tasks[[#This Row],[_Res1Text]]&amp;"[")-1)),res_Initials,0),0)))</f>
        <v>0</v>
      </c>
      <c r="DI14" s="42" t="n">
        <f aca="false">IF(Tasks[[#This Row],[_Res2Text]]="",0,IFERROR(MATCH(TRIM(LEFT(Tasks[[#This Row],[_Res2Text]],FIND("[",Tasks[[#This Row],[_Res2Text]]&amp;"[")-1)),res_Name,0),IFERROR(MATCH(TRIM(LEFT(Tasks[[#This Row],[_Res2Text]],FIND("[",Tasks[[#This Row],[_Res2Text]]&amp;"[")-1)),res_Initials,0),0)))</f>
        <v>0</v>
      </c>
      <c r="DJ14" s="42" t="n">
        <f aca="false">IF(Tasks[[#This Row],[_Res3Text]]="",0,IFERROR(MATCH(TRIM(LEFT(Tasks[[#This Row],[_Res3Text]],FIND("[",Tasks[[#This Row],[_Res3Text]]&amp;"[")-1)),res_Name,0),IFERROR(MATCH(TRIM(LEFT(Tasks[[#This Row],[_Res3Text]],FIND("[",Tasks[[#This Row],[_Res3Text]]&amp;"[")-1)),res_Initials,0),0)))</f>
        <v>0</v>
      </c>
      <c r="DK14" s="42" t="n">
        <f aca="false">IF(Tasks[[#This Row],[_Res4Text]]="",0,IFERROR(MATCH(TRIM(LEFT(Tasks[[#This Row],[_Res4Text]],FIND("[",Tasks[[#This Row],[_Res4Text]]&amp;"[")-1)),res_Name,0),IFERROR(MATCH(TRIM(LEFT(Tasks[[#This Row],[_Res4Text]],FIND("[",Tasks[[#This Row],[_Res4Text]]&amp;"[")-1)),res_Initials,0),0)))</f>
        <v>0</v>
      </c>
      <c r="DL14" s="42" t="str">
        <f aca="false">IF(Tasks[[#This Row],[_Res1Text]]="","",IF(Tasks[[#This Row],[_Res1Row]]&gt;0,INDEX(res_Name,Tasks[[#This Row],[_Res1Row]]),TRIM(LEFT(Tasks[[#This Row],[_Res1Text]],FIND("[",Tasks[[#This Row],[_Res1Text]]&amp;"[")-1))))</f>
        <v/>
      </c>
      <c r="DM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 s="42" t="n">
        <f aca="false">IF(NOT(Tasks[[#This Row],[_IsLeaf]]=1),0,(Tasks[[#This Row],[_Resource1]]&lt;&gt;"")+(Tasks[[#This Row],[_Res2]]&lt;&gt;"")+(Tasks[[#This Row],[_Res3]]&lt;&gt;"")+(Tasks[[#This Row],[_Res4]]&lt;&gt;""))</f>
        <v>0</v>
      </c>
      <c r="DO14" s="42" t="str">
        <f aca="false">IF(Tasks[[#This Row],[_Res2Text]]="","",IF(Tasks[[#This Row],[_Res2Row]]&gt;0,INDEX(res_Name,Tasks[[#This Row],[_Res2Row]]),TRIM(LEFT(Tasks[[#This Row],[_Res2Text]],FIND("[",Tasks[[#This Row],[_Res2Text]]&amp;"[")-1))))</f>
        <v/>
      </c>
      <c r="DP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 s="42" t="n">
        <f aca="false">IF(OR(NOT(Tasks[[#This Row],[_IsLeaf]]=1),Tasks[[#This Row],[_Res2Row]]=0),0,N(Tasks[[#This Row],[_Days]])*HoursPerDay*IF(Tasks[[#This Row],[_Res2Units]]="",DefaultUnits,Tasks[[#This Row],[_Res2Units]]))</f>
        <v>0</v>
      </c>
      <c r="DR14" s="42" t="n">
        <f aca="false">IF(AND(AND(Tasks[[#This Row],[_IsLeaf]]=1,Tasks[[#This Row],[_LeafTotalWork]]&gt;0),Tasks[[#This Row],[_Res2Work]]&gt;0),Tasks[[#This Row],[_Res2Work]]/(Tasks[[#This Row],[_FinishWorkday]]-Tasks[[#This Row],[_StartWorkday]]+1),0)</f>
        <v>0</v>
      </c>
      <c r="DS14" s="42" t="n">
        <f aca="false">Tasks[[#This Row],[_Res2WorkPerWD]]*MAX(0,Tasks[[#This Row],[_StartWorkday]]-1)</f>
        <v>0</v>
      </c>
      <c r="DT14" s="42" t="n">
        <f aca="false">Tasks[[#This Row],[_Res2Work]]*Tasks[[#This Row],[_LeafProgress]]</f>
        <v>0</v>
      </c>
      <c r="DU14" s="42" t="str">
        <f aca="false">IF(Tasks[[#This Row],[_Res3Text]]="","",IF(Tasks[[#This Row],[_Res3Row]]&gt;0,INDEX(res_Name,Tasks[[#This Row],[_Res3Row]]),TRIM(LEFT(Tasks[[#This Row],[_Res3Text]],FIND("[",Tasks[[#This Row],[_Res3Text]]&amp;"[")-1))))</f>
        <v/>
      </c>
      <c r="DV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 s="42" t="n">
        <f aca="false">IF(OR(NOT(Tasks[[#This Row],[_IsLeaf]]=1),Tasks[[#This Row],[_Res3Row]]=0),0,N(Tasks[[#This Row],[_Days]])*HoursPerDay*IF(Tasks[[#This Row],[_Res3Units]]="",DefaultUnits,Tasks[[#This Row],[_Res3Units]]))</f>
        <v>0</v>
      </c>
      <c r="DX14" s="42" t="n">
        <f aca="false">IF(AND(AND(Tasks[[#This Row],[_IsLeaf]]=1,Tasks[[#This Row],[_LeafTotalWork]]&gt;0),Tasks[[#This Row],[_Res3Work]]&gt;0),Tasks[[#This Row],[_Res3Work]]/(Tasks[[#This Row],[_FinishWorkday]]-Tasks[[#This Row],[_StartWorkday]]+1),0)</f>
        <v>0</v>
      </c>
      <c r="DY14" s="42" t="n">
        <f aca="false">Tasks[[#This Row],[_Res3WorkPerWD]]*MAX(0,Tasks[[#This Row],[_StartWorkday]]-1)</f>
        <v>0</v>
      </c>
      <c r="DZ14" s="42" t="n">
        <f aca="false">Tasks[[#This Row],[_Res3Work]]*Tasks[[#This Row],[_LeafProgress]]</f>
        <v>0</v>
      </c>
      <c r="EA14" s="42" t="str">
        <f aca="false">IF(Tasks[[#This Row],[_Res4Text]]="","",IF(Tasks[[#This Row],[_Res4Row]]&gt;0,INDEX(res_Name,Tasks[[#This Row],[_Res4Row]]),TRIM(LEFT(Tasks[[#This Row],[_Res4Text]],FIND("[",Tasks[[#This Row],[_Res4Text]]&amp;"[")-1))))</f>
        <v/>
      </c>
      <c r="EB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 s="42" t="n">
        <f aca="false">IF(OR(NOT(Tasks[[#This Row],[_IsLeaf]]=1),Tasks[[#This Row],[_Res4Row]]=0),0,N(Tasks[[#This Row],[_Days]])*HoursPerDay*IF(Tasks[[#This Row],[_Res4Units]]="",DefaultUnits,Tasks[[#This Row],[_Res4Units]]))</f>
        <v>0</v>
      </c>
      <c r="ED14" s="42" t="n">
        <f aca="false">IF(AND(AND(Tasks[[#This Row],[_IsLeaf]]=1,Tasks[[#This Row],[_LeafTotalWork]]&gt;0),Tasks[[#This Row],[_Res4Work]]&gt;0),Tasks[[#This Row],[_Res4Work]]/(Tasks[[#This Row],[_FinishWorkday]]-Tasks[[#This Row],[_StartWorkday]]+1),0)</f>
        <v>0</v>
      </c>
      <c r="EE14" s="42" t="n">
        <f aca="false">Tasks[[#This Row],[_Res4WorkPerWD]]*MAX(0,Tasks[[#This Row],[_StartWorkday]]-1)</f>
        <v>0</v>
      </c>
      <c r="EF14" s="42" t="n">
        <f aca="false">Tasks[[#This Row],[_Res4Work]]*Tasks[[#This Row],[_LeafProgress]]</f>
        <v>0</v>
      </c>
      <c r="EG14" s="42" t="n">
        <f aca="false">IF(ISNUMBER(Tasks[[#This Row],[% Complete]]),Tasks[[#This Row],[% Complete]],IF(Tasks[[#This Row],[Stage]]="",0,IFERROR(INDEX(stg_Pct,MATCH(Tasks[[#This Row],[Stage]],stg_Name,0)),0)))</f>
        <v>0</v>
      </c>
      <c r="EH14" s="42" t="n">
        <f aca="false">IF(NOT(Tasks[[#This Row],[_IsLeaf]]=1),0,IF(N(Tasks[[#This Row],[Actual Finish]])&gt;0,1,MIN(1,Tasks[[#This Row],[_Pct]])))</f>
        <v>0</v>
      </c>
      <c r="EI14" s="42" t="n">
        <f aca="false">IF(OR(NOT(Tasks[[#This Row],[_IsLeaf]]=1),Tasks[[#This Row],[_Res1Row]]=0),0,N(Tasks[[#This Row],[_Days]])*HoursPerDay*IF(Tasks[[#This Row],[_Units1]]="",DefaultUnits,Tasks[[#This Row],[_Units1]]))</f>
        <v>0</v>
      </c>
      <c r="EJ14" s="42" t="n">
        <f aca="false">Tasks[[#This Row],[_LeafWork]]+Tasks[[#This Row],[_Res2Work]]+Tasks[[#This Row],[_Res3Work]]+Tasks[[#This Row],[_Res4Work]]</f>
        <v>0</v>
      </c>
      <c r="EK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 s="42" t="n">
        <f aca="false">IF(NOT(Tasks[[#This Row],[_IsLeaf]]=1),0,MAX(_xlfn.MAXIFS(Tasks[_Row],Tasks[_Pred1UID],Tasks[[#This Row],[UID]]),_xlfn.MAXIFS(Tasks[_Row],Tasks[_Pred2UID],Tasks[[#This Row],[UID]]),_xlfn.MAXIFS(Tasks[_Row],Tasks[_Pred3UID],Tasks[[#This Row],[UID]]),_xlfn.MAXIFS(Tasks[_Row],Tasks[_Pred4UID],Tasks[[#This Row],[UID]])))</f>
        <v>0</v>
      </c>
      <c r="ET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 s="89" t="str">
        <f aca="false">IF(NOT(Tasks[[#This Row],[_IsLeaf]]=1),"",IF(N(Tasks[[#This Row],[_Days]])&lt;=0,Tasks[[#This Row],[_LeafLateFinish]],WORKDAY.INTL(Tasks[[#This Row],[_LeafLateFinish]],-(Tasks[[#This Row],[_Days]]-1),WorkWeek,Holidays)))</f>
        <v/>
      </c>
      <c r="EW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 s="88" t="b">
        <f aca="false">AND(Tasks[[#This Row],[_IsLeaf]]=1,Tasks[[#This Row],[_LeafProgress]]&lt;1,N(Tasks[[#This Row],[_LeafTotalSlack]])&lt;=CriticalSlackDays)</f>
        <v>0</v>
      </c>
      <c r="EY14" s="42" t="n">
        <f aca="false">IF(AND(Tasks[[#This Row],[_IsLeaf]]=1,Tasks[[#This Row],[_ConstraintCode]]=1,Tasks[[#This Row],[Mode]]&lt;&gt;"Manual",N(Tasks[[#This Row],[Actual Start]])=0),MAX(0,N(Tasks[[#This Row],[Free Slack]])),0)</f>
        <v>0</v>
      </c>
      <c r="EZ14" s="89" t="str">
        <f aca="false">IF(NOT(Tasks[[#This Row],[_IsLeaf]]=1),"",IF(Tasks[[#This Row],[_AlapShift]]=0,Tasks[[#This Row],[_LeafCalcStart]],WORKDAY.INTL(Tasks[[#This Row],[_LeafCalcStart]],Tasks[[#This Row],[_AlapShift]],WorkWeek,Holidays)))</f>
        <v/>
      </c>
      <c r="FA14" s="89" t="str">
        <f aca="false">IF(NOT(Tasks[[#This Row],[_IsLeaf]]=1),"",IF(Tasks[[#This Row],[_AlapShift]]=0,Tasks[[#This Row],[_LeafCalcFinish]],WORKDAY.INTL(Tasks[[#This Row],[_LeafCalcFinish]],Tasks[[#This Row],[_AlapShift]],WorkWeek,Holidays)))</f>
        <v/>
      </c>
      <c r="FB14" s="89" t="str">
        <f aca="false">IF(NOT(Tasks[[#This Row],[_IsLeaf]]=1),"",IF(Tasks[[#This Row],[_AlapShift]]=0,Tasks[[#This Row],[_LeafFcstStart]],WORKDAY.INTL(Tasks[[#This Row],[_LeafFcstStart]],Tasks[[#This Row],[_AlapShift]],WorkWeek,Holidays)))</f>
        <v/>
      </c>
      <c r="FC14" s="89" t="str">
        <f aca="false">IF(NOT(Tasks[[#This Row],[_IsLeaf]]=1),"",IF(Tasks[[#This Row],[_AlapShift]]=0,Tasks[[#This Row],[_LeafFcstFinish]],WORKDAY.INTL(Tasks[[#This Row],[_LeafFcstFinish]],Tasks[[#This Row],[_AlapShift]],WorkWeek,Holidays)))</f>
        <v/>
      </c>
      <c r="FD14" s="89" t="n">
        <f aca="false">IF(Tasks[[#This Row],[Task Name]]="","",IF(Tasks[[#This Row],[_IsSummary]],MIN(INDEX(Tasks[_ShownCalcStart],Tasks[[#This Row],[_Row]]+1):INDEX(Tasks[_ShownCalcStart],Tasks[[#This Row],[_Row]]+Tasks[[#This Row],[_Descendants]])),Tasks[[#This Row],[_ShownCalcStart]]))</f>
        <v>46297</v>
      </c>
      <c r="FE14" s="89" t="n">
        <f aca="false">IF(Tasks[[#This Row],[Task Name]]="","",IF(Tasks[[#This Row],[_IsSummary]],MAX(INDEX(Tasks[_ShownCalcFinish],Tasks[[#This Row],[_Row]]+1):INDEX(Tasks[_ShownCalcFinish],Tasks[[#This Row],[_Row]]+Tasks[[#This Row],[_Descendants]])),Tasks[[#This Row],[_ShownCalcFinish]]))</f>
        <v>46318</v>
      </c>
      <c r="FF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 s="42" t="n">
        <f aca="false">IF(AND(Tasks[[#This Row],[_IsLeaf]]=1,Tasks[[#This Row],[_LeafTotalWork]]&gt;0),NETWORKDAYS.INTL(ProjectStart,Tasks[[#This Row],[_ShownFcstStart]],WorkWeek,Holidays),0)</f>
        <v>0</v>
      </c>
      <c r="FS14" s="42" t="n">
        <f aca="false">IF(AND(Tasks[[#This Row],[_IsLeaf]]=1,Tasks[[#This Row],[_LeafTotalWork]]&gt;0),MAX(Tasks[[#This Row],[_StartWorkday]],NETWORKDAYS.INTL(ProjectStart,Tasks[[#This Row],[_ShownFcstFinish]],WorkWeek,Holidays)),0)</f>
        <v>0</v>
      </c>
      <c r="FT14" s="42" t="n">
        <f aca="false">IF(AND(Tasks[[#This Row],[_IsLeaf]]=1,Tasks[[#This Row],[_LeafTotalWork]]&gt;0),Tasks[[#This Row],[_LeafWork]]/(Tasks[[#This Row],[_FinishWorkday]]-Tasks[[#This Row],[_StartWorkday]]+1),0)</f>
        <v>0</v>
      </c>
      <c r="FU14" s="42" t="n">
        <f aca="false">Tasks[[#This Row],[_WorkPerWorkday]]*(Tasks[[#This Row],[_StartWorkday]]-1)</f>
        <v>-0</v>
      </c>
      <c r="FV14" s="42" t="n">
        <f aca="false">IF(Tasks[[#This Row],[_IsLeaf]]=1,MAX(N(Tasks[[#This Row],[_Days]]),0.1),0)</f>
        <v>0</v>
      </c>
      <c r="FW14" s="42" t="n">
        <f aca="false">Tasks[[#This Row],[_WeightDur]]*Tasks[[#This Row],[_LeafProgress]]</f>
        <v>0</v>
      </c>
      <c r="FX14" s="42" t="n">
        <f aca="false">Tasks[[#This Row],[_WeightDur]]*Tasks[[#This Row],[_PlannedPct]]</f>
        <v>0</v>
      </c>
      <c r="FY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 s="42" t="str">
        <f aca="false">IF(AND(Tasks[[#This Row],[_IsLeaf]]=1,N(Tasks[[#This Row],[_Days]])=0,Tasks[[#This Row],[_LeafProgress]]&lt;1),Tasks[[#This Row],[_ShownFcstFinish]]+Tasks[[#This Row],[_Row]]/100000,"")</f>
        <v/>
      </c>
      <c r="GA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 s="42" t="str">
        <f aca="false">IF(Tasks[[#This Row],[Task Name]]="","",LEFT(Tasks[[#This Row],[WBS]],FIND(".",Tasks[[#This Row],[WBS]]&amp;".")-1))</f>
        <v>3</v>
      </c>
      <c r="GC14" s="42" t="n">
        <f aca="false">IF(AND(Tasks[[#This Row],[Task Name]]&lt;&gt;"",Tasks[[#This Row],[_Level]]=1),Tasks[[#This Row],[_Row]],"")</f>
        <v>9</v>
      </c>
      <c r="GD14" s="42" t="str">
        <f aca="false">IF(AND(Tasks[[#This Row],[_IsLeaf]]=1,N(Tasks[[#This Row],[_Days]])=0),Tasks[[#This Row],[Planned Finish]]+Tasks[[#This Row],[_Row]]/100000,"")</f>
        <v/>
      </c>
      <c r="GE14" s="42" t="str">
        <f aca="false">IF(AND(Tasks[[#This Row],[_IsLeaf]]=1,Tasks[[#This Row],[_LeafProgress]]&lt;1,OR(N(Tasks[[#This Row],[Finish Var]])&gt;0,Tasks[[#This Row],[Status]]="Late Start")),MAX(0,Tasks[[#This Row],[Finish Var]])+1-Tasks[[#This Row],[_Row]]/1000000,"")</f>
        <v/>
      </c>
      <c r="GF14" s="42" t="str">
        <f aca="false">IF(AND(Tasks[[#This Row],[_IsLeaf]]=1,N(Tasks[[#This Row],[Actual Start]])=0,Tasks[[#This Row],[_ShownFcstStart]]&gt;=StatusDate,Tasks[[#This Row],[_ShownFcstStart]]&lt;=LookaheadEnd),Tasks[[#This Row],[_ShownFcstStart]]+Tasks[[#This Row],[_Row]]/100000,"")</f>
        <v/>
      </c>
      <c r="GG14" s="42" t="str">
        <f aca="false">IF(AND(Tasks[[#This Row],[_IsLeaf]]=1,Tasks[[#This Row],[_LeafProgress]]&lt;1,Tasks[[#This Row],[_ShownFcstFinish]]&gt;=StatusDate,Tasks[[#This Row],[_ShownFcstFinish]]&lt;=LookaheadEnd),Tasks[[#This Row],[_ShownFcstFinish]]+Tasks[[#This Row],[_Row]]/100000,"")</f>
        <v/>
      </c>
      <c r="GH14" s="42" t="str">
        <f aca="false">IF(Tasks[[#This Row],[_LeafCritical]],Tasks[[#This Row],[_ShownFcstStart]]+Tasks[[#This Row],[_Row]]/100000,"")</f>
        <v/>
      </c>
      <c r="GI14" s="42" t="n">
        <f aca="false">Tasks[[#This Row],[_LeafWork]]*Tasks[[#This Row],[_LeafProgress]]</f>
        <v>0</v>
      </c>
      <c r="GJ14" s="89" t="str">
        <f aca="false">IF(AND(Tasks[[#This Row],[_IsLeaf]]=1,Tasks[[#This Row],[_LeafProgress]]&gt;=1),IF(N(Tasks[[#This Row],[Actual Finish]])&gt;0,Tasks[[#This Row],[Actual Finish]],Tasks[[#This Row],[_ShownFcstFinish]]),"")</f>
        <v/>
      </c>
      <c r="GK14" s="42" t="n">
        <f aca="false">IF(Tasks[[#This Row],[_IsLeaf]]=1,N(Tasks[[#This Row],[Story Points]]),0)</f>
        <v>0</v>
      </c>
      <c r="GL14" s="42" t="str">
        <f aca="false">""</f>
        <v/>
      </c>
      <c r="GM14" s="88" t="b">
        <f aca="false">IF(Tasks[[#This Row],[Task Name]]="",FALSE(),AND(Tasks[[#This Row],[_IsLeaf]]=1,N(Tasks[[#This Row],[_Days]])=0))</f>
        <v>0</v>
      </c>
      <c r="GN14" s="89" t="n">
        <f aca="false">IF(Tasks[[#This Row],[Task Name]]="",0,IF(AND(Tasks[[#This Row],[_IsLeaf]]=1,NOT(Tasks[[#This Row],[_IsMilestone]]),N(Tasks[[#This Row],[Progress]])&gt;0),Tasks[[#This Row],[Start]],0))</f>
        <v>0</v>
      </c>
      <c r="GO14" s="89" t="n">
        <f aca="false">IF(Tasks[[#This Row],[_DoneFrom]]=0,0,IF(Tasks[[#This Row],[Progress]]&gt;=1,Tasks[[#This Row],[Finish]],MAX(Tasks[[#This Row],[_DoneFrom]],Tasks[[#This Row],[Start]]+ROUND((Tasks[[#This Row],[Finish]]-Tasks[[#This Row],[Start]]+1)*Tasks[[#This Row],[Progress]],0)-1)))</f>
        <v>0</v>
      </c>
      <c r="GP14" s="89" t="n">
        <f aca="false">IF(Tasks[[#This Row],[Task Name]]="",0,IF(OR(NOT(Tasks[[#This Row],[_IsLeaf]]=1),Tasks[[#This Row],[_IsMilestone]],N(Tasks[[#This Row],[Progress]])&gt;=1),0,IF(Tasks[[#This Row],[_DoneTo]]&gt;0,Tasks[[#This Row],[_DoneTo]]+1,Tasks[[#This Row],[Start]])))</f>
        <v>0</v>
      </c>
      <c r="GQ14" s="89" t="n">
        <f aca="false">IF(Tasks[[#This Row],[_RemFrom]]=0,0,Tasks[[#This Row],[Finish]])</f>
        <v>0</v>
      </c>
      <c r="GR14" s="88" t="b">
        <f aca="false">IF(Tasks[[#This Row],[Task Name]]="",FALSE(),OR(NOT(BaselineSet),N(Tasks[[#This Row],[Baseline Start]])&gt;0))</f>
        <v>1</v>
      </c>
      <c r="GS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 s="90" t="str">
        <f aca="false">IF(Tasks[[#This Row],[_IsLeaf]]=1,Tasks[[#This Row],[_Row]],"")</f>
        <v/>
      </c>
      <c r="GW14" s="90" t="str">
        <f aca="false">IFERROR(INDEX(Tasks[UID],SMALL(Tasks[_PickKey],Tasks[[#This Row],[_Row]]))&amp;" "&amp;INDEX(Tasks[Task Name],SMALL(Tasks[_PickKey],Tasks[[#This Row],[_Row]])),"")</f>
        <v>25 Go-live</v>
      </c>
      <c r="GX14" s="42" t="n">
        <f aca="false">IF(Tasks[[#This Row],[Task Name]]="","",IF(Tasks[[#This Row],[_IsSummary]],NETWORKDAYS.INTL(Tasks[[#This Row],[Start]],Tasks[[#This Row],[Finish]],WorkWeek,Holidays),N(Tasks[[#This Row],[_Days]])))</f>
        <v>17</v>
      </c>
    </row>
    <row r="15" customFormat="false" ht="15" hidden="false" customHeight="false" outlineLevel="1" collapsed="false">
      <c r="A15" s="21" t="n">
        <f aca="false">IF(Tasks[[#This Row],[Task Name]]="","",COUNTA(Tasks[[#Headers],[Task Name]]:Tasks[[#This Row],[Task Name]])-1)</f>
        <v>10</v>
      </c>
      <c r="B15" s="22" t="n">
        <v>21</v>
      </c>
      <c r="C15" s="22" t="n">
        <v>2</v>
      </c>
      <c r="D15" s="91" t="s">
        <v>624</v>
      </c>
      <c r="E15" s="22" t="n">
        <v>15</v>
      </c>
      <c r="F15" s="23" t="n">
        <v>9</v>
      </c>
      <c r="G15" s="22"/>
      <c r="H15" s="22"/>
      <c r="I15" s="23"/>
      <c r="J15" s="22"/>
      <c r="K15" s="22"/>
      <c r="L15" s="23"/>
      <c r="M15" s="22"/>
      <c r="N15" s="22"/>
      <c r="O15" s="23"/>
      <c r="P15" s="22"/>
      <c r="Q15" s="22"/>
      <c r="R15" s="23"/>
      <c r="S15" s="23" t="s">
        <v>623</v>
      </c>
      <c r="T15" s="83"/>
      <c r="U15" s="23" t="s">
        <v>625</v>
      </c>
      <c r="V15" s="83" t="n">
        <v>0.5</v>
      </c>
      <c r="W15" s="23"/>
      <c r="X15" s="83"/>
      <c r="Y15" s="23"/>
      <c r="Z15" s="83"/>
      <c r="AA15" s="23"/>
      <c r="AB15" s="23" t="s">
        <v>247</v>
      </c>
      <c r="AC15" s="7" t="n">
        <v>46302</v>
      </c>
      <c r="AD15" s="7"/>
      <c r="AE15" s="62" t="n">
        <f aca="false">IF(Tasks[[#This Row],[Task Name]]="","",IF(Tasks[[#This Row],[_IsSummary]],MIN(INDEX(Tasks[_ShownFcstStart],Tasks[[#This Row],[_Row]]+1):INDEX(Tasks[_ShownFcstStart],Tasks[[#This Row],[_Row]]+Tasks[[#This Row],[_Descendants]])),Tasks[[#This Row],[_ShownFcstStart]]))</f>
        <v>46302</v>
      </c>
      <c r="AF15" s="62" t="n">
        <f aca="false">IF(Tasks[[#This Row],[Task Name]]="","",IF(Tasks[[#This Row],[_IsSummary]],MAX(INDEX(Tasks[_ShownFcstFinish],Tasks[[#This Row],[_Row]]+1):INDEX(Tasks[_ShownFcstFinish],Tasks[[#This Row],[_Row]]+Tasks[[#This Row],[_Descendants]])),Tasks[[#This Row],[_ShownFcstFinish]]))</f>
        <v>46323</v>
      </c>
      <c r="AG15" s="21" t="str">
        <f aca="false">""</f>
        <v/>
      </c>
      <c r="AH15" s="23" t="s">
        <v>626</v>
      </c>
      <c r="AI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 s="7"/>
      <c r="AK15" s="22" t="s">
        <v>235</v>
      </c>
      <c r="AL15" s="23"/>
      <c r="AM15" s="7"/>
      <c r="AN15" s="46" t="n">
        <f aca="false">IF(Tasks[[#This Row],[Task Name]]="","",IF(Tasks[[#This Row],[Finish]]&gt;=Tasks[[#This Row],[Planned Finish]],NETWORKDAYS.INTL(Tasks[[#This Row],[Planned Finish]],Tasks[[#This Row],[Finish]],WorkWeek,Holidays)-1,1-NETWORKDAYS.INTL(Tasks[[#This Row],[Finish]],Tasks[[#This Row],[Planned Finish]],WorkWeek,Holidays)))</f>
        <v>4</v>
      </c>
      <c r="AO15" s="21" t="str">
        <f aca="false">IF(Tasks[[#This Row],[Task Name]]="","",IF(Tasks[[#This Row],[Progress]]&gt;=1,"Complete",IF(OR(N(Tasks[[#This Row],[Actual Start]])&gt;0,Tasks[[#This Row],[Progress]]&gt;0),IF(Tasks[[#This Row],[Finish Var]]&gt;0,"Behind","In Progress"),IF(Tasks[[#This Row],[Planned Start]]&lt;StatusDate,"Late Start","Not Started"))))</f>
        <v>Behind</v>
      </c>
      <c r="AP15" s="21" t="str">
        <f aca="false">IF(Tasks[[#This Row],[Task Name]]="","",IF(IF(Tasks[[#This Row],[_IsSummary]],COUNTIF(INDEX(Tasks[_LeafCritical],Tasks[[#This Row],[_Row]]+1):INDEX(Tasks[_LeafCritical],Tasks[[#This Row],[_Row]]+Tasks[[#This Row],[_Descendants]]),TRUE())&gt;0,Tasks[[#This Row],[_LeafCritical]]),"Yes",""))</f>
        <v>Yes</v>
      </c>
      <c r="AQ15" s="62" t="n">
        <f aca="false">IF(Tasks[[#This Row],[Task Name]]="","",IF(N(Tasks[[#This Row],[Baseline Start]])&gt;0,Tasks[[#This Row],[Baseline Start]],Tasks[[#This Row],[_CalcStart]]))</f>
        <v>46297</v>
      </c>
      <c r="AR15" s="62" t="n">
        <f aca="false">IF(Tasks[[#This Row],[Task Name]]="","",IF(N(Tasks[[#This Row],[Baseline Finish]])&gt;0,Tasks[[#This Row],[Baseline Finish]],Tasks[[#This Row],[_CalcFinish]]))</f>
        <v>46317</v>
      </c>
      <c r="AS15" s="46" t="n">
        <f aca="false">IF(Tasks[[#This Row],[Task Name]]="","",IF(Tasks[[#This Row],[Start]]&gt;=Tasks[[#This Row],[Planned Start]],NETWORKDAYS.INTL(Tasks[[#This Row],[Planned Start]],Tasks[[#This Row],[Start]],WorkWeek,Holidays)-1,1-NETWORKDAYS.INTL(Tasks[[#This Row],[Start]],Tasks[[#This Row],[Planned Start]],WorkWeek,Holidays)))</f>
        <v>3</v>
      </c>
      <c r="AT15" s="62" t="n">
        <f aca="false">IF(Tasks[[#This Row],[Task Name]]="","",IF(Tasks[[#This Row],[_IsSummary]],MIN(INDEX(Tasks[_LeafLateStart],Tasks[[#This Row],[_Row]]+1):INDEX(Tasks[_LeafLateStart],Tasks[[#This Row],[_Row]]+Tasks[[#This Row],[_Descendants]])),Tasks[[#This Row],[_LeafLateStart]]))</f>
        <v>46303</v>
      </c>
      <c r="AU15" s="62" t="n">
        <f aca="false">IF(Tasks[[#This Row],[Task Name]]="","",IF(Tasks[[#This Row],[_IsSummary]],MAX(INDEX(Tasks[_LeafLateFinish],Tasks[[#This Row],[_Row]]+1):INDEX(Tasks[_LeafLateFinish],Tasks[[#This Row],[_Row]]+Tasks[[#This Row],[_Descendants]])),Tasks[[#This Row],[_LeafLateFinish]]))</f>
        <v>46323</v>
      </c>
      <c r="AV15" s="46" t="n">
        <f aca="false">IF(Tasks[[#This Row],[Task Name]]="","",IF(Tasks[[#This Row],[_IsSummary]],MIN(INDEX(Tasks[_LeafTotalSlack],Tasks[[#This Row],[_Row]]+1):INDEX(Tasks[_LeafTotalSlack],Tasks[[#This Row],[_Row]]+Tasks[[#This Row],[_Descendants]])),Tasks[[#This Row],[_LeafTotalSlack]]))</f>
        <v>0</v>
      </c>
      <c r="AW15"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4"/>
      <c r="BA15"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0.85</v>
      </c>
      <c r="BB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8</v>
      </c>
      <c r="BC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BD15" s="21" t="str">
        <f aca="false">IF(Tasks[[#This Row],[Task Name]]="","",IF(Tasks[[#This Row],[_Level]]&lt;=OutlineShowLevel,"Yes","No"))</f>
        <v>Yes</v>
      </c>
      <c r="BE15" s="85" t="n">
        <f aca="false">IF(Tasks[[#This Row],[Task Name]]="","",IF(Tasks[[#This Row],[_IsSummary]],SUM(INDEX(Tasks[_LeafTotalWork],Tasks[[#This Row],[_Row]]+1):INDEX(Tasks[_LeafTotalWork],Tasks[[#This Row],[_Row]]+Tasks[[#This Row],[_Descendants]])),Tasks[[#This Row],[_LeafTotalWork]]))</f>
        <v>180</v>
      </c>
      <c r="BF15" s="23"/>
      <c r="BG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Taylor Morgan, Sam Rivera[50%]</v>
      </c>
      <c r="BH15" s="21" t="str">
        <f aca="false">""</f>
        <v/>
      </c>
      <c r="BI15" s="86"/>
      <c r="BJ15" s="22"/>
      <c r="BK15" s="46" t="n">
        <f aca="false">IF(OR(Tasks[[#This Row],[Task Name]]="",Tasks[[#This Row],[Baseline Duration]]=""),"",Tasks[[#This Row],[_SpanDays]]-N(Tasks[[#This Row],[Baseline Duration]]))</f>
        <v>0</v>
      </c>
      <c r="BL15" s="85" t="n">
        <f aca="false">IF(OR(Tasks[[#This Row],[Task Name]]="",Tasks[[#This Row],[Baseline Work]]=""),"",Tasks[[#This Row],[Work]]-N(Tasks[[#This Row],[Baseline Work]]))</f>
        <v>60</v>
      </c>
      <c r="BM15" s="62" t="n">
        <f aca="false">IF(Tasks[[#This Row],[Task Name]]="","",IF(OR(TakeBaseline="Yes",N(Tasks[[#This Row],[Baseline Start]])=0),Tasks[[#This Row],[Start]],Tasks[[#This Row],[Baseline Start]]))</f>
        <v>46297</v>
      </c>
      <c r="BN15" s="62" t="n">
        <f aca="false">IF(Tasks[[#This Row],[Task Name]]="","",IF(OR(TakeBaseline="Yes",N(Tasks[[#This Row],[Baseline Finish]])=0),Tasks[[#This Row],[Finish]],Tasks[[#This Row],[Baseline Finish]]))</f>
        <v>46317</v>
      </c>
      <c r="BO15" s="21" t="n">
        <f aca="false">IF(Tasks[[#This Row],[Task Name]]="","",IF(OR(TakeBaseline="Yes",N(Tasks[[#This Row],[Baseline Duration]])=0),Tasks[[#This Row],[_SpanDays]],Tasks[[#This Row],[Baseline Duration]]))</f>
        <v>15</v>
      </c>
      <c r="BP15" s="85" t="n">
        <f aca="false">IF(Tasks[[#This Row],[Task Name]]="","",IF(OR(TakeBaseline="Yes",N(Tasks[[#This Row],[Baseline Work]])=0),Tasks[[#This Row],[Work]],Tasks[[#This Row],[Baseline Work]]))</f>
        <v>120</v>
      </c>
      <c r="BQ15" s="7" t="n">
        <v>46297</v>
      </c>
      <c r="BR15" s="7" t="n">
        <v>46317</v>
      </c>
      <c r="BS15" s="22" t="n">
        <v>15</v>
      </c>
      <c r="BT15" s="87" t="n">
        <v>120</v>
      </c>
      <c r="BU15" s="42" t="n">
        <f aca="false">IF(Tasks[[#This Row],[Task Name]]="","",MAX(1,N(Tasks[[#This Row],[Level]])))</f>
        <v>2</v>
      </c>
      <c r="BV15" s="42" t="n">
        <f aca="false">ROW()-ROW(Tasks[[#Headers],[ID]])</f>
        <v>10</v>
      </c>
      <c r="BW15" s="42" t="n">
        <f aca="false">IF(OR(Tasks[[#This Row],[Task Name]]="",Tasks[[#This Row],[_Level]]&lt;=1),0,IFERROR(LOOKUP(2,1/(Tasks[[#Headers],[_Level]]:Tasks[[#This Row],[_Level]]=Tasks[[#This Row],[_Level]]-1),ROW(Tasks[[#Headers],[_Level]]:Tasks[[#This Row],[_Level]])),0))</f>
        <v>14</v>
      </c>
      <c r="BX15" s="42" t="n">
        <f aca="false">IFERROR(N(INDEX(Tasks[_Level],Tasks[[#This Row],[_Row]]+1)),0)</f>
        <v>2</v>
      </c>
      <c r="BY15" s="88" t="b">
        <f aca="false">AND(Tasks[[#This Row],[Task Name]]&lt;&gt;"",Tasks[[#This Row],[_NextLevel]]&gt;Tasks[[#This Row],[_Level]])</f>
        <v>0</v>
      </c>
      <c r="BZ15" s="42" t="n">
        <f aca="false">IF(Tasks[[#This Row],[_IsSummary]],COUNTIF(Tasks[WBS],Tasks[[#This Row],[WBS]]&amp;".*"),0)</f>
        <v>0</v>
      </c>
      <c r="CA15" s="42" t="n">
        <f aca="false">IF(AND(Tasks[[#This Row],[Task Name]]&lt;&gt;"",NOT(Tasks[[#This Row],[_IsSummary]])),1,0)</f>
        <v>1</v>
      </c>
      <c r="CB15" s="42" t="n">
        <f aca="false">IF(N(Tasks[[#This Row],[_Pred1UID]])=0,0,IFERROR(MATCH(Tasks[[#This Row],[_Pred1UID]],Tasks[UID],0),-1))</f>
        <v>8</v>
      </c>
      <c r="CC15" s="42" t="n">
        <f aca="false">IF(N(Tasks[[#This Row],[_Pred2UID]])=0,0,IFERROR(MATCH(Tasks[[#This Row],[_Pred2UID]],Tasks[UID],0),-1))</f>
        <v>0</v>
      </c>
      <c r="CD15" s="42" t="n">
        <f aca="false">IF(N(Tasks[[#This Row],[_Pred3UID]])=0,0,IFERROR(MATCH(Tasks[[#This Row],[_Pred3UID]],Tasks[UID],0),-1))</f>
        <v>0</v>
      </c>
      <c r="CE15" s="42" t="n">
        <f aca="false">IF(N(Tasks[[#This Row],[_Pred4UID]])=0,0,IFERROR(MATCH(Tasks[[#This Row],[_Pred4UID]],Tasks[UID],0),-1))</f>
        <v>0</v>
      </c>
      <c r="CF15"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 s="89" t="n">
        <f aca="false">IF(OR(Tasks[[#This Row],[_ConstraintCode]]=2,Tasks[[#This Row],[_ConstraintCode]]=3,Tasks[[#This Row],[_ConstraintCode]]=4,Tasks[[#This Row],[_ConstraintCode]]=6),Tasks[[#This Row],[_ConstraintStart]],0)</f>
        <v>0</v>
      </c>
      <c r="CI15" s="89" t="n">
        <f aca="false">IF(OR(Tasks[[#This Row],[_ConstraintCode]]=2,Tasks[[#This Row],[_ConstraintCode]]=3,Tasks[[#This Row],[_ConstraintCode]]=5,Tasks[[#This Row],[_ConstraintCode]]=7),Tasks[[#This Row],[_ConstraintStart]],2958465)</f>
        <v>2958465</v>
      </c>
      <c r="CJ15"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K15" s="89" t="n">
        <f aca="false">IF(NOT(Tasks[[#This Row],[_IsLeaf]]=1),"",IF(N(Tasks[[#This Row],[_Days]])&lt;=0,Tasks[[#This Row],[_LeafCalcStart]],WORKDAY.INTL(Tasks[[#This Row],[_LeafCalcStart]],Tasks[[#This Row],[_Days]]-1,WorkWeek,Holidays)))</f>
        <v>46317</v>
      </c>
      <c r="CL15"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M15"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46323</v>
      </c>
      <c r="CN15" s="42" t="str">
        <f aca="false">IF(Tasks[[#This Row],[_Predecessors]]="","",TRIM(MID(SUBSTITUTE(SUBSTITUTE(SUBSTITUTE(UPPER(Tasks[[#This Row],[_Predecessors]]),";",",")," ",""),",",REPT(" ",99)),1,99)))</f>
        <v>9</v>
      </c>
      <c r="CO15" s="42" t="n">
        <f aca="false">IF(Tasks[[#This Row],[_Pred1Text]]="","",IFERROR(VALUE(LEFT(Tasks[[#This Row],[_Pred1Text]],MIN(FIND("F",Tasks[[#This Row],[_Pred1Text]]&amp;"F"),FIND("S",Tasks[[#This Row],[_Pred1Text]]&amp;"S"),FIND("+",Tasks[[#This Row],[_Pred1Text]]&amp;"+"),FIND("-",Tasks[[#This Row],[_Pred1Text]]&amp;"-"))-1)),""))</f>
        <v>9</v>
      </c>
      <c r="CP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5"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5" s="42" t="str">
        <f aca="false">IF(Tasks[[#This Row],[_Pred1Text]]="","",TRIM(MID(SUBSTITUTE(SUBSTITUTE(SUBSTITUTE(UPPER(Tasks[[#This Row],[_Predecessors]]),";",",")," ",""),",",REPT(" ",99)),100,99)))</f>
        <v/>
      </c>
      <c r="CS15" s="42" t="str">
        <f aca="false">IF(Tasks[[#This Row],[_Pred2Text]]="","",IFERROR(VALUE(LEFT(Tasks[[#This Row],[_Pred2Text]],MIN(FIND("F",Tasks[[#This Row],[_Pred2Text]]&amp;"F"),FIND("S",Tasks[[#This Row],[_Pred2Text]]&amp;"S"),FIND("+",Tasks[[#This Row],[_Pred2Text]]&amp;"+"),FIND("-",Tasks[[#This Row],[_Pred2Text]]&amp;"-"))-1)),""))</f>
        <v/>
      </c>
      <c r="CT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 s="42" t="str">
        <f aca="false">IF(Tasks[[#This Row],[_Pred2Text]]="","",TRIM(MID(SUBSTITUTE(SUBSTITUTE(SUBSTITUTE(UPPER(Tasks[[#This Row],[_Predecessors]]),";",",")," ",""),",",REPT(" ",99)),199,99)))</f>
        <v/>
      </c>
      <c r="CW15" s="42" t="str">
        <f aca="false">IF(Tasks[[#This Row],[_Pred3Text]]="","",IFERROR(VALUE(LEFT(Tasks[[#This Row],[_Pred3Text]],MIN(FIND("F",Tasks[[#This Row],[_Pred3Text]]&amp;"F"),FIND("S",Tasks[[#This Row],[_Pred3Text]]&amp;"S"),FIND("+",Tasks[[#This Row],[_Pred3Text]]&amp;"+"),FIND("-",Tasks[[#This Row],[_Pred3Text]]&amp;"-"))-1)),""))</f>
        <v/>
      </c>
      <c r="CX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 s="42" t="str">
        <f aca="false">IF(Tasks[[#This Row],[_Pred3Text]]="","",TRIM(MID(SUBSTITUTE(SUBSTITUTE(SUBSTITUTE(UPPER(Tasks[[#This Row],[_Predecessors]]),";",",")," ",""),",",REPT(" ",99)),298,99)))</f>
        <v/>
      </c>
      <c r="DA15" s="42" t="str">
        <f aca="false">IF(Tasks[[#This Row],[_Pred4Text]]="","",IFERROR(VALUE(LEFT(Tasks[[#This Row],[_Pred4Text]],MIN(FIND("F",Tasks[[#This Row],[_Pred4Text]]&amp;"F"),FIND("S",Tasks[[#This Row],[_Pred4Text]]&amp;"S"),FIND("+",Tasks[[#This Row],[_Pred4Text]]&amp;"+"),FIND("-",Tasks[[#This Row],[_Pred4Text]]&amp;"-"))-1)),""))</f>
        <v/>
      </c>
      <c r="DB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 s="42" t="str">
        <f aca="false">IF(OR(Tasks[[#This Row],[Task Name]]="",Tasks[[#This Row],[_Resources]]=""),"",TRIM(MID(SUBSTITUTE(Tasks[[#This Row],[_Resources]],",",REPT(" ",99)),1,99)))</f>
        <v>Taylor Morgan</v>
      </c>
      <c r="DE15" s="42" t="str">
        <f aca="false">IF(Tasks[[#This Row],[_Res1Text]]="","",TRIM(MID(SUBSTITUTE(Tasks[[#This Row],[_Resources]],",",REPT(" ",99)),100,99)))</f>
        <v>Sam Rivera[50%]</v>
      </c>
      <c r="DF15" s="42" t="str">
        <f aca="false">IF(Tasks[[#This Row],[_Res2Text]]="","",TRIM(MID(SUBSTITUTE(Tasks[[#This Row],[_Resources]],",",REPT(" ",99)),199,99)))</f>
        <v/>
      </c>
      <c r="DG15" s="42" t="str">
        <f aca="false">IF(Tasks[[#This Row],[_Res3Text]]="","",TRIM(MID(SUBSTITUTE(Tasks[[#This Row],[_Resources]],",",REPT(" ",99)),298,99)))</f>
        <v/>
      </c>
      <c r="DH15" s="42" t="n">
        <f aca="false">IF(Tasks[[#This Row],[_Res1Text]]="",0,IFERROR(MATCH(TRIM(LEFT(Tasks[[#This Row],[_Res1Text]],FIND("[",Tasks[[#This Row],[_Res1Text]]&amp;"[")-1)),res_Name,0),IFERROR(MATCH(TRIM(LEFT(Tasks[[#This Row],[_Res1Text]],FIND("[",Tasks[[#This Row],[_Res1Text]]&amp;"[")-1)),res_Initials,0),0)))</f>
        <v>7</v>
      </c>
      <c r="DI15" s="42" t="n">
        <f aca="false">IF(Tasks[[#This Row],[_Res2Text]]="",0,IFERROR(MATCH(TRIM(LEFT(Tasks[[#This Row],[_Res2Text]],FIND("[",Tasks[[#This Row],[_Res2Text]]&amp;"[")-1)),res_Name,0),IFERROR(MATCH(TRIM(LEFT(Tasks[[#This Row],[_Res2Text]],FIND("[",Tasks[[#This Row],[_Res2Text]]&amp;"[")-1)),res_Initials,0),0)))</f>
        <v>6</v>
      </c>
      <c r="DJ15" s="42" t="n">
        <f aca="false">IF(Tasks[[#This Row],[_Res3Text]]="",0,IFERROR(MATCH(TRIM(LEFT(Tasks[[#This Row],[_Res3Text]],FIND("[",Tasks[[#This Row],[_Res3Text]]&amp;"[")-1)),res_Name,0),IFERROR(MATCH(TRIM(LEFT(Tasks[[#This Row],[_Res3Text]],FIND("[",Tasks[[#This Row],[_Res3Text]]&amp;"[")-1)),res_Initials,0),0)))</f>
        <v>0</v>
      </c>
      <c r="DK15" s="42" t="n">
        <f aca="false">IF(Tasks[[#This Row],[_Res4Text]]="",0,IFERROR(MATCH(TRIM(LEFT(Tasks[[#This Row],[_Res4Text]],FIND("[",Tasks[[#This Row],[_Res4Text]]&amp;"[")-1)),res_Name,0),IFERROR(MATCH(TRIM(LEFT(Tasks[[#This Row],[_Res4Text]],FIND("[",Tasks[[#This Row],[_Res4Text]]&amp;"[")-1)),res_Initials,0),0)))</f>
        <v>0</v>
      </c>
      <c r="DL15" s="42" t="str">
        <f aca="false">IF(Tasks[[#This Row],[_Res1Text]]="","",IF(Tasks[[#This Row],[_Res1Row]]&gt;0,INDEX(res_Name,Tasks[[#This Row],[_Res1Row]]),TRIM(LEFT(Tasks[[#This Row],[_Res1Text]],FIND("[",Tasks[[#This Row],[_Res1Text]]&amp;"[")-1))))</f>
        <v>Taylor Morgan</v>
      </c>
      <c r="DM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 s="42" t="n">
        <f aca="false">IF(NOT(Tasks[[#This Row],[_IsLeaf]]=1),0,(Tasks[[#This Row],[_Resource1]]&lt;&gt;"")+(Tasks[[#This Row],[_Res2]]&lt;&gt;"")+(Tasks[[#This Row],[_Res3]]&lt;&gt;"")+(Tasks[[#This Row],[_Res4]]&lt;&gt;""))</f>
        <v>2</v>
      </c>
      <c r="DO15" s="42" t="str">
        <f aca="false">IF(Tasks[[#This Row],[_Res2Text]]="","",IF(Tasks[[#This Row],[_Res2Row]]&gt;0,INDEX(res_Name,Tasks[[#This Row],[_Res2Row]]),TRIM(LEFT(Tasks[[#This Row],[_Res2Text]],FIND("[",Tasks[[#This Row],[_Res2Text]]&amp;"[")-1))))</f>
        <v>Sam Rivera</v>
      </c>
      <c r="DP15" s="42"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DQ15" s="42" t="n">
        <f aca="false">IF(OR(NOT(Tasks[[#This Row],[_IsLeaf]]=1),Tasks[[#This Row],[_Res2Row]]=0),0,N(Tasks[[#This Row],[_Days]])*HoursPerDay*IF(Tasks[[#This Row],[_Res2Units]]="",DefaultUnits,Tasks[[#This Row],[_Res2Units]]))</f>
        <v>60</v>
      </c>
      <c r="DR15" s="42" t="n">
        <f aca="false">IF(AND(AND(Tasks[[#This Row],[_IsLeaf]]=1,Tasks[[#This Row],[_LeafTotalWork]]&gt;0),Tasks[[#This Row],[_Res2Work]]&gt;0),Tasks[[#This Row],[_Res2Work]]/(Tasks[[#This Row],[_FinishWorkday]]-Tasks[[#This Row],[_StartWorkday]]+1),0)</f>
        <v>3.75</v>
      </c>
      <c r="DS15" s="42" t="n">
        <f aca="false">Tasks[[#This Row],[_Res2WorkPerWD]]*MAX(0,Tasks[[#This Row],[_StartWorkday]]-1)</f>
        <v>82.5</v>
      </c>
      <c r="DT15" s="42" t="n">
        <f aca="false">Tasks[[#This Row],[_Res2Work]]*Tasks[[#This Row],[_LeafProgress]]</f>
        <v>51</v>
      </c>
      <c r="DU15" s="42" t="str">
        <f aca="false">IF(Tasks[[#This Row],[_Res3Text]]="","",IF(Tasks[[#This Row],[_Res3Row]]&gt;0,INDEX(res_Name,Tasks[[#This Row],[_Res3Row]]),TRIM(LEFT(Tasks[[#This Row],[_Res3Text]],FIND("[",Tasks[[#This Row],[_Res3Text]]&amp;"[")-1))))</f>
        <v/>
      </c>
      <c r="DV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 s="42" t="n">
        <f aca="false">IF(OR(NOT(Tasks[[#This Row],[_IsLeaf]]=1),Tasks[[#This Row],[_Res3Row]]=0),0,N(Tasks[[#This Row],[_Days]])*HoursPerDay*IF(Tasks[[#This Row],[_Res3Units]]="",DefaultUnits,Tasks[[#This Row],[_Res3Units]]))</f>
        <v>0</v>
      </c>
      <c r="DX15" s="42" t="n">
        <f aca="false">IF(AND(AND(Tasks[[#This Row],[_IsLeaf]]=1,Tasks[[#This Row],[_LeafTotalWork]]&gt;0),Tasks[[#This Row],[_Res3Work]]&gt;0),Tasks[[#This Row],[_Res3Work]]/(Tasks[[#This Row],[_FinishWorkday]]-Tasks[[#This Row],[_StartWorkday]]+1),0)</f>
        <v>0</v>
      </c>
      <c r="DY15" s="42" t="n">
        <f aca="false">Tasks[[#This Row],[_Res3WorkPerWD]]*MAX(0,Tasks[[#This Row],[_StartWorkday]]-1)</f>
        <v>0</v>
      </c>
      <c r="DZ15" s="42" t="n">
        <f aca="false">Tasks[[#This Row],[_Res3Work]]*Tasks[[#This Row],[_LeafProgress]]</f>
        <v>0</v>
      </c>
      <c r="EA15" s="42" t="str">
        <f aca="false">IF(Tasks[[#This Row],[_Res4Text]]="","",IF(Tasks[[#This Row],[_Res4Row]]&gt;0,INDEX(res_Name,Tasks[[#This Row],[_Res4Row]]),TRIM(LEFT(Tasks[[#This Row],[_Res4Text]],FIND("[",Tasks[[#This Row],[_Res4Text]]&amp;"[")-1))))</f>
        <v/>
      </c>
      <c r="EB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 s="42" t="n">
        <f aca="false">IF(OR(NOT(Tasks[[#This Row],[_IsLeaf]]=1),Tasks[[#This Row],[_Res4Row]]=0),0,N(Tasks[[#This Row],[_Days]])*HoursPerDay*IF(Tasks[[#This Row],[_Res4Units]]="",DefaultUnits,Tasks[[#This Row],[_Res4Units]]))</f>
        <v>0</v>
      </c>
      <c r="ED15" s="42" t="n">
        <f aca="false">IF(AND(AND(Tasks[[#This Row],[_IsLeaf]]=1,Tasks[[#This Row],[_LeafTotalWork]]&gt;0),Tasks[[#This Row],[_Res4Work]]&gt;0),Tasks[[#This Row],[_Res4Work]]/(Tasks[[#This Row],[_FinishWorkday]]-Tasks[[#This Row],[_StartWorkday]]+1),0)</f>
        <v>0</v>
      </c>
      <c r="EE15" s="42" t="n">
        <f aca="false">Tasks[[#This Row],[_Res4WorkPerWD]]*MAX(0,Tasks[[#This Row],[_StartWorkday]]-1)</f>
        <v>0</v>
      </c>
      <c r="EF15" s="42" t="n">
        <f aca="false">Tasks[[#This Row],[_Res4Work]]*Tasks[[#This Row],[_LeafProgress]]</f>
        <v>0</v>
      </c>
      <c r="EG15" s="92" t="n">
        <f aca="false">IF(ISNUMBER(Tasks[[#This Row],[% Complete]]),Tasks[[#This Row],[% Complete]],IF(Tasks[[#This Row],[Stage]]="",0,IFERROR(INDEX(stg_Pct,MATCH(Tasks[[#This Row],[Stage]],stg_Name,0)),0)))</f>
        <v>0.85</v>
      </c>
      <c r="EH15" s="42" t="n">
        <f aca="false">IF(NOT(Tasks[[#This Row],[_IsLeaf]]=1),0,IF(N(Tasks[[#This Row],[Actual Finish]])&gt;0,1,MIN(1,Tasks[[#This Row],[_Pct]])))</f>
        <v>0.85</v>
      </c>
      <c r="EI15" s="42" t="n">
        <f aca="false">IF(OR(NOT(Tasks[[#This Row],[_IsLeaf]]=1),Tasks[[#This Row],[_Res1Row]]=0),0,N(Tasks[[#This Row],[_Days]])*HoursPerDay*IF(Tasks[[#This Row],[_Units1]]="",DefaultUnits,Tasks[[#This Row],[_Units1]]))</f>
        <v>120</v>
      </c>
      <c r="EJ15" s="42" t="n">
        <f aca="false">Tasks[[#This Row],[_LeafWork]]+Tasks[[#This Row],[_Res2Work]]+Tasks[[#This Row],[_Res3Work]]+Tasks[[#This Row],[_Res4Work]]</f>
        <v>180</v>
      </c>
      <c r="EK15"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2912163</v>
      </c>
      <c r="EL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 s="42" t="n">
        <f aca="false">IF(NOT(Tasks[[#This Row],[_IsLeaf]]=1),0,MAX(_xlfn.MAXIFS(Tasks[_Row],Tasks[_Pred1UID],Tasks[[#This Row],[UID]]),_xlfn.MAXIFS(Tasks[_Row],Tasks[_Pred2UID],Tasks[[#This Row],[UID]]),_xlfn.MAXIFS(Tasks[_Row],Tasks[_Pred3UID],Tasks[[#This Row],[UID]]),_xlfn.MAXIFS(Tasks[_Row],Tasks[_Pred4UID],Tasks[[#This Row],[UID]])))</f>
        <v>11</v>
      </c>
      <c r="ET15"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46323</v>
      </c>
      <c r="EU15"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46323</v>
      </c>
      <c r="EV15" s="89" t="n">
        <f aca="false">IF(NOT(Tasks[[#This Row],[_IsLeaf]]=1),"",IF(N(Tasks[[#This Row],[_Days]])&lt;=0,Tasks[[#This Row],[_LeafLateFinish]],WORKDAY.INTL(Tasks[[#This Row],[_LeafLateFinish]],-(Tasks[[#This Row],[_Days]]-1),WorkWeek,Holidays)))</f>
        <v>46303</v>
      </c>
      <c r="EW15"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5" s="88" t="b">
        <f aca="false">AND(Tasks[[#This Row],[_IsLeaf]]=1,Tasks[[#This Row],[_LeafProgress]]&lt;1,N(Tasks[[#This Row],[_LeafTotalSlack]])&lt;=CriticalSlackDays)</f>
        <v>1</v>
      </c>
      <c r="EY15" s="42" t="n">
        <f aca="false">IF(AND(Tasks[[#This Row],[_IsLeaf]]=1,Tasks[[#This Row],[_ConstraintCode]]=1,Tasks[[#This Row],[Mode]]&lt;&gt;"Manual",N(Tasks[[#This Row],[Actual Start]])=0),MAX(0,N(Tasks[[#This Row],[Free Slack]])),0)</f>
        <v>0</v>
      </c>
      <c r="EZ15" s="89" t="n">
        <f aca="false">IF(NOT(Tasks[[#This Row],[_IsLeaf]]=1),"",IF(Tasks[[#This Row],[_AlapShift]]=0,Tasks[[#This Row],[_LeafCalcStart]],WORKDAY.INTL(Tasks[[#This Row],[_LeafCalcStart]],Tasks[[#This Row],[_AlapShift]],WorkWeek,Holidays)))</f>
        <v>46297</v>
      </c>
      <c r="FA15" s="89" t="n">
        <f aca="false">IF(NOT(Tasks[[#This Row],[_IsLeaf]]=1),"",IF(Tasks[[#This Row],[_AlapShift]]=0,Tasks[[#This Row],[_LeafCalcFinish]],WORKDAY.INTL(Tasks[[#This Row],[_LeafCalcFinish]],Tasks[[#This Row],[_AlapShift]],WorkWeek,Holidays)))</f>
        <v>46317</v>
      </c>
      <c r="FB15" s="89" t="n">
        <f aca="false">IF(NOT(Tasks[[#This Row],[_IsLeaf]]=1),"",IF(Tasks[[#This Row],[_AlapShift]]=0,Tasks[[#This Row],[_LeafFcstStart]],WORKDAY.INTL(Tasks[[#This Row],[_LeafFcstStart]],Tasks[[#This Row],[_AlapShift]],WorkWeek,Holidays)))</f>
        <v>46302</v>
      </c>
      <c r="FC15" s="89" t="n">
        <f aca="false">IF(NOT(Tasks[[#This Row],[_IsLeaf]]=1),"",IF(Tasks[[#This Row],[_AlapShift]]=0,Tasks[[#This Row],[_LeafFcstFinish]],WORKDAY.INTL(Tasks[[#This Row],[_LeafFcstFinish]],Tasks[[#This Row],[_AlapShift]],WorkWeek,Holidays)))</f>
        <v>46323</v>
      </c>
      <c r="FD15" s="89" t="n">
        <f aca="false">IF(Tasks[[#This Row],[Task Name]]="","",IF(Tasks[[#This Row],[_IsSummary]],MIN(INDEX(Tasks[_ShownCalcStart],Tasks[[#This Row],[_Row]]+1):INDEX(Tasks[_ShownCalcStart],Tasks[[#This Row],[_Row]]+Tasks[[#This Row],[_Descendants]])),Tasks[[#This Row],[_ShownCalcStart]]))</f>
        <v>46297</v>
      </c>
      <c r="FE15" s="89" t="n">
        <f aca="false">IF(Tasks[[#This Row],[Task Name]]="","",IF(Tasks[[#This Row],[_IsSummary]],MAX(INDEX(Tasks[_ShownCalcFinish],Tasks[[#This Row],[_Row]]+1):INDEX(Tasks[_ShownCalcFinish],Tasks[[#This Row],[_Row]]+Tasks[[#This Row],[_Descendants]])),Tasks[[#This Row],[_ShownCalcFinish]]))</f>
        <v>46317</v>
      </c>
      <c r="FF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46297</v>
      </c>
      <c r="FK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46302</v>
      </c>
      <c r="FO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 s="42" t="n">
        <f aca="false">IF(AND(Tasks[[#This Row],[_IsLeaf]]=1,Tasks[[#This Row],[_LeafTotalWork]]&gt;0),NETWORKDAYS.INTL(ProjectStart,Tasks[[#This Row],[_ShownFcstStart]],WorkWeek,Holidays),0)</f>
        <v>23</v>
      </c>
      <c r="FS15" s="42" t="n">
        <f aca="false">IF(AND(Tasks[[#This Row],[_IsLeaf]]=1,Tasks[[#This Row],[_LeafTotalWork]]&gt;0),MAX(Tasks[[#This Row],[_StartWorkday]],NETWORKDAYS.INTL(ProjectStart,Tasks[[#This Row],[_ShownFcstFinish]],WorkWeek,Holidays)),0)</f>
        <v>38</v>
      </c>
      <c r="FT15" s="42" t="n">
        <f aca="false">IF(AND(Tasks[[#This Row],[_IsLeaf]]=1,Tasks[[#This Row],[_LeafTotalWork]]&gt;0),Tasks[[#This Row],[_LeafWork]]/(Tasks[[#This Row],[_FinishWorkday]]-Tasks[[#This Row],[_StartWorkday]]+1),0)</f>
        <v>7.5</v>
      </c>
      <c r="FU15" s="42" t="n">
        <f aca="false">Tasks[[#This Row],[_WorkPerWorkday]]*(Tasks[[#This Row],[_StartWorkday]]-1)</f>
        <v>165</v>
      </c>
      <c r="FV15" s="42" t="n">
        <f aca="false">IF(Tasks[[#This Row],[_IsLeaf]]=1,MAX(N(Tasks[[#This Row],[_Days]]),0.1),0)</f>
        <v>15</v>
      </c>
      <c r="FW15" s="42" t="n">
        <f aca="false">Tasks[[#This Row],[_WeightDur]]*Tasks[[#This Row],[_LeafProgress]]</f>
        <v>12.75</v>
      </c>
      <c r="FX15" s="42" t="n">
        <f aca="false">Tasks[[#This Row],[_WeightDur]]*Tasks[[#This Row],[_PlannedPct]]</f>
        <v>15</v>
      </c>
      <c r="FY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Z15" s="42" t="str">
        <f aca="false">IF(AND(Tasks[[#This Row],[_IsLeaf]]=1,N(Tasks[[#This Row],[_Days]])=0,Tasks[[#This Row],[_LeafProgress]]&lt;1),Tasks[[#This Row],[_ShownFcstFinish]]+Tasks[[#This Row],[_Row]]/100000,"")</f>
        <v/>
      </c>
      <c r="GA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5" s="42" t="str">
        <f aca="false">IF(Tasks[[#This Row],[Task Name]]="","",LEFT(Tasks[[#This Row],[WBS]],FIND(".",Tasks[[#This Row],[WBS]]&amp;".")-1))</f>
        <v>3</v>
      </c>
      <c r="GC15" s="42" t="str">
        <f aca="false">IF(AND(Tasks[[#This Row],[Task Name]]&lt;&gt;"",Tasks[[#This Row],[_Level]]=1),Tasks[[#This Row],[_Row]],"")</f>
        <v/>
      </c>
      <c r="GD15" s="42" t="str">
        <f aca="false">IF(AND(Tasks[[#This Row],[_IsLeaf]]=1,N(Tasks[[#This Row],[_Days]])=0),Tasks[[#This Row],[Planned Finish]]+Tasks[[#This Row],[_Row]]/100000,"")</f>
        <v/>
      </c>
      <c r="GE15" s="42" t="n">
        <f aca="false">IF(AND(Tasks[[#This Row],[_IsLeaf]]=1,Tasks[[#This Row],[_LeafProgress]]&lt;1,OR(N(Tasks[[#This Row],[Finish Var]])&gt;0,Tasks[[#This Row],[Status]]="Late Start")),MAX(0,Tasks[[#This Row],[Finish Var]])+1-Tasks[[#This Row],[_Row]]/1000000,"")</f>
        <v>4.99999</v>
      </c>
      <c r="GF15" s="42" t="str">
        <f aca="false">IF(AND(Tasks[[#This Row],[_IsLeaf]]=1,N(Tasks[[#This Row],[Actual Start]])=0,Tasks[[#This Row],[_ShownFcstStart]]&gt;=StatusDate,Tasks[[#This Row],[_ShownFcstStart]]&lt;=LookaheadEnd),Tasks[[#This Row],[_ShownFcstStart]]+Tasks[[#This Row],[_Row]]/100000,"")</f>
        <v/>
      </c>
      <c r="GG15" s="93" t="n">
        <f aca="false">IF(AND(Tasks[[#This Row],[_IsLeaf]]=1,Tasks[[#This Row],[_LeafProgress]]&lt;1,Tasks[[#This Row],[_ShownFcstFinish]]&gt;=StatusDate,Tasks[[#This Row],[_ShownFcstFinish]]&lt;=LookaheadEnd),Tasks[[#This Row],[_ShownFcstFinish]]+Tasks[[#This Row],[_Row]]/100000,"")</f>
        <v>46323.0001</v>
      </c>
      <c r="GH15" s="93" t="n">
        <f aca="false">IF(Tasks[[#This Row],[_LeafCritical]],Tasks[[#This Row],[_ShownFcstStart]]+Tasks[[#This Row],[_Row]]/100000,"")</f>
        <v>46302.0001</v>
      </c>
      <c r="GI15" s="42" t="n">
        <f aca="false">Tasks[[#This Row],[_LeafWork]]*Tasks[[#This Row],[_LeafProgress]]</f>
        <v>102</v>
      </c>
      <c r="GJ15" s="89" t="str">
        <f aca="false">IF(AND(Tasks[[#This Row],[_IsLeaf]]=1,Tasks[[#This Row],[_LeafProgress]]&gt;=1),IF(N(Tasks[[#This Row],[Actual Finish]])&gt;0,Tasks[[#This Row],[Actual Finish]],Tasks[[#This Row],[_ShownFcstFinish]]),"")</f>
        <v/>
      </c>
      <c r="GK15" s="42" t="n">
        <f aca="false">IF(Tasks[[#This Row],[_IsLeaf]]=1,N(Tasks[[#This Row],[Story Points]]),0)</f>
        <v>0</v>
      </c>
      <c r="GL15" s="42" t="str">
        <f aca="false">""</f>
        <v/>
      </c>
      <c r="GM15" s="88" t="b">
        <f aca="false">IF(Tasks[[#This Row],[Task Name]]="",FALSE(),AND(Tasks[[#This Row],[_IsLeaf]]=1,N(Tasks[[#This Row],[_Days]])=0))</f>
        <v>0</v>
      </c>
      <c r="GN15" s="89" t="n">
        <f aca="false">IF(Tasks[[#This Row],[Task Name]]="",0,IF(AND(Tasks[[#This Row],[_IsLeaf]]=1,NOT(Tasks[[#This Row],[_IsMilestone]]),N(Tasks[[#This Row],[Progress]])&gt;0),Tasks[[#This Row],[Start]],0))</f>
        <v>46302</v>
      </c>
      <c r="GO15" s="89" t="n">
        <f aca="false">IF(Tasks[[#This Row],[_DoneFrom]]=0,0,IF(Tasks[[#This Row],[Progress]]&gt;=1,Tasks[[#This Row],[Finish]],MAX(Tasks[[#This Row],[_DoneFrom]],Tasks[[#This Row],[Start]]+ROUND((Tasks[[#This Row],[Finish]]-Tasks[[#This Row],[Start]]+1)*Tasks[[#This Row],[Progress]],0)-1)))</f>
        <v>46320</v>
      </c>
      <c r="GP15" s="89" t="n">
        <f aca="false">IF(Tasks[[#This Row],[Task Name]]="",0,IF(OR(NOT(Tasks[[#This Row],[_IsLeaf]]=1),Tasks[[#This Row],[_IsMilestone]],N(Tasks[[#This Row],[Progress]])&gt;=1),0,IF(Tasks[[#This Row],[_DoneTo]]&gt;0,Tasks[[#This Row],[_DoneTo]]+1,Tasks[[#This Row],[Start]])))</f>
        <v>46321</v>
      </c>
      <c r="GQ15" s="89" t="n">
        <f aca="false">IF(Tasks[[#This Row],[_RemFrom]]=0,0,Tasks[[#This Row],[Finish]])</f>
        <v>46323</v>
      </c>
      <c r="GR15" s="88" t="b">
        <f aca="false">IF(Tasks[[#This Row],[Task Name]]="",FALSE(),OR(NOT(BaselineSet),N(Tasks[[#This Row],[Baseline Start]])&gt;0))</f>
        <v>1</v>
      </c>
      <c r="GS15"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15</v>
      </c>
      <c r="GT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9</v>
      </c>
      <c r="GU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Taylor Morgan, Sam Rivera[50%]</v>
      </c>
      <c r="GV15" s="90" t="n">
        <f aca="false">IF(Tasks[[#This Row],[_IsLeaf]]=1,Tasks[[#This Row],[_Row]],"")</f>
        <v>10</v>
      </c>
      <c r="GW15" s="90" t="str">
        <f aca="false">IFERROR(INDEX(Tasks[UID],SMALL(Tasks[_PickKey],Tasks[[#This Row],[_Row]]))&amp;" "&amp;INDEX(Tasks[Task Name],SMALL(Tasks[_PickKey],Tasks[[#This Row],[_Row]])),"")</f>
        <v/>
      </c>
      <c r="GX15" s="42" t="n">
        <f aca="false">IF(Tasks[[#This Row],[Task Name]]="","",IF(Tasks[[#This Row],[_IsSummary]],NETWORKDAYS.INTL(Tasks[[#This Row],[Start]],Tasks[[#This Row],[Finish]],WorkWeek,Holidays),N(Tasks[[#This Row],[_Days]])))</f>
        <v>15</v>
      </c>
    </row>
    <row r="16" customFormat="false" ht="15" hidden="false" customHeight="false" outlineLevel="1" collapsed="false">
      <c r="A16" s="21" t="n">
        <f aca="false">IF(Tasks[[#This Row],[Task Name]]="","",COUNTA(Tasks[[#Headers],[Task Name]]:Tasks[[#This Row],[Task Name]])-1)</f>
        <v>11</v>
      </c>
      <c r="B16" s="22" t="n">
        <v>24</v>
      </c>
      <c r="C16" s="22" t="n">
        <v>2</v>
      </c>
      <c r="D16" s="91" t="s">
        <v>627</v>
      </c>
      <c r="E16" s="22" t="n">
        <v>1</v>
      </c>
      <c r="F16" s="23" t="n">
        <v>21</v>
      </c>
      <c r="G16" s="22"/>
      <c r="H16" s="22"/>
      <c r="I16" s="23"/>
      <c r="J16" s="22"/>
      <c r="K16" s="22"/>
      <c r="L16" s="23"/>
      <c r="M16" s="22"/>
      <c r="N16" s="22"/>
      <c r="O16" s="23"/>
      <c r="P16" s="22"/>
      <c r="Q16" s="22"/>
      <c r="R16" s="23"/>
      <c r="S16" s="23" t="s">
        <v>6</v>
      </c>
      <c r="T16" s="83"/>
      <c r="U16" s="23"/>
      <c r="V16" s="83"/>
      <c r="W16" s="23"/>
      <c r="X16" s="83"/>
      <c r="Y16" s="23"/>
      <c r="Z16" s="83"/>
      <c r="AA16" s="23"/>
      <c r="AB16" s="23"/>
      <c r="AC16" s="7"/>
      <c r="AD16" s="7"/>
      <c r="AE16" s="62" t="n">
        <f aca="false">IF(Tasks[[#This Row],[Task Name]]="","",IF(Tasks[[#This Row],[_IsSummary]],MIN(INDEX(Tasks[_ShownFcstStart],Tasks[[#This Row],[_Row]]+1):INDEX(Tasks[_ShownFcstStart],Tasks[[#This Row],[_Row]]+Tasks[[#This Row],[_Descendants]])),Tasks[[#This Row],[_ShownFcstStart]]))</f>
        <v>46324</v>
      </c>
      <c r="AF16" s="62" t="n">
        <f aca="false">IF(Tasks[[#This Row],[Task Name]]="","",IF(Tasks[[#This Row],[_IsSummary]],MAX(INDEX(Tasks[_ShownFcstFinish],Tasks[[#This Row],[_Row]]+1):INDEX(Tasks[_ShownFcstFinish],Tasks[[#This Row],[_Row]]+Tasks[[#This Row],[_Descendants]])),Tasks[[#This Row],[_ShownFcstFinish]]))</f>
        <v>46324</v>
      </c>
      <c r="AG16" s="21" t="str">
        <f aca="false">""</f>
        <v/>
      </c>
      <c r="AH16" s="23" t="s">
        <v>628</v>
      </c>
      <c r="AI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 s="7"/>
      <c r="AK16" s="22" t="s">
        <v>235</v>
      </c>
      <c r="AL16" s="23"/>
      <c r="AM16" s="7"/>
      <c r="AN16" s="46" t="n">
        <f aca="false">IF(Tasks[[#This Row],[Task Name]]="","",IF(Tasks[[#This Row],[Finish]]&gt;=Tasks[[#This Row],[Planned Finish]],NETWORKDAYS.INTL(Tasks[[#This Row],[Planned Finish]],Tasks[[#This Row],[Finish]],WorkWeek,Holidays)-1,1-NETWORKDAYS.INTL(Tasks[[#This Row],[Finish]],Tasks[[#This Row],[Planned Finish]],WorkWeek,Holidays)))</f>
        <v>4</v>
      </c>
      <c r="AO16" s="21" t="str">
        <f aca="false">IF(Tasks[[#This Row],[Task Name]]="","",IF(Tasks[[#This Row],[Progress]]&gt;=1,"Complete",IF(OR(N(Tasks[[#This Row],[Actual Start]])&gt;0,Tasks[[#This Row],[Progress]]&gt;0),IF(Tasks[[#This Row],[Finish Var]]&gt;0,"Behind","In Progress"),IF(Tasks[[#This Row],[Planned Start]]&lt;StatusDate,"Late Start","Not Started"))))</f>
        <v>Late Start</v>
      </c>
      <c r="AP16" s="21" t="str">
        <f aca="false">IF(Tasks[[#This Row],[Task Name]]="","",IF(IF(Tasks[[#This Row],[_IsSummary]],COUNTIF(INDEX(Tasks[_LeafCritical],Tasks[[#This Row],[_Row]]+1):INDEX(Tasks[_LeafCritical],Tasks[[#This Row],[_Row]]+Tasks[[#This Row],[_Descendants]]),TRUE())&gt;0,Tasks[[#This Row],[_LeafCritical]]),"Yes",""))</f>
        <v>Yes</v>
      </c>
      <c r="AQ16" s="62" t="n">
        <f aca="false">IF(Tasks[[#This Row],[Task Name]]="","",IF(N(Tasks[[#This Row],[Baseline Start]])&gt;0,Tasks[[#This Row],[Baseline Start]],Tasks[[#This Row],[_CalcStart]]))</f>
        <v>46318</v>
      </c>
      <c r="AR16" s="62" t="n">
        <f aca="false">IF(Tasks[[#This Row],[Task Name]]="","",IF(N(Tasks[[#This Row],[Baseline Finish]])&gt;0,Tasks[[#This Row],[Baseline Finish]],Tasks[[#This Row],[_CalcFinish]]))</f>
        <v>46318</v>
      </c>
      <c r="AS16" s="46" t="n">
        <f aca="false">IF(Tasks[[#This Row],[Task Name]]="","",IF(Tasks[[#This Row],[Start]]&gt;=Tasks[[#This Row],[Planned Start]],NETWORKDAYS.INTL(Tasks[[#This Row],[Planned Start]],Tasks[[#This Row],[Start]],WorkWeek,Holidays)-1,1-NETWORKDAYS.INTL(Tasks[[#This Row],[Start]],Tasks[[#This Row],[Planned Start]],WorkWeek,Holidays)))</f>
        <v>4</v>
      </c>
      <c r="AT16" s="62" t="n">
        <f aca="false">IF(Tasks[[#This Row],[Task Name]]="","",IF(Tasks[[#This Row],[_IsSummary]],MIN(INDEX(Tasks[_LeafLateStart],Tasks[[#This Row],[_Row]]+1):INDEX(Tasks[_LeafLateStart],Tasks[[#This Row],[_Row]]+Tasks[[#This Row],[_Descendants]])),Tasks[[#This Row],[_LeafLateStart]]))</f>
        <v>46324</v>
      </c>
      <c r="AU16" s="62" t="n">
        <f aca="false">IF(Tasks[[#This Row],[Task Name]]="","",IF(Tasks[[#This Row],[_IsSummary]],MAX(INDEX(Tasks[_LeafLateFinish],Tasks[[#This Row],[_Row]]+1):INDEX(Tasks[_LeafLateFinish],Tasks[[#This Row],[_Row]]+Tasks[[#This Row],[_Descendants]])),Tasks[[#This Row],[_LeafLateFinish]]))</f>
        <v>46324</v>
      </c>
      <c r="AV16" s="46" t="n">
        <f aca="false">IF(Tasks[[#This Row],[Task Name]]="","",IF(Tasks[[#This Row],[_IsSummary]],MIN(INDEX(Tasks[_LeafTotalSlack],Tasks[[#This Row],[_Row]]+1):INDEX(Tasks[_LeafTotalSlack],Tasks[[#This Row],[_Row]]+Tasks[[#This Row],[_Descendants]])),Tasks[[#This Row],[_LeafTotalSlack]]))</f>
        <v>0</v>
      </c>
      <c r="AW16"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4"/>
      <c r="BA16"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10</v>
      </c>
      <c r="BC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BD16" s="21" t="str">
        <f aca="false">IF(Tasks[[#This Row],[Task Name]]="","",IF(Tasks[[#This Row],[_Level]]&lt;=OutlineShowLevel,"Yes","No"))</f>
        <v>Yes</v>
      </c>
      <c r="BE16" s="85" t="n">
        <f aca="false">IF(Tasks[[#This Row],[Task Name]]="","",IF(Tasks[[#This Row],[_IsSummary]],SUM(INDEX(Tasks[_LeafTotalWork],Tasks[[#This Row],[_Row]]+1):INDEX(Tasks[_LeafTotalWork],Tasks[[#This Row],[_Row]]+Tasks[[#This Row],[_Descendants]])),Tasks[[#This Row],[_LeafTotalWork]]))</f>
        <v>8</v>
      </c>
      <c r="BF16" s="23"/>
      <c r="BG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Priya Sharma</v>
      </c>
      <c r="BH16" s="21" t="str">
        <f aca="false">""</f>
        <v/>
      </c>
      <c r="BI16" s="86"/>
      <c r="BJ16" s="22"/>
      <c r="BK16" s="46" t="n">
        <f aca="false">IF(OR(Tasks[[#This Row],[Task Name]]="",Tasks[[#This Row],[Baseline Duration]]=""),"",Tasks[[#This Row],[_SpanDays]]-N(Tasks[[#This Row],[Baseline Duration]]))</f>
        <v>0</v>
      </c>
      <c r="BL16" s="85" t="n">
        <f aca="false">IF(OR(Tasks[[#This Row],[Task Name]]="",Tasks[[#This Row],[Baseline Work]]=""),"",Tasks[[#This Row],[Work]]-N(Tasks[[#This Row],[Baseline Work]]))</f>
        <v>0</v>
      </c>
      <c r="BM16" s="62" t="n">
        <f aca="false">IF(Tasks[[#This Row],[Task Name]]="","",IF(OR(TakeBaseline="Yes",N(Tasks[[#This Row],[Baseline Start]])=0),Tasks[[#This Row],[Start]],Tasks[[#This Row],[Baseline Start]]))</f>
        <v>46318</v>
      </c>
      <c r="BN16" s="62" t="n">
        <f aca="false">IF(Tasks[[#This Row],[Task Name]]="","",IF(OR(TakeBaseline="Yes",N(Tasks[[#This Row],[Baseline Finish]])=0),Tasks[[#This Row],[Finish]],Tasks[[#This Row],[Baseline Finish]]))</f>
        <v>46318</v>
      </c>
      <c r="BO16" s="21" t="n">
        <f aca="false">IF(Tasks[[#This Row],[Task Name]]="","",IF(OR(TakeBaseline="Yes",N(Tasks[[#This Row],[Baseline Duration]])=0),Tasks[[#This Row],[_SpanDays]],Tasks[[#This Row],[Baseline Duration]]))</f>
        <v>1</v>
      </c>
      <c r="BP16" s="85" t="n">
        <f aca="false">IF(Tasks[[#This Row],[Task Name]]="","",IF(OR(TakeBaseline="Yes",N(Tasks[[#This Row],[Baseline Work]])=0),Tasks[[#This Row],[Work]],Tasks[[#This Row],[Baseline Work]]))</f>
        <v>8</v>
      </c>
      <c r="BQ16" s="7" t="n">
        <v>46318</v>
      </c>
      <c r="BR16" s="7" t="n">
        <v>46318</v>
      </c>
      <c r="BS16" s="22" t="n">
        <v>1</v>
      </c>
      <c r="BT16" s="87" t="n">
        <v>8</v>
      </c>
      <c r="BU16" s="42" t="n">
        <f aca="false">IF(Tasks[[#This Row],[Task Name]]="","",MAX(1,N(Tasks[[#This Row],[Level]])))</f>
        <v>2</v>
      </c>
      <c r="BV16" s="42" t="n">
        <f aca="false">ROW()-ROW(Tasks[[#Headers],[ID]])</f>
        <v>11</v>
      </c>
      <c r="BW16" s="42" t="n">
        <f aca="false">IF(OR(Tasks[[#This Row],[Task Name]]="",Tasks[[#This Row],[_Level]]&lt;=1),0,IFERROR(LOOKUP(2,1/(Tasks[[#Headers],[_Level]]:Tasks[[#This Row],[_Level]]=Tasks[[#This Row],[_Level]]-1),ROW(Tasks[[#Headers],[_Level]]:Tasks[[#This Row],[_Level]])),0))</f>
        <v>14</v>
      </c>
      <c r="BX16" s="42" t="n">
        <f aca="false">IFERROR(N(INDEX(Tasks[_Level],Tasks[[#This Row],[_Row]]+1)),0)</f>
        <v>2</v>
      </c>
      <c r="BY16" s="88" t="b">
        <f aca="false">AND(Tasks[[#This Row],[Task Name]]&lt;&gt;"",Tasks[[#This Row],[_NextLevel]]&gt;Tasks[[#This Row],[_Level]])</f>
        <v>0</v>
      </c>
      <c r="BZ16" s="42" t="n">
        <f aca="false">IF(Tasks[[#This Row],[_IsSummary]],COUNTIF(Tasks[WBS],Tasks[[#This Row],[WBS]]&amp;".*"),0)</f>
        <v>0</v>
      </c>
      <c r="CA16" s="42" t="n">
        <f aca="false">IF(AND(Tasks[[#This Row],[Task Name]]&lt;&gt;"",NOT(Tasks[[#This Row],[_IsSummary]])),1,0)</f>
        <v>1</v>
      </c>
      <c r="CB16" s="42" t="n">
        <f aca="false">IF(N(Tasks[[#This Row],[_Pred1UID]])=0,0,IFERROR(MATCH(Tasks[[#This Row],[_Pred1UID]],Tasks[UID],0),-1))</f>
        <v>10</v>
      </c>
      <c r="CC16" s="42" t="n">
        <f aca="false">IF(N(Tasks[[#This Row],[_Pred2UID]])=0,0,IFERROR(MATCH(Tasks[[#This Row],[_Pred2UID]],Tasks[UID],0),-1))</f>
        <v>0</v>
      </c>
      <c r="CD16" s="42" t="n">
        <f aca="false">IF(N(Tasks[[#This Row],[_Pred3UID]])=0,0,IFERROR(MATCH(Tasks[[#This Row],[_Pred3UID]],Tasks[UID],0),-1))</f>
        <v>0</v>
      </c>
      <c r="CE16" s="42" t="n">
        <f aca="false">IF(N(Tasks[[#This Row],[_Pred4UID]])=0,0,IFERROR(MATCH(Tasks[[#This Row],[_Pred4UID]],Tasks[UID],0),-1))</f>
        <v>0</v>
      </c>
      <c r="CF16"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 s="89" t="n">
        <f aca="false">IF(OR(Tasks[[#This Row],[_ConstraintCode]]=2,Tasks[[#This Row],[_ConstraintCode]]=3,Tasks[[#This Row],[_ConstraintCode]]=4,Tasks[[#This Row],[_ConstraintCode]]=6),Tasks[[#This Row],[_ConstraintStart]],0)</f>
        <v>0</v>
      </c>
      <c r="CI16" s="89" t="n">
        <f aca="false">IF(OR(Tasks[[#This Row],[_ConstraintCode]]=2,Tasks[[#This Row],[_ConstraintCode]]=3,Tasks[[#This Row],[_ConstraintCode]]=5,Tasks[[#This Row],[_ConstraintCode]]=7),Tasks[[#This Row],[_ConstraintStart]],2958465)</f>
        <v>2958465</v>
      </c>
      <c r="CJ16"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6" s="89" t="n">
        <f aca="false">IF(NOT(Tasks[[#This Row],[_IsLeaf]]=1),"",IF(N(Tasks[[#This Row],[_Days]])&lt;=0,Tasks[[#This Row],[_LeafCalcStart]],WORKDAY.INTL(Tasks[[#This Row],[_LeafCalcStart]],Tasks[[#This Row],[_Days]]-1,WorkWeek,Holidays)))</f>
        <v>46318</v>
      </c>
      <c r="CL16"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6"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6" s="42" t="str">
        <f aca="false">IF(Tasks[[#This Row],[_Predecessors]]="","",TRIM(MID(SUBSTITUTE(SUBSTITUTE(SUBSTITUTE(UPPER(Tasks[[#This Row],[_Predecessors]]),";",",")," ",""),",",REPT(" ",99)),1,99)))</f>
        <v>21</v>
      </c>
      <c r="CO16" s="42" t="n">
        <f aca="false">IF(Tasks[[#This Row],[_Pred1Text]]="","",IFERROR(VALUE(LEFT(Tasks[[#This Row],[_Pred1Text]],MIN(FIND("F",Tasks[[#This Row],[_Pred1Text]]&amp;"F"),FIND("S",Tasks[[#This Row],[_Pred1Text]]&amp;"S"),FIND("+",Tasks[[#This Row],[_Pred1Text]]&amp;"+"),FIND("-",Tasks[[#This Row],[_Pred1Text]]&amp;"-"))-1)),""))</f>
        <v>21</v>
      </c>
      <c r="CP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6"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6" s="42" t="str">
        <f aca="false">IF(Tasks[[#This Row],[_Pred1Text]]="","",TRIM(MID(SUBSTITUTE(SUBSTITUTE(SUBSTITUTE(UPPER(Tasks[[#This Row],[_Predecessors]]),";",",")," ",""),",",REPT(" ",99)),100,99)))</f>
        <v/>
      </c>
      <c r="CS16" s="42" t="str">
        <f aca="false">IF(Tasks[[#This Row],[_Pred2Text]]="","",IFERROR(VALUE(LEFT(Tasks[[#This Row],[_Pred2Text]],MIN(FIND("F",Tasks[[#This Row],[_Pred2Text]]&amp;"F"),FIND("S",Tasks[[#This Row],[_Pred2Text]]&amp;"S"),FIND("+",Tasks[[#This Row],[_Pred2Text]]&amp;"+"),FIND("-",Tasks[[#This Row],[_Pred2Text]]&amp;"-"))-1)),""))</f>
        <v/>
      </c>
      <c r="CT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 s="42" t="str">
        <f aca="false">IF(Tasks[[#This Row],[_Pred2Text]]="","",TRIM(MID(SUBSTITUTE(SUBSTITUTE(SUBSTITUTE(UPPER(Tasks[[#This Row],[_Predecessors]]),";",",")," ",""),",",REPT(" ",99)),199,99)))</f>
        <v/>
      </c>
      <c r="CW16" s="42" t="str">
        <f aca="false">IF(Tasks[[#This Row],[_Pred3Text]]="","",IFERROR(VALUE(LEFT(Tasks[[#This Row],[_Pred3Text]],MIN(FIND("F",Tasks[[#This Row],[_Pred3Text]]&amp;"F"),FIND("S",Tasks[[#This Row],[_Pred3Text]]&amp;"S"),FIND("+",Tasks[[#This Row],[_Pred3Text]]&amp;"+"),FIND("-",Tasks[[#This Row],[_Pred3Text]]&amp;"-"))-1)),""))</f>
        <v/>
      </c>
      <c r="CX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 s="42" t="str">
        <f aca="false">IF(Tasks[[#This Row],[_Pred3Text]]="","",TRIM(MID(SUBSTITUTE(SUBSTITUTE(SUBSTITUTE(UPPER(Tasks[[#This Row],[_Predecessors]]),";",",")," ",""),",",REPT(" ",99)),298,99)))</f>
        <v/>
      </c>
      <c r="DA16" s="42" t="str">
        <f aca="false">IF(Tasks[[#This Row],[_Pred4Text]]="","",IFERROR(VALUE(LEFT(Tasks[[#This Row],[_Pred4Text]],MIN(FIND("F",Tasks[[#This Row],[_Pred4Text]]&amp;"F"),FIND("S",Tasks[[#This Row],[_Pred4Text]]&amp;"S"),FIND("+",Tasks[[#This Row],[_Pred4Text]]&amp;"+"),FIND("-",Tasks[[#This Row],[_Pred4Text]]&amp;"-"))-1)),""))</f>
        <v/>
      </c>
      <c r="DB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 s="42" t="str">
        <f aca="false">IF(OR(Tasks[[#This Row],[Task Name]]="",Tasks[[#This Row],[_Resources]]=""),"",TRIM(MID(SUBSTITUTE(Tasks[[#This Row],[_Resources]],",",REPT(" ",99)),1,99)))</f>
        <v>Priya Sharma</v>
      </c>
      <c r="DE16" s="42" t="str">
        <f aca="false">IF(Tasks[[#This Row],[_Res1Text]]="","",TRIM(MID(SUBSTITUTE(Tasks[[#This Row],[_Resources]],",",REPT(" ",99)),100,99)))</f>
        <v/>
      </c>
      <c r="DF16" s="42" t="str">
        <f aca="false">IF(Tasks[[#This Row],[_Res2Text]]="","",TRIM(MID(SUBSTITUTE(Tasks[[#This Row],[_Resources]],",",REPT(" ",99)),199,99)))</f>
        <v/>
      </c>
      <c r="DG16" s="42" t="str">
        <f aca="false">IF(Tasks[[#This Row],[_Res3Text]]="","",TRIM(MID(SUBSTITUTE(Tasks[[#This Row],[_Resources]],",",REPT(" ",99)),298,99)))</f>
        <v/>
      </c>
      <c r="DH16" s="42" t="n">
        <f aca="false">IF(Tasks[[#This Row],[_Res1Text]]="",0,IFERROR(MATCH(TRIM(LEFT(Tasks[[#This Row],[_Res1Text]],FIND("[",Tasks[[#This Row],[_Res1Text]]&amp;"[")-1)),res_Name,0),IFERROR(MATCH(TRIM(LEFT(Tasks[[#This Row],[_Res1Text]],FIND("[",Tasks[[#This Row],[_Res1Text]]&amp;"[")-1)),res_Initials,0),0)))</f>
        <v>1</v>
      </c>
      <c r="DI16" s="42" t="n">
        <f aca="false">IF(Tasks[[#This Row],[_Res2Text]]="",0,IFERROR(MATCH(TRIM(LEFT(Tasks[[#This Row],[_Res2Text]],FIND("[",Tasks[[#This Row],[_Res2Text]]&amp;"[")-1)),res_Name,0),IFERROR(MATCH(TRIM(LEFT(Tasks[[#This Row],[_Res2Text]],FIND("[",Tasks[[#This Row],[_Res2Text]]&amp;"[")-1)),res_Initials,0),0)))</f>
        <v>0</v>
      </c>
      <c r="DJ16" s="42" t="n">
        <f aca="false">IF(Tasks[[#This Row],[_Res3Text]]="",0,IFERROR(MATCH(TRIM(LEFT(Tasks[[#This Row],[_Res3Text]],FIND("[",Tasks[[#This Row],[_Res3Text]]&amp;"[")-1)),res_Name,0),IFERROR(MATCH(TRIM(LEFT(Tasks[[#This Row],[_Res3Text]],FIND("[",Tasks[[#This Row],[_Res3Text]]&amp;"[")-1)),res_Initials,0),0)))</f>
        <v>0</v>
      </c>
      <c r="DK16" s="42" t="n">
        <f aca="false">IF(Tasks[[#This Row],[_Res4Text]]="",0,IFERROR(MATCH(TRIM(LEFT(Tasks[[#This Row],[_Res4Text]],FIND("[",Tasks[[#This Row],[_Res4Text]]&amp;"[")-1)),res_Name,0),IFERROR(MATCH(TRIM(LEFT(Tasks[[#This Row],[_Res4Text]],FIND("[",Tasks[[#This Row],[_Res4Text]]&amp;"[")-1)),res_Initials,0),0)))</f>
        <v>0</v>
      </c>
      <c r="DL16" s="42" t="str">
        <f aca="false">IF(Tasks[[#This Row],[_Res1Text]]="","",IF(Tasks[[#This Row],[_Res1Row]]&gt;0,INDEX(res_Name,Tasks[[#This Row],[_Res1Row]]),TRIM(LEFT(Tasks[[#This Row],[_Res1Text]],FIND("[",Tasks[[#This Row],[_Res1Text]]&amp;"[")-1))))</f>
        <v>Priya Sharma</v>
      </c>
      <c r="DM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 s="42" t="n">
        <f aca="false">IF(NOT(Tasks[[#This Row],[_IsLeaf]]=1),0,(Tasks[[#This Row],[_Resource1]]&lt;&gt;"")+(Tasks[[#This Row],[_Res2]]&lt;&gt;"")+(Tasks[[#This Row],[_Res3]]&lt;&gt;"")+(Tasks[[#This Row],[_Res4]]&lt;&gt;""))</f>
        <v>1</v>
      </c>
      <c r="DO16" s="42" t="str">
        <f aca="false">IF(Tasks[[#This Row],[_Res2Text]]="","",IF(Tasks[[#This Row],[_Res2Row]]&gt;0,INDEX(res_Name,Tasks[[#This Row],[_Res2Row]]),TRIM(LEFT(Tasks[[#This Row],[_Res2Text]],FIND("[",Tasks[[#This Row],[_Res2Text]]&amp;"[")-1))))</f>
        <v/>
      </c>
      <c r="DP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 s="42" t="n">
        <f aca="false">IF(OR(NOT(Tasks[[#This Row],[_IsLeaf]]=1),Tasks[[#This Row],[_Res2Row]]=0),0,N(Tasks[[#This Row],[_Days]])*HoursPerDay*IF(Tasks[[#This Row],[_Res2Units]]="",DefaultUnits,Tasks[[#This Row],[_Res2Units]]))</f>
        <v>0</v>
      </c>
      <c r="DR16" s="42" t="n">
        <f aca="false">IF(AND(AND(Tasks[[#This Row],[_IsLeaf]]=1,Tasks[[#This Row],[_LeafTotalWork]]&gt;0),Tasks[[#This Row],[_Res2Work]]&gt;0),Tasks[[#This Row],[_Res2Work]]/(Tasks[[#This Row],[_FinishWorkday]]-Tasks[[#This Row],[_StartWorkday]]+1),0)</f>
        <v>0</v>
      </c>
      <c r="DS16" s="42" t="n">
        <f aca="false">Tasks[[#This Row],[_Res2WorkPerWD]]*MAX(0,Tasks[[#This Row],[_StartWorkday]]-1)</f>
        <v>0</v>
      </c>
      <c r="DT16" s="42" t="n">
        <f aca="false">Tasks[[#This Row],[_Res2Work]]*Tasks[[#This Row],[_LeafProgress]]</f>
        <v>0</v>
      </c>
      <c r="DU16" s="42" t="str">
        <f aca="false">IF(Tasks[[#This Row],[_Res3Text]]="","",IF(Tasks[[#This Row],[_Res3Row]]&gt;0,INDEX(res_Name,Tasks[[#This Row],[_Res3Row]]),TRIM(LEFT(Tasks[[#This Row],[_Res3Text]],FIND("[",Tasks[[#This Row],[_Res3Text]]&amp;"[")-1))))</f>
        <v/>
      </c>
      <c r="DV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 s="42" t="n">
        <f aca="false">IF(OR(NOT(Tasks[[#This Row],[_IsLeaf]]=1),Tasks[[#This Row],[_Res3Row]]=0),0,N(Tasks[[#This Row],[_Days]])*HoursPerDay*IF(Tasks[[#This Row],[_Res3Units]]="",DefaultUnits,Tasks[[#This Row],[_Res3Units]]))</f>
        <v>0</v>
      </c>
      <c r="DX16" s="42" t="n">
        <f aca="false">IF(AND(AND(Tasks[[#This Row],[_IsLeaf]]=1,Tasks[[#This Row],[_LeafTotalWork]]&gt;0),Tasks[[#This Row],[_Res3Work]]&gt;0),Tasks[[#This Row],[_Res3Work]]/(Tasks[[#This Row],[_FinishWorkday]]-Tasks[[#This Row],[_StartWorkday]]+1),0)</f>
        <v>0</v>
      </c>
      <c r="DY16" s="42" t="n">
        <f aca="false">Tasks[[#This Row],[_Res3WorkPerWD]]*MAX(0,Tasks[[#This Row],[_StartWorkday]]-1)</f>
        <v>0</v>
      </c>
      <c r="DZ16" s="42" t="n">
        <f aca="false">Tasks[[#This Row],[_Res3Work]]*Tasks[[#This Row],[_LeafProgress]]</f>
        <v>0</v>
      </c>
      <c r="EA16" s="42" t="str">
        <f aca="false">IF(Tasks[[#This Row],[_Res4Text]]="","",IF(Tasks[[#This Row],[_Res4Row]]&gt;0,INDEX(res_Name,Tasks[[#This Row],[_Res4Row]]),TRIM(LEFT(Tasks[[#This Row],[_Res4Text]],FIND("[",Tasks[[#This Row],[_Res4Text]]&amp;"[")-1))))</f>
        <v/>
      </c>
      <c r="EB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 s="42" t="n">
        <f aca="false">IF(OR(NOT(Tasks[[#This Row],[_IsLeaf]]=1),Tasks[[#This Row],[_Res4Row]]=0),0,N(Tasks[[#This Row],[_Days]])*HoursPerDay*IF(Tasks[[#This Row],[_Res4Units]]="",DefaultUnits,Tasks[[#This Row],[_Res4Units]]))</f>
        <v>0</v>
      </c>
      <c r="ED16" s="42" t="n">
        <f aca="false">IF(AND(AND(Tasks[[#This Row],[_IsLeaf]]=1,Tasks[[#This Row],[_LeafTotalWork]]&gt;0),Tasks[[#This Row],[_Res4Work]]&gt;0),Tasks[[#This Row],[_Res4Work]]/(Tasks[[#This Row],[_FinishWorkday]]-Tasks[[#This Row],[_StartWorkday]]+1),0)</f>
        <v>0</v>
      </c>
      <c r="EE16" s="42" t="n">
        <f aca="false">Tasks[[#This Row],[_Res4WorkPerWD]]*MAX(0,Tasks[[#This Row],[_StartWorkday]]-1)</f>
        <v>0</v>
      </c>
      <c r="EF16" s="42" t="n">
        <f aca="false">Tasks[[#This Row],[_Res4Work]]*Tasks[[#This Row],[_LeafProgress]]</f>
        <v>0</v>
      </c>
      <c r="EG16" s="42" t="n">
        <f aca="false">IF(ISNUMBER(Tasks[[#This Row],[% Complete]]),Tasks[[#This Row],[% Complete]],IF(Tasks[[#This Row],[Stage]]="",0,IFERROR(INDEX(stg_Pct,MATCH(Tasks[[#This Row],[Stage]],stg_Name,0)),0)))</f>
        <v>0</v>
      </c>
      <c r="EH16" s="42" t="n">
        <f aca="false">IF(NOT(Tasks[[#This Row],[_IsLeaf]]=1),0,IF(N(Tasks[[#This Row],[Actual Finish]])&gt;0,1,MIN(1,Tasks[[#This Row],[_Pct]])))</f>
        <v>0</v>
      </c>
      <c r="EI16" s="42" t="n">
        <f aca="false">IF(OR(NOT(Tasks[[#This Row],[_IsLeaf]]=1),Tasks[[#This Row],[_Res1Row]]=0),0,N(Tasks[[#This Row],[_Days]])*HoursPerDay*IF(Tasks[[#This Row],[_Units1]]="",DefaultUnits,Tasks[[#This Row],[_Units1]]))</f>
        <v>8</v>
      </c>
      <c r="EJ16" s="42" t="n">
        <f aca="false">Tasks[[#This Row],[_LeafWork]]+Tasks[[#This Row],[_Res2Work]]+Tasks[[#This Row],[_Res3Work]]+Tasks[[#This Row],[_Res4Work]]</f>
        <v>8</v>
      </c>
      <c r="EK16"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2912142</v>
      </c>
      <c r="EL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 s="42" t="n">
        <f aca="false">IF(NOT(Tasks[[#This Row],[_IsLeaf]]=1),0,MAX(_xlfn.MAXIFS(Tasks[_Row],Tasks[_Pred1UID],Tasks[[#This Row],[UID]]),_xlfn.MAXIFS(Tasks[_Row],Tasks[_Pred2UID],Tasks[[#This Row],[UID]]),_xlfn.MAXIFS(Tasks[_Row],Tasks[_Pred3UID],Tasks[[#This Row],[UID]]),_xlfn.MAXIFS(Tasks[_Row],Tasks[_Pred4UID],Tasks[[#This Row],[UID]])))</f>
        <v>12</v>
      </c>
      <c r="ET16"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EU16"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6" s="89" t="n">
        <f aca="false">IF(NOT(Tasks[[#This Row],[_IsLeaf]]=1),"",IF(N(Tasks[[#This Row],[_Days]])&lt;=0,Tasks[[#This Row],[_LeafLateFinish]],WORKDAY.INTL(Tasks[[#This Row],[_LeafLateFinish]],-(Tasks[[#This Row],[_Days]]-1),WorkWeek,Holidays)))</f>
        <v>46324</v>
      </c>
      <c r="EW16"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6" s="88" t="b">
        <f aca="false">AND(Tasks[[#This Row],[_IsLeaf]]=1,Tasks[[#This Row],[_LeafProgress]]&lt;1,N(Tasks[[#This Row],[_LeafTotalSlack]])&lt;=CriticalSlackDays)</f>
        <v>1</v>
      </c>
      <c r="EY16" s="42" t="n">
        <f aca="false">IF(AND(Tasks[[#This Row],[_IsLeaf]]=1,Tasks[[#This Row],[_ConstraintCode]]=1,Tasks[[#This Row],[Mode]]&lt;&gt;"Manual",N(Tasks[[#This Row],[Actual Start]])=0),MAX(0,N(Tasks[[#This Row],[Free Slack]])),0)</f>
        <v>0</v>
      </c>
      <c r="EZ16" s="89" t="n">
        <f aca="false">IF(NOT(Tasks[[#This Row],[_IsLeaf]]=1),"",IF(Tasks[[#This Row],[_AlapShift]]=0,Tasks[[#This Row],[_LeafCalcStart]],WORKDAY.INTL(Tasks[[#This Row],[_LeafCalcStart]],Tasks[[#This Row],[_AlapShift]],WorkWeek,Holidays)))</f>
        <v>46318</v>
      </c>
      <c r="FA16" s="89" t="n">
        <f aca="false">IF(NOT(Tasks[[#This Row],[_IsLeaf]]=1),"",IF(Tasks[[#This Row],[_AlapShift]]=0,Tasks[[#This Row],[_LeafCalcFinish]],WORKDAY.INTL(Tasks[[#This Row],[_LeafCalcFinish]],Tasks[[#This Row],[_AlapShift]],WorkWeek,Holidays)))</f>
        <v>46318</v>
      </c>
      <c r="FB16" s="89" t="n">
        <f aca="false">IF(NOT(Tasks[[#This Row],[_IsLeaf]]=1),"",IF(Tasks[[#This Row],[_AlapShift]]=0,Tasks[[#This Row],[_LeafFcstStart]],WORKDAY.INTL(Tasks[[#This Row],[_LeafFcstStart]],Tasks[[#This Row],[_AlapShift]],WorkWeek,Holidays)))</f>
        <v>46324</v>
      </c>
      <c r="FC16" s="89" t="n">
        <f aca="false">IF(NOT(Tasks[[#This Row],[_IsLeaf]]=1),"",IF(Tasks[[#This Row],[_AlapShift]]=0,Tasks[[#This Row],[_LeafFcstFinish]],WORKDAY.INTL(Tasks[[#This Row],[_LeafFcstFinish]],Tasks[[#This Row],[_AlapShift]],WorkWeek,Holidays)))</f>
        <v>46324</v>
      </c>
      <c r="FD16" s="89" t="n">
        <f aca="false">IF(Tasks[[#This Row],[Task Name]]="","",IF(Tasks[[#This Row],[_IsSummary]],MIN(INDEX(Tasks[_ShownCalcStart],Tasks[[#This Row],[_Row]]+1):INDEX(Tasks[_ShownCalcStart],Tasks[[#This Row],[_Row]]+Tasks[[#This Row],[_Descendants]])),Tasks[[#This Row],[_ShownCalcStart]]))</f>
        <v>46318</v>
      </c>
      <c r="FE16" s="89" t="n">
        <f aca="false">IF(Tasks[[#This Row],[Task Name]]="","",IF(Tasks[[#This Row],[_IsSummary]],MAX(INDEX(Tasks[_ShownCalcFinish],Tasks[[#This Row],[_Row]]+1):INDEX(Tasks[_ShownCalcFinish],Tasks[[#This Row],[_Row]]+Tasks[[#This Row],[_Descendants]])),Tasks[[#This Row],[_ShownCalcFinish]]))</f>
        <v>46318</v>
      </c>
      <c r="FF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 s="42" t="n">
        <f aca="false">IF(AND(Tasks[[#This Row],[_IsLeaf]]=1,Tasks[[#This Row],[_LeafTotalWork]]&gt;0),NETWORKDAYS.INTL(ProjectStart,Tasks[[#This Row],[_ShownFcstStart]],WorkWeek,Holidays),0)</f>
        <v>39</v>
      </c>
      <c r="FS16" s="42" t="n">
        <f aca="false">IF(AND(Tasks[[#This Row],[_IsLeaf]]=1,Tasks[[#This Row],[_LeafTotalWork]]&gt;0),MAX(Tasks[[#This Row],[_StartWorkday]],NETWORKDAYS.INTL(ProjectStart,Tasks[[#This Row],[_ShownFcstFinish]],WorkWeek,Holidays)),0)</f>
        <v>39</v>
      </c>
      <c r="FT16" s="42" t="n">
        <f aca="false">IF(AND(Tasks[[#This Row],[_IsLeaf]]=1,Tasks[[#This Row],[_LeafTotalWork]]&gt;0),Tasks[[#This Row],[_LeafWork]]/(Tasks[[#This Row],[_FinishWorkday]]-Tasks[[#This Row],[_StartWorkday]]+1),0)</f>
        <v>8</v>
      </c>
      <c r="FU16" s="42" t="n">
        <f aca="false">Tasks[[#This Row],[_WorkPerWorkday]]*(Tasks[[#This Row],[_StartWorkday]]-1)</f>
        <v>304</v>
      </c>
      <c r="FV16" s="42" t="n">
        <f aca="false">IF(Tasks[[#This Row],[_IsLeaf]]=1,MAX(N(Tasks[[#This Row],[_Days]]),0.1),0)</f>
        <v>1</v>
      </c>
      <c r="FW16" s="42" t="n">
        <f aca="false">Tasks[[#This Row],[_WeightDur]]*Tasks[[#This Row],[_LeafProgress]]</f>
        <v>0</v>
      </c>
      <c r="FX16" s="42" t="n">
        <f aca="false">Tasks[[#This Row],[_WeightDur]]*Tasks[[#This Row],[_PlannedPct]]</f>
        <v>1</v>
      </c>
      <c r="FY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FZ16" s="42" t="str">
        <f aca="false">IF(AND(Tasks[[#This Row],[_IsLeaf]]=1,N(Tasks[[#This Row],[_Days]])=0,Tasks[[#This Row],[_LeafProgress]]&lt;1),Tasks[[#This Row],[_ShownFcstFinish]]+Tasks[[#This Row],[_Row]]/100000,"")</f>
        <v/>
      </c>
      <c r="GA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6" s="42" t="str">
        <f aca="false">IF(Tasks[[#This Row],[Task Name]]="","",LEFT(Tasks[[#This Row],[WBS]],FIND(".",Tasks[[#This Row],[WBS]]&amp;".")-1))</f>
        <v>3</v>
      </c>
      <c r="GC16" s="42" t="str">
        <f aca="false">IF(AND(Tasks[[#This Row],[Task Name]]&lt;&gt;"",Tasks[[#This Row],[_Level]]=1),Tasks[[#This Row],[_Row]],"")</f>
        <v/>
      </c>
      <c r="GD16" s="42" t="str">
        <f aca="false">IF(AND(Tasks[[#This Row],[_IsLeaf]]=1,N(Tasks[[#This Row],[_Days]])=0),Tasks[[#This Row],[Planned Finish]]+Tasks[[#This Row],[_Row]]/100000,"")</f>
        <v/>
      </c>
      <c r="GE16" s="42" t="n">
        <f aca="false">IF(AND(Tasks[[#This Row],[_IsLeaf]]=1,Tasks[[#This Row],[_LeafProgress]]&lt;1,OR(N(Tasks[[#This Row],[Finish Var]])&gt;0,Tasks[[#This Row],[Status]]="Late Start")),MAX(0,Tasks[[#This Row],[Finish Var]])+1-Tasks[[#This Row],[_Row]]/1000000,"")</f>
        <v>4.999989</v>
      </c>
      <c r="GF16" s="93" t="n">
        <f aca="false">IF(AND(Tasks[[#This Row],[_IsLeaf]]=1,N(Tasks[[#This Row],[Actual Start]])=0,Tasks[[#This Row],[_ShownFcstStart]]&gt;=StatusDate,Tasks[[#This Row],[_ShownFcstStart]]&lt;=LookaheadEnd),Tasks[[#This Row],[_ShownFcstStart]]+Tasks[[#This Row],[_Row]]/100000,"")</f>
        <v>46324.00011</v>
      </c>
      <c r="GG16" s="93" t="n">
        <f aca="false">IF(AND(Tasks[[#This Row],[_IsLeaf]]=1,Tasks[[#This Row],[_LeafProgress]]&lt;1,Tasks[[#This Row],[_ShownFcstFinish]]&gt;=StatusDate,Tasks[[#This Row],[_ShownFcstFinish]]&lt;=LookaheadEnd),Tasks[[#This Row],[_ShownFcstFinish]]+Tasks[[#This Row],[_Row]]/100000,"")</f>
        <v>46324.00011</v>
      </c>
      <c r="GH16" s="93" t="n">
        <f aca="false">IF(Tasks[[#This Row],[_LeafCritical]],Tasks[[#This Row],[_ShownFcstStart]]+Tasks[[#This Row],[_Row]]/100000,"")</f>
        <v>46324.00011</v>
      </c>
      <c r="GI16" s="42" t="n">
        <f aca="false">Tasks[[#This Row],[_LeafWork]]*Tasks[[#This Row],[_LeafProgress]]</f>
        <v>0</v>
      </c>
      <c r="GJ16" s="89" t="str">
        <f aca="false">IF(AND(Tasks[[#This Row],[_IsLeaf]]=1,Tasks[[#This Row],[_LeafProgress]]&gt;=1),IF(N(Tasks[[#This Row],[Actual Finish]])&gt;0,Tasks[[#This Row],[Actual Finish]],Tasks[[#This Row],[_ShownFcstFinish]]),"")</f>
        <v/>
      </c>
      <c r="GK16" s="42" t="n">
        <f aca="false">IF(Tasks[[#This Row],[_IsLeaf]]=1,N(Tasks[[#This Row],[Story Points]]),0)</f>
        <v>0</v>
      </c>
      <c r="GL16" s="42" t="str">
        <f aca="false">""</f>
        <v/>
      </c>
      <c r="GM16" s="88" t="b">
        <f aca="false">IF(Tasks[[#This Row],[Task Name]]="",FALSE(),AND(Tasks[[#This Row],[_IsLeaf]]=1,N(Tasks[[#This Row],[_Days]])=0))</f>
        <v>0</v>
      </c>
      <c r="GN16" s="89" t="n">
        <f aca="false">IF(Tasks[[#This Row],[Task Name]]="",0,IF(AND(Tasks[[#This Row],[_IsLeaf]]=1,NOT(Tasks[[#This Row],[_IsMilestone]]),N(Tasks[[#This Row],[Progress]])&gt;0),Tasks[[#This Row],[Start]],0))</f>
        <v>0</v>
      </c>
      <c r="GO16" s="89" t="n">
        <f aca="false">IF(Tasks[[#This Row],[_DoneFrom]]=0,0,IF(Tasks[[#This Row],[Progress]]&gt;=1,Tasks[[#This Row],[Finish]],MAX(Tasks[[#This Row],[_DoneFrom]],Tasks[[#This Row],[Start]]+ROUND((Tasks[[#This Row],[Finish]]-Tasks[[#This Row],[Start]]+1)*Tasks[[#This Row],[Progress]],0)-1)))</f>
        <v>0</v>
      </c>
      <c r="GP16" s="89" t="n">
        <f aca="false">IF(Tasks[[#This Row],[Task Name]]="",0,IF(OR(NOT(Tasks[[#This Row],[_IsLeaf]]=1),Tasks[[#This Row],[_IsMilestone]],N(Tasks[[#This Row],[Progress]])&gt;=1),0,IF(Tasks[[#This Row],[_DoneTo]]&gt;0,Tasks[[#This Row],[_DoneTo]]+1,Tasks[[#This Row],[Start]])))</f>
        <v>46324</v>
      </c>
      <c r="GQ16" s="89" t="n">
        <f aca="false">IF(Tasks[[#This Row],[_RemFrom]]=0,0,Tasks[[#This Row],[Finish]])</f>
        <v>46324</v>
      </c>
      <c r="GR16" s="88" t="b">
        <f aca="false">IF(Tasks[[#This Row],[Task Name]]="",FALSE(),OR(NOT(BaselineSet),N(Tasks[[#This Row],[Baseline Start]])&gt;0))</f>
        <v>1</v>
      </c>
      <c r="GS16"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1</v>
      </c>
      <c r="GT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21</v>
      </c>
      <c r="GU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Priya Sharma</v>
      </c>
      <c r="GV16" s="90" t="n">
        <f aca="false">IF(Tasks[[#This Row],[_IsLeaf]]=1,Tasks[[#This Row],[_Row]],"")</f>
        <v>11</v>
      </c>
      <c r="GW16" s="90" t="str">
        <f aca="false">IFERROR(INDEX(Tasks[UID],SMALL(Tasks[_PickKey],Tasks[[#This Row],[_Row]]))&amp;" "&amp;INDEX(Tasks[Task Name],SMALL(Tasks[_PickKey],Tasks[[#This Row],[_Row]])),"")</f>
        <v/>
      </c>
      <c r="GX16" s="42" t="n">
        <f aca="false">IF(Tasks[[#This Row],[Task Name]]="","",IF(Tasks[[#This Row],[_IsSummary]],NETWORKDAYS.INTL(Tasks[[#This Row],[Start]],Tasks[[#This Row],[Finish]],WorkWeek,Holidays),N(Tasks[[#This Row],[_Days]])))</f>
        <v>1</v>
      </c>
    </row>
    <row r="17" customFormat="false" ht="15" hidden="false" customHeight="false" outlineLevel="1" collapsed="false">
      <c r="A17" s="21" t="n">
        <f aca="false">IF(Tasks[[#This Row],[Task Name]]="","",COUNTA(Tasks[[#Headers],[Task Name]]:Tasks[[#This Row],[Task Name]])-1)</f>
        <v>12</v>
      </c>
      <c r="B17" s="22" t="n">
        <v>25</v>
      </c>
      <c r="C17" s="22" t="n">
        <v>2</v>
      </c>
      <c r="D17" s="91" t="s">
        <v>629</v>
      </c>
      <c r="E17" s="22" t="n">
        <v>0</v>
      </c>
      <c r="F17" s="23" t="n">
        <v>24</v>
      </c>
      <c r="G17" s="22"/>
      <c r="H17" s="22"/>
      <c r="I17" s="23"/>
      <c r="J17" s="22"/>
      <c r="K17" s="22"/>
      <c r="L17" s="23"/>
      <c r="M17" s="22"/>
      <c r="N17" s="22"/>
      <c r="O17" s="23"/>
      <c r="P17" s="22"/>
      <c r="Q17" s="22"/>
      <c r="R17" s="23"/>
      <c r="S17" s="23"/>
      <c r="T17" s="83"/>
      <c r="U17" s="23"/>
      <c r="V17" s="83"/>
      <c r="W17" s="23"/>
      <c r="X17" s="83"/>
      <c r="Y17" s="23"/>
      <c r="Z17" s="83"/>
      <c r="AA17" s="23"/>
      <c r="AB17" s="23"/>
      <c r="AC17" s="7"/>
      <c r="AD17" s="7"/>
      <c r="AE17" s="62" t="n">
        <f aca="false">IF(Tasks[[#This Row],[Task Name]]="","",IF(Tasks[[#This Row],[_IsSummary]],MIN(INDEX(Tasks[_ShownFcstStart],Tasks[[#This Row],[_Row]]+1):INDEX(Tasks[_ShownFcstStart],Tasks[[#This Row],[_Row]]+Tasks[[#This Row],[_Descendants]])),Tasks[[#This Row],[_ShownFcstStart]]))</f>
        <v>46324</v>
      </c>
      <c r="AF17" s="62" t="n">
        <f aca="false">IF(Tasks[[#This Row],[Task Name]]="","",IF(Tasks[[#This Row],[_IsSummary]],MAX(INDEX(Tasks[_ShownFcstFinish],Tasks[[#This Row],[_Row]]+1):INDEX(Tasks[_ShownFcstFinish],Tasks[[#This Row],[_Row]]+Tasks[[#This Row],[_Descendants]])),Tasks[[#This Row],[_ShownFcstFinish]]))</f>
        <v>46324</v>
      </c>
      <c r="AG17" s="21" t="str">
        <f aca="false">""</f>
        <v/>
      </c>
      <c r="AH17" s="23" t="s">
        <v>630</v>
      </c>
      <c r="AI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 s="7" t="n">
        <v>46374</v>
      </c>
      <c r="AK17" s="22" t="s">
        <v>235</v>
      </c>
      <c r="AL17" s="23"/>
      <c r="AM17" s="7"/>
      <c r="AN17" s="46" t="n">
        <f aca="false">IF(Tasks[[#This Row],[Task Name]]="","",IF(Tasks[[#This Row],[Finish]]&gt;=Tasks[[#This Row],[Planned Finish]],NETWORKDAYS.INTL(Tasks[[#This Row],[Planned Finish]],Tasks[[#This Row],[Finish]],WorkWeek,Holidays)-1,1-NETWORKDAYS.INTL(Tasks[[#This Row],[Finish]],Tasks[[#This Row],[Planned Finish]],WorkWeek,Holidays)))</f>
        <v>4</v>
      </c>
      <c r="AO17" s="21" t="str">
        <f aca="false">IF(Tasks[[#This Row],[Task Name]]="","",IF(Tasks[[#This Row],[Progress]]&gt;=1,"Complete",IF(OR(N(Tasks[[#This Row],[Actual Start]])&gt;0,Tasks[[#This Row],[Progress]]&gt;0),IF(Tasks[[#This Row],[Finish Var]]&gt;0,"Behind","In Progress"),IF(Tasks[[#This Row],[Planned Start]]&lt;StatusDate,"Late Start","Not Started"))))</f>
        <v>Late Start</v>
      </c>
      <c r="AP17" s="21" t="str">
        <f aca="false">IF(Tasks[[#This Row],[Task Name]]="","",IF(IF(Tasks[[#This Row],[_IsSummary]],COUNTIF(INDEX(Tasks[_LeafCritical],Tasks[[#This Row],[_Row]]+1):INDEX(Tasks[_LeafCritical],Tasks[[#This Row],[_Row]]+Tasks[[#This Row],[_Descendants]]),TRUE())&gt;0,Tasks[[#This Row],[_LeafCritical]]),"Yes",""))</f>
        <v>Yes</v>
      </c>
      <c r="AQ17" s="62" t="n">
        <f aca="false">IF(Tasks[[#This Row],[Task Name]]="","",IF(N(Tasks[[#This Row],[Baseline Start]])&gt;0,Tasks[[#This Row],[Baseline Start]],Tasks[[#This Row],[_CalcStart]]))</f>
        <v>46318</v>
      </c>
      <c r="AR17" s="62" t="n">
        <f aca="false">IF(Tasks[[#This Row],[Task Name]]="","",IF(N(Tasks[[#This Row],[Baseline Finish]])&gt;0,Tasks[[#This Row],[Baseline Finish]],Tasks[[#This Row],[_CalcFinish]]))</f>
        <v>46318</v>
      </c>
      <c r="AS17" s="46" t="n">
        <f aca="false">IF(Tasks[[#This Row],[Task Name]]="","",IF(Tasks[[#This Row],[Start]]&gt;=Tasks[[#This Row],[Planned Start]],NETWORKDAYS.INTL(Tasks[[#This Row],[Planned Start]],Tasks[[#This Row],[Start]],WorkWeek,Holidays)-1,1-NETWORKDAYS.INTL(Tasks[[#This Row],[Start]],Tasks[[#This Row],[Planned Start]],WorkWeek,Holidays)))</f>
        <v>4</v>
      </c>
      <c r="AT17" s="62" t="n">
        <f aca="false">IF(Tasks[[#This Row],[Task Name]]="","",IF(Tasks[[#This Row],[_IsSummary]],MIN(INDEX(Tasks[_LeafLateStart],Tasks[[#This Row],[_Row]]+1):INDEX(Tasks[_LeafLateStart],Tasks[[#This Row],[_Row]]+Tasks[[#This Row],[_Descendants]])),Tasks[[#This Row],[_LeafLateStart]]))</f>
        <v>46324</v>
      </c>
      <c r="AU17" s="62" t="n">
        <f aca="false">IF(Tasks[[#This Row],[Task Name]]="","",IF(Tasks[[#This Row],[_IsSummary]],MAX(INDEX(Tasks[_LeafLateFinish],Tasks[[#This Row],[_Row]]+1):INDEX(Tasks[_LeafLateFinish],Tasks[[#This Row],[_Row]]+Tasks[[#This Row],[_Descendants]])),Tasks[[#This Row],[_LeafLateFinish]]))</f>
        <v>46324</v>
      </c>
      <c r="AV17" s="46" t="n">
        <f aca="false">IF(Tasks[[#This Row],[Task Name]]="","",IF(Tasks[[#This Row],[_IsSummary]],MIN(INDEX(Tasks[_LeafTotalSlack],Tasks[[#This Row],[_Row]]+1):INDEX(Tasks[_LeafTotalSlack],Tasks[[#This Row],[_Row]]+Tasks[[#This Row],[_Descendants]])),Tasks[[#This Row],[_LeafTotalSlack]]))</f>
        <v>0</v>
      </c>
      <c r="AW17" s="21"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X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Y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4"/>
      <c r="BA17" s="84"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BB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11</v>
      </c>
      <c r="BC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BD17" s="21" t="str">
        <f aca="false">IF(Tasks[[#This Row],[Task Name]]="","",IF(Tasks[[#This Row],[_Level]]&lt;=OutlineShowLevel,"Yes","No"))</f>
        <v>Yes</v>
      </c>
      <c r="BE17" s="85" t="n">
        <f aca="false">IF(Tasks[[#This Row],[Task Name]]="","",IF(Tasks[[#This Row],[_IsSummary]],SUM(INDEX(Tasks[_LeafTotalWork],Tasks[[#This Row],[_Row]]+1):INDEX(Tasks[_LeafTotalWork],Tasks[[#This Row],[_Row]]+Tasks[[#This Row],[_Descendants]])),Tasks[[#This Row],[_LeafTotalWork]]))</f>
        <v>0</v>
      </c>
      <c r="BF17" s="23"/>
      <c r="BG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t="str">
        <f aca="false">""</f>
        <v/>
      </c>
      <c r="BI17" s="86"/>
      <c r="BJ17" s="22"/>
      <c r="BK17" s="46" t="n">
        <f aca="false">IF(OR(Tasks[[#This Row],[Task Name]]="",Tasks[[#This Row],[Baseline Duration]]=""),"",Tasks[[#This Row],[_SpanDays]]-N(Tasks[[#This Row],[Baseline Duration]]))</f>
        <v>0</v>
      </c>
      <c r="BL17" s="85" t="n">
        <f aca="false">IF(OR(Tasks[[#This Row],[Task Name]]="",Tasks[[#This Row],[Baseline Work]]=""),"",Tasks[[#This Row],[Work]]-N(Tasks[[#This Row],[Baseline Work]]))</f>
        <v>0</v>
      </c>
      <c r="BM17" s="62" t="n">
        <f aca="false">IF(Tasks[[#This Row],[Task Name]]="","",IF(OR(TakeBaseline="Yes",N(Tasks[[#This Row],[Baseline Start]])=0),Tasks[[#This Row],[Start]],Tasks[[#This Row],[Baseline Start]]))</f>
        <v>46318</v>
      </c>
      <c r="BN17" s="62" t="n">
        <f aca="false">IF(Tasks[[#This Row],[Task Name]]="","",IF(OR(TakeBaseline="Yes",N(Tasks[[#This Row],[Baseline Finish]])=0),Tasks[[#This Row],[Finish]],Tasks[[#This Row],[Baseline Finish]]))</f>
        <v>46318</v>
      </c>
      <c r="BO17" s="21" t="n">
        <f aca="false">IF(Tasks[[#This Row],[Task Name]]="","",IF(OR(TakeBaseline="Yes",N(Tasks[[#This Row],[Baseline Duration]])=0),Tasks[[#This Row],[_SpanDays]],Tasks[[#This Row],[Baseline Duration]]))</f>
        <v>0</v>
      </c>
      <c r="BP17" s="85" t="n">
        <f aca="false">IF(Tasks[[#This Row],[Task Name]]="","",IF(OR(TakeBaseline="Yes",N(Tasks[[#This Row],[Baseline Work]])=0),Tasks[[#This Row],[Work]],Tasks[[#This Row],[Baseline Work]]))</f>
        <v>0</v>
      </c>
      <c r="BQ17" s="7" t="n">
        <v>46318</v>
      </c>
      <c r="BR17" s="7" t="n">
        <v>46318</v>
      </c>
      <c r="BS17" s="22" t="n">
        <v>0</v>
      </c>
      <c r="BT17" s="87" t="n">
        <v>0</v>
      </c>
      <c r="BU17" s="42" t="n">
        <f aca="false">IF(Tasks[[#This Row],[Task Name]]="","",MAX(1,N(Tasks[[#This Row],[Level]])))</f>
        <v>2</v>
      </c>
      <c r="BV17" s="42" t="n">
        <f aca="false">ROW()-ROW(Tasks[[#Headers],[ID]])</f>
        <v>12</v>
      </c>
      <c r="BW17" s="42" t="n">
        <f aca="false">IF(OR(Tasks[[#This Row],[Task Name]]="",Tasks[[#This Row],[_Level]]&lt;=1),0,IFERROR(LOOKUP(2,1/(Tasks[[#Headers],[_Level]]:Tasks[[#This Row],[_Level]]=Tasks[[#This Row],[_Level]]-1),ROW(Tasks[[#Headers],[_Level]]:Tasks[[#This Row],[_Level]])),0))</f>
        <v>14</v>
      </c>
      <c r="BX17" s="42" t="n">
        <f aca="false">IFERROR(N(INDEX(Tasks[_Level],Tasks[[#This Row],[_Row]]+1)),0)</f>
        <v>0</v>
      </c>
      <c r="BY17" s="88" t="b">
        <f aca="false">AND(Tasks[[#This Row],[Task Name]]&lt;&gt;"",Tasks[[#This Row],[_NextLevel]]&gt;Tasks[[#This Row],[_Level]])</f>
        <v>0</v>
      </c>
      <c r="BZ17" s="42" t="n">
        <f aca="false">IF(Tasks[[#This Row],[_IsSummary]],COUNTIF(Tasks[WBS],Tasks[[#This Row],[WBS]]&amp;".*"),0)</f>
        <v>0</v>
      </c>
      <c r="CA17" s="42" t="n">
        <f aca="false">IF(AND(Tasks[[#This Row],[Task Name]]&lt;&gt;"",NOT(Tasks[[#This Row],[_IsSummary]])),1,0)</f>
        <v>1</v>
      </c>
      <c r="CB17" s="42" t="n">
        <f aca="false">IF(N(Tasks[[#This Row],[_Pred1UID]])=0,0,IFERROR(MATCH(Tasks[[#This Row],[_Pred1UID]],Tasks[UID],0),-1))</f>
        <v>11</v>
      </c>
      <c r="CC17" s="42" t="n">
        <f aca="false">IF(N(Tasks[[#This Row],[_Pred2UID]])=0,0,IFERROR(MATCH(Tasks[[#This Row],[_Pred2UID]],Tasks[UID],0),-1))</f>
        <v>0</v>
      </c>
      <c r="CD17" s="42" t="n">
        <f aca="false">IF(N(Tasks[[#This Row],[_Pred3UID]])=0,0,IFERROR(MATCH(Tasks[[#This Row],[_Pred3UID]],Tasks[UID],0),-1))</f>
        <v>0</v>
      </c>
      <c r="CE17" s="42" t="n">
        <f aca="false">IF(N(Tasks[[#This Row],[_Pred4UID]])=0,0,IFERROR(MATCH(Tasks[[#This Row],[_Pred4UID]],Tasks[UID],0),-1))</f>
        <v>0</v>
      </c>
      <c r="CF17" s="42"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G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 s="89" t="n">
        <f aca="false">IF(OR(Tasks[[#This Row],[_ConstraintCode]]=2,Tasks[[#This Row],[_ConstraintCode]]=3,Tasks[[#This Row],[_ConstraintCode]]=4,Tasks[[#This Row],[_ConstraintCode]]=6),Tasks[[#This Row],[_ConstraintStart]],0)</f>
        <v>0</v>
      </c>
      <c r="CI17" s="89" t="n">
        <f aca="false">IF(OR(Tasks[[#This Row],[_ConstraintCode]]=2,Tasks[[#This Row],[_ConstraintCode]]=3,Tasks[[#This Row],[_ConstraintCode]]=5,Tasks[[#This Row],[_ConstraintCode]]=7),Tasks[[#This Row],[_ConstraintStart]],2958465)</f>
        <v>2958465</v>
      </c>
      <c r="CJ17" s="89"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K17" s="89" t="n">
        <f aca="false">IF(NOT(Tasks[[#This Row],[_IsLeaf]]=1),"",IF(N(Tasks[[#This Row],[_Days]])&lt;=0,Tasks[[#This Row],[_LeafCalcStart]],WORKDAY.INTL(Tasks[[#This Row],[_LeafCalcStart]],Tasks[[#This Row],[_Days]]-1,WorkWeek,Holidays)))</f>
        <v>46318</v>
      </c>
      <c r="CL17" s="89"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46324</v>
      </c>
      <c r="CM17" s="89" t="n">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46324</v>
      </c>
      <c r="CN17" s="42" t="str">
        <f aca="false">IF(Tasks[[#This Row],[_Predecessors]]="","",TRIM(MID(SUBSTITUTE(SUBSTITUTE(SUBSTITUTE(UPPER(Tasks[[#This Row],[_Predecessors]]),";",",")," ",""),",",REPT(" ",99)),1,99)))</f>
        <v>24</v>
      </c>
      <c r="CO17" s="42" t="n">
        <f aca="false">IF(Tasks[[#This Row],[_Pred1Text]]="","",IFERROR(VALUE(LEFT(Tasks[[#This Row],[_Pred1Text]],MIN(FIND("F",Tasks[[#This Row],[_Pred1Text]]&amp;"F"),FIND("S",Tasks[[#This Row],[_Pred1Text]]&amp;"S"),FIND("+",Tasks[[#This Row],[_Pred1Text]]&amp;"+"),FIND("-",Tasks[[#This Row],[_Pred1Text]]&amp;"-"))-1)),""))</f>
        <v>24</v>
      </c>
      <c r="CP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CQ17" s="42"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CR17" s="42" t="str">
        <f aca="false">IF(Tasks[[#This Row],[_Pred1Text]]="","",TRIM(MID(SUBSTITUTE(SUBSTITUTE(SUBSTITUTE(UPPER(Tasks[[#This Row],[_Predecessors]]),";",",")," ",""),",",REPT(" ",99)),100,99)))</f>
        <v/>
      </c>
      <c r="CS17" s="42" t="str">
        <f aca="false">IF(Tasks[[#This Row],[_Pred2Text]]="","",IFERROR(VALUE(LEFT(Tasks[[#This Row],[_Pred2Text]],MIN(FIND("F",Tasks[[#This Row],[_Pred2Text]]&amp;"F"),FIND("S",Tasks[[#This Row],[_Pred2Text]]&amp;"S"),FIND("+",Tasks[[#This Row],[_Pred2Text]]&amp;"+"),FIND("-",Tasks[[#This Row],[_Pred2Text]]&amp;"-"))-1)),""))</f>
        <v/>
      </c>
      <c r="CT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 s="42" t="str">
        <f aca="false">IF(Tasks[[#This Row],[_Pred2Text]]="","",TRIM(MID(SUBSTITUTE(SUBSTITUTE(SUBSTITUTE(UPPER(Tasks[[#This Row],[_Predecessors]]),";",",")," ",""),",",REPT(" ",99)),199,99)))</f>
        <v/>
      </c>
      <c r="CW17" s="42" t="str">
        <f aca="false">IF(Tasks[[#This Row],[_Pred3Text]]="","",IFERROR(VALUE(LEFT(Tasks[[#This Row],[_Pred3Text]],MIN(FIND("F",Tasks[[#This Row],[_Pred3Text]]&amp;"F"),FIND("S",Tasks[[#This Row],[_Pred3Text]]&amp;"S"),FIND("+",Tasks[[#This Row],[_Pred3Text]]&amp;"+"),FIND("-",Tasks[[#This Row],[_Pred3Text]]&amp;"-"))-1)),""))</f>
        <v/>
      </c>
      <c r="CX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 s="42" t="str">
        <f aca="false">IF(Tasks[[#This Row],[_Pred3Text]]="","",TRIM(MID(SUBSTITUTE(SUBSTITUTE(SUBSTITUTE(UPPER(Tasks[[#This Row],[_Predecessors]]),";",",")," ",""),",",REPT(" ",99)),298,99)))</f>
        <v/>
      </c>
      <c r="DA17" s="42" t="str">
        <f aca="false">IF(Tasks[[#This Row],[_Pred4Text]]="","",IFERROR(VALUE(LEFT(Tasks[[#This Row],[_Pred4Text]],MIN(FIND("F",Tasks[[#This Row],[_Pred4Text]]&amp;"F"),FIND("S",Tasks[[#This Row],[_Pred4Text]]&amp;"S"),FIND("+",Tasks[[#This Row],[_Pred4Text]]&amp;"+"),FIND("-",Tasks[[#This Row],[_Pred4Text]]&amp;"-"))-1)),""))</f>
        <v/>
      </c>
      <c r="DB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 s="42" t="str">
        <f aca="false">IF(OR(Tasks[[#This Row],[Task Name]]="",Tasks[[#This Row],[_Resources]]=""),"",TRIM(MID(SUBSTITUTE(Tasks[[#This Row],[_Resources]],",",REPT(" ",99)),1,99)))</f>
        <v/>
      </c>
      <c r="DE17" s="42" t="str">
        <f aca="false">IF(Tasks[[#This Row],[_Res1Text]]="","",TRIM(MID(SUBSTITUTE(Tasks[[#This Row],[_Resources]],",",REPT(" ",99)),100,99)))</f>
        <v/>
      </c>
      <c r="DF17" s="42" t="str">
        <f aca="false">IF(Tasks[[#This Row],[_Res2Text]]="","",TRIM(MID(SUBSTITUTE(Tasks[[#This Row],[_Resources]],",",REPT(" ",99)),199,99)))</f>
        <v/>
      </c>
      <c r="DG17" s="42" t="str">
        <f aca="false">IF(Tasks[[#This Row],[_Res3Text]]="","",TRIM(MID(SUBSTITUTE(Tasks[[#This Row],[_Resources]],",",REPT(" ",99)),298,99)))</f>
        <v/>
      </c>
      <c r="DH17" s="42" t="n">
        <f aca="false">IF(Tasks[[#This Row],[_Res1Text]]="",0,IFERROR(MATCH(TRIM(LEFT(Tasks[[#This Row],[_Res1Text]],FIND("[",Tasks[[#This Row],[_Res1Text]]&amp;"[")-1)),res_Name,0),IFERROR(MATCH(TRIM(LEFT(Tasks[[#This Row],[_Res1Text]],FIND("[",Tasks[[#This Row],[_Res1Text]]&amp;"[")-1)),res_Initials,0),0)))</f>
        <v>0</v>
      </c>
      <c r="DI17" s="42" t="n">
        <f aca="false">IF(Tasks[[#This Row],[_Res2Text]]="",0,IFERROR(MATCH(TRIM(LEFT(Tasks[[#This Row],[_Res2Text]],FIND("[",Tasks[[#This Row],[_Res2Text]]&amp;"[")-1)),res_Name,0),IFERROR(MATCH(TRIM(LEFT(Tasks[[#This Row],[_Res2Text]],FIND("[",Tasks[[#This Row],[_Res2Text]]&amp;"[")-1)),res_Initials,0),0)))</f>
        <v>0</v>
      </c>
      <c r="DJ17" s="42" t="n">
        <f aca="false">IF(Tasks[[#This Row],[_Res3Text]]="",0,IFERROR(MATCH(TRIM(LEFT(Tasks[[#This Row],[_Res3Text]],FIND("[",Tasks[[#This Row],[_Res3Text]]&amp;"[")-1)),res_Name,0),IFERROR(MATCH(TRIM(LEFT(Tasks[[#This Row],[_Res3Text]],FIND("[",Tasks[[#This Row],[_Res3Text]]&amp;"[")-1)),res_Initials,0),0)))</f>
        <v>0</v>
      </c>
      <c r="DK17" s="42" t="n">
        <f aca="false">IF(Tasks[[#This Row],[_Res4Text]]="",0,IFERROR(MATCH(TRIM(LEFT(Tasks[[#This Row],[_Res4Text]],FIND("[",Tasks[[#This Row],[_Res4Text]]&amp;"[")-1)),res_Name,0),IFERROR(MATCH(TRIM(LEFT(Tasks[[#This Row],[_Res4Text]],FIND("[",Tasks[[#This Row],[_Res4Text]]&amp;"[")-1)),res_Initials,0),0)))</f>
        <v>0</v>
      </c>
      <c r="DL17" s="42" t="str">
        <f aca="false">IF(Tasks[[#This Row],[_Res1Text]]="","",IF(Tasks[[#This Row],[_Res1Row]]&gt;0,INDEX(res_Name,Tasks[[#This Row],[_Res1Row]]),TRIM(LEFT(Tasks[[#This Row],[_Res1Text]],FIND("[",Tasks[[#This Row],[_Res1Text]]&amp;"[")-1))))</f>
        <v/>
      </c>
      <c r="DM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 s="42" t="n">
        <f aca="false">IF(NOT(Tasks[[#This Row],[_IsLeaf]]=1),0,(Tasks[[#This Row],[_Resource1]]&lt;&gt;"")+(Tasks[[#This Row],[_Res2]]&lt;&gt;"")+(Tasks[[#This Row],[_Res3]]&lt;&gt;"")+(Tasks[[#This Row],[_Res4]]&lt;&gt;""))</f>
        <v>0</v>
      </c>
      <c r="DO17" s="42" t="str">
        <f aca="false">IF(Tasks[[#This Row],[_Res2Text]]="","",IF(Tasks[[#This Row],[_Res2Row]]&gt;0,INDEX(res_Name,Tasks[[#This Row],[_Res2Row]]),TRIM(LEFT(Tasks[[#This Row],[_Res2Text]],FIND("[",Tasks[[#This Row],[_Res2Text]]&amp;"[")-1))))</f>
        <v/>
      </c>
      <c r="DP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 s="42" t="n">
        <f aca="false">IF(OR(NOT(Tasks[[#This Row],[_IsLeaf]]=1),Tasks[[#This Row],[_Res2Row]]=0),0,N(Tasks[[#This Row],[_Days]])*HoursPerDay*IF(Tasks[[#This Row],[_Res2Units]]="",DefaultUnits,Tasks[[#This Row],[_Res2Units]]))</f>
        <v>0</v>
      </c>
      <c r="DR17" s="42" t="n">
        <f aca="false">IF(AND(AND(Tasks[[#This Row],[_IsLeaf]]=1,Tasks[[#This Row],[_LeafTotalWork]]&gt;0),Tasks[[#This Row],[_Res2Work]]&gt;0),Tasks[[#This Row],[_Res2Work]]/(Tasks[[#This Row],[_FinishWorkday]]-Tasks[[#This Row],[_StartWorkday]]+1),0)</f>
        <v>0</v>
      </c>
      <c r="DS17" s="42" t="n">
        <f aca="false">Tasks[[#This Row],[_Res2WorkPerWD]]*MAX(0,Tasks[[#This Row],[_StartWorkday]]-1)</f>
        <v>0</v>
      </c>
      <c r="DT17" s="42" t="n">
        <f aca="false">Tasks[[#This Row],[_Res2Work]]*Tasks[[#This Row],[_LeafProgress]]</f>
        <v>0</v>
      </c>
      <c r="DU17" s="42" t="str">
        <f aca="false">IF(Tasks[[#This Row],[_Res3Text]]="","",IF(Tasks[[#This Row],[_Res3Row]]&gt;0,INDEX(res_Name,Tasks[[#This Row],[_Res3Row]]),TRIM(LEFT(Tasks[[#This Row],[_Res3Text]],FIND("[",Tasks[[#This Row],[_Res3Text]]&amp;"[")-1))))</f>
        <v/>
      </c>
      <c r="DV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 s="42" t="n">
        <f aca="false">IF(OR(NOT(Tasks[[#This Row],[_IsLeaf]]=1),Tasks[[#This Row],[_Res3Row]]=0),0,N(Tasks[[#This Row],[_Days]])*HoursPerDay*IF(Tasks[[#This Row],[_Res3Units]]="",DefaultUnits,Tasks[[#This Row],[_Res3Units]]))</f>
        <v>0</v>
      </c>
      <c r="DX17" s="42" t="n">
        <f aca="false">IF(AND(AND(Tasks[[#This Row],[_IsLeaf]]=1,Tasks[[#This Row],[_LeafTotalWork]]&gt;0),Tasks[[#This Row],[_Res3Work]]&gt;0),Tasks[[#This Row],[_Res3Work]]/(Tasks[[#This Row],[_FinishWorkday]]-Tasks[[#This Row],[_StartWorkday]]+1),0)</f>
        <v>0</v>
      </c>
      <c r="DY17" s="42" t="n">
        <f aca="false">Tasks[[#This Row],[_Res3WorkPerWD]]*MAX(0,Tasks[[#This Row],[_StartWorkday]]-1)</f>
        <v>0</v>
      </c>
      <c r="DZ17" s="42" t="n">
        <f aca="false">Tasks[[#This Row],[_Res3Work]]*Tasks[[#This Row],[_LeafProgress]]</f>
        <v>0</v>
      </c>
      <c r="EA17" s="42" t="str">
        <f aca="false">IF(Tasks[[#This Row],[_Res4Text]]="","",IF(Tasks[[#This Row],[_Res4Row]]&gt;0,INDEX(res_Name,Tasks[[#This Row],[_Res4Row]]),TRIM(LEFT(Tasks[[#This Row],[_Res4Text]],FIND("[",Tasks[[#This Row],[_Res4Text]]&amp;"[")-1))))</f>
        <v/>
      </c>
      <c r="EB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 s="42" t="n">
        <f aca="false">IF(OR(NOT(Tasks[[#This Row],[_IsLeaf]]=1),Tasks[[#This Row],[_Res4Row]]=0),0,N(Tasks[[#This Row],[_Days]])*HoursPerDay*IF(Tasks[[#This Row],[_Res4Units]]="",DefaultUnits,Tasks[[#This Row],[_Res4Units]]))</f>
        <v>0</v>
      </c>
      <c r="ED17" s="42" t="n">
        <f aca="false">IF(AND(AND(Tasks[[#This Row],[_IsLeaf]]=1,Tasks[[#This Row],[_LeafTotalWork]]&gt;0),Tasks[[#This Row],[_Res4Work]]&gt;0),Tasks[[#This Row],[_Res4Work]]/(Tasks[[#This Row],[_FinishWorkday]]-Tasks[[#This Row],[_StartWorkday]]+1),0)</f>
        <v>0</v>
      </c>
      <c r="EE17" s="42" t="n">
        <f aca="false">Tasks[[#This Row],[_Res4WorkPerWD]]*MAX(0,Tasks[[#This Row],[_StartWorkday]]-1)</f>
        <v>0</v>
      </c>
      <c r="EF17" s="42" t="n">
        <f aca="false">Tasks[[#This Row],[_Res4Work]]*Tasks[[#This Row],[_LeafProgress]]</f>
        <v>0</v>
      </c>
      <c r="EG17" s="42" t="n">
        <f aca="false">IF(ISNUMBER(Tasks[[#This Row],[% Complete]]),Tasks[[#This Row],[% Complete]],IF(Tasks[[#This Row],[Stage]]="",0,IFERROR(INDEX(stg_Pct,MATCH(Tasks[[#This Row],[Stage]],stg_Name,0)),0)))</f>
        <v>0</v>
      </c>
      <c r="EH17" s="42" t="n">
        <f aca="false">IF(NOT(Tasks[[#This Row],[_IsLeaf]]=1),0,IF(N(Tasks[[#This Row],[Actual Finish]])&gt;0,1,MIN(1,Tasks[[#This Row],[_Pct]])))</f>
        <v>0</v>
      </c>
      <c r="EI17" s="42" t="n">
        <f aca="false">IF(OR(NOT(Tasks[[#This Row],[_IsLeaf]]=1),Tasks[[#This Row],[_Res1Row]]=0),0,N(Tasks[[#This Row],[_Days]])*HoursPerDay*IF(Tasks[[#This Row],[_Units1]]="",DefaultUnits,Tasks[[#This Row],[_Units1]]))</f>
        <v>0</v>
      </c>
      <c r="EJ17" s="42" t="n">
        <f aca="false">Tasks[[#This Row],[_LeafWork]]+Tasks[[#This Row],[_Res2Work]]+Tasks[[#This Row],[_Res3Work]]+Tasks[[#This Row],[_Res4Work]]</f>
        <v>0</v>
      </c>
      <c r="EK17" s="93" t="n">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2912141</v>
      </c>
      <c r="EL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 s="42"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EP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 s="42" t="n">
        <f aca="false">IF(NOT(Tasks[[#This Row],[_IsLeaf]]=1),0,MAX(_xlfn.MAXIFS(Tasks[_Row],Tasks[_Pred1UID],Tasks[[#This Row],[UID]]),_xlfn.MAXIFS(Tasks[_Row],Tasks[_Pred2UID],Tasks[[#This Row],[UID]]),_xlfn.MAXIFS(Tasks[_Row],Tasks[_Pred3UID],Tasks[[#This Row],[UID]]),_xlfn.MAXIFS(Tasks[_Row],Tasks[_Pred4UID],Tasks[[#This Row],[UID]])))</f>
        <v>0</v>
      </c>
      <c r="ET17" s="89"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U17" s="89" t="n">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46324</v>
      </c>
      <c r="EV17" s="89" t="n">
        <f aca="false">IF(NOT(Tasks[[#This Row],[_IsLeaf]]=1),"",IF(N(Tasks[[#This Row],[_Days]])&lt;=0,Tasks[[#This Row],[_LeafLateFinish]],WORKDAY.INTL(Tasks[[#This Row],[_LeafLateFinish]],-(Tasks[[#This Row],[_Days]]-1),WorkWeek,Holidays)))</f>
        <v>46324</v>
      </c>
      <c r="EW17" s="42"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X17" s="88" t="b">
        <f aca="false">AND(Tasks[[#This Row],[_IsLeaf]]=1,Tasks[[#This Row],[_LeafProgress]]&lt;1,N(Tasks[[#This Row],[_LeafTotalSlack]])&lt;=CriticalSlackDays)</f>
        <v>1</v>
      </c>
      <c r="EY17" s="42" t="n">
        <f aca="false">IF(AND(Tasks[[#This Row],[_IsLeaf]]=1,Tasks[[#This Row],[_ConstraintCode]]=1,Tasks[[#This Row],[Mode]]&lt;&gt;"Manual",N(Tasks[[#This Row],[Actual Start]])=0),MAX(0,N(Tasks[[#This Row],[Free Slack]])),0)</f>
        <v>0</v>
      </c>
      <c r="EZ17" s="89" t="n">
        <f aca="false">IF(NOT(Tasks[[#This Row],[_IsLeaf]]=1),"",IF(Tasks[[#This Row],[_AlapShift]]=0,Tasks[[#This Row],[_LeafCalcStart]],WORKDAY.INTL(Tasks[[#This Row],[_LeafCalcStart]],Tasks[[#This Row],[_AlapShift]],WorkWeek,Holidays)))</f>
        <v>46318</v>
      </c>
      <c r="FA17" s="89" t="n">
        <f aca="false">IF(NOT(Tasks[[#This Row],[_IsLeaf]]=1),"",IF(Tasks[[#This Row],[_AlapShift]]=0,Tasks[[#This Row],[_LeafCalcFinish]],WORKDAY.INTL(Tasks[[#This Row],[_LeafCalcFinish]],Tasks[[#This Row],[_AlapShift]],WorkWeek,Holidays)))</f>
        <v>46318</v>
      </c>
      <c r="FB17" s="89" t="n">
        <f aca="false">IF(NOT(Tasks[[#This Row],[_IsLeaf]]=1),"",IF(Tasks[[#This Row],[_AlapShift]]=0,Tasks[[#This Row],[_LeafFcstStart]],WORKDAY.INTL(Tasks[[#This Row],[_LeafFcstStart]],Tasks[[#This Row],[_AlapShift]],WorkWeek,Holidays)))</f>
        <v>46324</v>
      </c>
      <c r="FC17" s="89" t="n">
        <f aca="false">IF(NOT(Tasks[[#This Row],[_IsLeaf]]=1),"",IF(Tasks[[#This Row],[_AlapShift]]=0,Tasks[[#This Row],[_LeafFcstFinish]],WORKDAY.INTL(Tasks[[#This Row],[_LeafFcstFinish]],Tasks[[#This Row],[_AlapShift]],WorkWeek,Holidays)))</f>
        <v>46324</v>
      </c>
      <c r="FD17" s="89" t="n">
        <f aca="false">IF(Tasks[[#This Row],[Task Name]]="","",IF(Tasks[[#This Row],[_IsSummary]],MIN(INDEX(Tasks[_ShownCalcStart],Tasks[[#This Row],[_Row]]+1):INDEX(Tasks[_ShownCalcStart],Tasks[[#This Row],[_Row]]+Tasks[[#This Row],[_Descendants]])),Tasks[[#This Row],[_ShownCalcStart]]))</f>
        <v>46318</v>
      </c>
      <c r="FE17" s="89" t="n">
        <f aca="false">IF(Tasks[[#This Row],[Task Name]]="","",IF(Tasks[[#This Row],[_IsSummary]],MAX(INDEX(Tasks[_ShownCalcFinish],Tasks[[#This Row],[_Row]]+1):INDEX(Tasks[_ShownCalcFinish],Tasks[[#This Row],[_Row]]+Tasks[[#This Row],[_Descendants]])),Tasks[[#This Row],[_ShownCalcFinish]]))</f>
        <v>46318</v>
      </c>
      <c r="FF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46318</v>
      </c>
      <c r="FK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46324</v>
      </c>
      <c r="FO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 s="42" t="n">
        <f aca="false">IF(AND(Tasks[[#This Row],[_IsLeaf]]=1,Tasks[[#This Row],[_LeafTotalWork]]&gt;0),NETWORKDAYS.INTL(ProjectStart,Tasks[[#This Row],[_ShownFcstStart]],WorkWeek,Holidays),0)</f>
        <v>0</v>
      </c>
      <c r="FS17" s="42" t="n">
        <f aca="false">IF(AND(Tasks[[#This Row],[_IsLeaf]]=1,Tasks[[#This Row],[_LeafTotalWork]]&gt;0),MAX(Tasks[[#This Row],[_StartWorkday]],NETWORKDAYS.INTL(ProjectStart,Tasks[[#This Row],[_ShownFcstFinish]],WorkWeek,Holidays)),0)</f>
        <v>0</v>
      </c>
      <c r="FT17" s="42" t="n">
        <f aca="false">IF(AND(Tasks[[#This Row],[_IsLeaf]]=1,Tasks[[#This Row],[_LeafTotalWork]]&gt;0),Tasks[[#This Row],[_LeafWork]]/(Tasks[[#This Row],[_FinishWorkday]]-Tasks[[#This Row],[_StartWorkday]]+1),0)</f>
        <v>0</v>
      </c>
      <c r="FU17" s="42" t="n">
        <f aca="false">Tasks[[#This Row],[_WorkPerWorkday]]*(Tasks[[#This Row],[_StartWorkday]]-1)</f>
        <v>-0</v>
      </c>
      <c r="FV17" s="42" t="n">
        <f aca="false">IF(Tasks[[#This Row],[_IsLeaf]]=1,MAX(N(Tasks[[#This Row],[_Days]]),0.1),0)</f>
        <v>0.1</v>
      </c>
      <c r="FW17" s="42" t="n">
        <f aca="false">Tasks[[#This Row],[_WeightDur]]*Tasks[[#This Row],[_LeafProgress]]</f>
        <v>0</v>
      </c>
      <c r="FX17" s="42" t="n">
        <f aca="false">Tasks[[#This Row],[_WeightDur]]*Tasks[[#This Row],[_PlannedPct]]</f>
        <v>0.1</v>
      </c>
      <c r="FY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FZ17" s="93" t="n">
        <f aca="false">IF(AND(Tasks[[#This Row],[_IsLeaf]]=1,N(Tasks[[#This Row],[_Days]])=0,Tasks[[#This Row],[_LeafProgress]]&lt;1),Tasks[[#This Row],[_ShownFcstFinish]]+Tasks[[#This Row],[_Row]]/100000,"")</f>
        <v>46324.00012</v>
      </c>
      <c r="GA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GB17" s="42" t="str">
        <f aca="false">IF(Tasks[[#This Row],[Task Name]]="","",LEFT(Tasks[[#This Row],[WBS]],FIND(".",Tasks[[#This Row],[WBS]]&amp;".")-1))</f>
        <v>3</v>
      </c>
      <c r="GC17" s="42" t="str">
        <f aca="false">IF(AND(Tasks[[#This Row],[Task Name]]&lt;&gt;"",Tasks[[#This Row],[_Level]]=1),Tasks[[#This Row],[_Row]],"")</f>
        <v/>
      </c>
      <c r="GD17" s="93" t="n">
        <f aca="false">IF(AND(Tasks[[#This Row],[_IsLeaf]]=1,N(Tasks[[#This Row],[_Days]])=0),Tasks[[#This Row],[Planned Finish]]+Tasks[[#This Row],[_Row]]/100000,"")</f>
        <v>46318.00012</v>
      </c>
      <c r="GE17" s="42" t="n">
        <f aca="false">IF(AND(Tasks[[#This Row],[_IsLeaf]]=1,Tasks[[#This Row],[_LeafProgress]]&lt;1,OR(N(Tasks[[#This Row],[Finish Var]])&gt;0,Tasks[[#This Row],[Status]]="Late Start")),MAX(0,Tasks[[#This Row],[Finish Var]])+1-Tasks[[#This Row],[_Row]]/1000000,"")</f>
        <v>4.999988</v>
      </c>
      <c r="GF17" s="93" t="n">
        <f aca="false">IF(AND(Tasks[[#This Row],[_IsLeaf]]=1,N(Tasks[[#This Row],[Actual Start]])=0,Tasks[[#This Row],[_ShownFcstStart]]&gt;=StatusDate,Tasks[[#This Row],[_ShownFcstStart]]&lt;=LookaheadEnd),Tasks[[#This Row],[_ShownFcstStart]]+Tasks[[#This Row],[_Row]]/100000,"")</f>
        <v>46324.00012</v>
      </c>
      <c r="GG17" s="93" t="n">
        <f aca="false">IF(AND(Tasks[[#This Row],[_IsLeaf]]=1,Tasks[[#This Row],[_LeafProgress]]&lt;1,Tasks[[#This Row],[_ShownFcstFinish]]&gt;=StatusDate,Tasks[[#This Row],[_ShownFcstFinish]]&lt;=LookaheadEnd),Tasks[[#This Row],[_ShownFcstFinish]]+Tasks[[#This Row],[_Row]]/100000,"")</f>
        <v>46324.00012</v>
      </c>
      <c r="GH17" s="93" t="n">
        <f aca="false">IF(Tasks[[#This Row],[_LeafCritical]],Tasks[[#This Row],[_ShownFcstStart]]+Tasks[[#This Row],[_Row]]/100000,"")</f>
        <v>46324.00012</v>
      </c>
      <c r="GI17" s="42" t="n">
        <f aca="false">Tasks[[#This Row],[_LeafWork]]*Tasks[[#This Row],[_LeafProgress]]</f>
        <v>0</v>
      </c>
      <c r="GJ17" s="89" t="str">
        <f aca="false">IF(AND(Tasks[[#This Row],[_IsLeaf]]=1,Tasks[[#This Row],[_LeafProgress]]&gt;=1),IF(N(Tasks[[#This Row],[Actual Finish]])&gt;0,Tasks[[#This Row],[Actual Finish]],Tasks[[#This Row],[_ShownFcstFinish]]),"")</f>
        <v/>
      </c>
      <c r="GK17" s="42" t="n">
        <f aca="false">IF(Tasks[[#This Row],[_IsLeaf]]=1,N(Tasks[[#This Row],[Story Points]]),0)</f>
        <v>0</v>
      </c>
      <c r="GL17" s="42" t="str">
        <f aca="false">""</f>
        <v/>
      </c>
      <c r="GM17" s="88" t="b">
        <f aca="false">IF(Tasks[[#This Row],[Task Name]]="",FALSE(),AND(Tasks[[#This Row],[_IsLeaf]]=1,N(Tasks[[#This Row],[_Days]])=0))</f>
        <v>1</v>
      </c>
      <c r="GN17" s="89" t="n">
        <f aca="false">IF(Tasks[[#This Row],[Task Name]]="",0,IF(AND(Tasks[[#This Row],[_IsLeaf]]=1,NOT(Tasks[[#This Row],[_IsMilestone]]),N(Tasks[[#This Row],[Progress]])&gt;0),Tasks[[#This Row],[Start]],0))</f>
        <v>0</v>
      </c>
      <c r="GO17" s="89" t="n">
        <f aca="false">IF(Tasks[[#This Row],[_DoneFrom]]=0,0,IF(Tasks[[#This Row],[Progress]]&gt;=1,Tasks[[#This Row],[Finish]],MAX(Tasks[[#This Row],[_DoneFrom]],Tasks[[#This Row],[Start]]+ROUND((Tasks[[#This Row],[Finish]]-Tasks[[#This Row],[Start]]+1)*Tasks[[#This Row],[Progress]],0)-1)))</f>
        <v>0</v>
      </c>
      <c r="GP17" s="89" t="n">
        <f aca="false">IF(Tasks[[#This Row],[Task Name]]="",0,IF(OR(NOT(Tasks[[#This Row],[_IsLeaf]]=1),Tasks[[#This Row],[_IsMilestone]],N(Tasks[[#This Row],[Progress]])&gt;=1),0,IF(Tasks[[#This Row],[_DoneTo]]&gt;0,Tasks[[#This Row],[_DoneTo]]+1,Tasks[[#This Row],[Start]])))</f>
        <v>0</v>
      </c>
      <c r="GQ17" s="89" t="n">
        <f aca="false">IF(Tasks[[#This Row],[_RemFrom]]=0,0,Tasks[[#This Row],[Finish]])</f>
        <v>0</v>
      </c>
      <c r="GR17" s="88" t="b">
        <f aca="false">IF(Tasks[[#This Row],[Task Name]]="",FALSE(),OR(NOT(BaselineSet),N(Tasks[[#This Row],[Baseline Start]])&gt;0))</f>
        <v>1</v>
      </c>
      <c r="GS17" s="42" t="n">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0</v>
      </c>
      <c r="GT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24</v>
      </c>
      <c r="GU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 s="90" t="n">
        <f aca="false">IF(Tasks[[#This Row],[_IsLeaf]]=1,Tasks[[#This Row],[_Row]],"")</f>
        <v>12</v>
      </c>
      <c r="GW17" s="90" t="str">
        <f aca="false">IFERROR(INDEX(Tasks[UID],SMALL(Tasks[_PickKey],Tasks[[#This Row],[_Row]]))&amp;" "&amp;INDEX(Tasks[Task Name],SMALL(Tasks[_PickKey],Tasks[[#This Row],[_Row]])),"")</f>
        <v/>
      </c>
      <c r="GX17" s="42" t="n">
        <f aca="false">IF(Tasks[[#This Row],[Task Name]]="","",IF(Tasks[[#This Row],[_IsSummary]],NETWORKDAYS.INTL(Tasks[[#This Row],[Start]],Tasks[[#This Row],[Finish]],WorkWeek,Holidays),N(Tasks[[#This Row],[_Days]])))</f>
        <v>0</v>
      </c>
    </row>
    <row r="18" customFormat="false" ht="15" hidden="false" customHeight="false" outlineLevel="0" collapsed="false">
      <c r="A18" s="21" t="str">
        <f aca="false">IF(Tasks[[#This Row],[Task Name]]="","",COUNTA(Tasks[[#Headers],[Task Name]]:Tasks[[#This Row],[Task Name]])-1)</f>
        <v/>
      </c>
      <c r="B18" s="22" t="n">
        <v>26</v>
      </c>
      <c r="C18" s="22"/>
      <c r="D18" s="23"/>
      <c r="E18" s="22"/>
      <c r="F18" s="23"/>
      <c r="G18" s="22"/>
      <c r="H18" s="22"/>
      <c r="I18" s="23"/>
      <c r="J18" s="22"/>
      <c r="K18" s="22"/>
      <c r="L18" s="23"/>
      <c r="M18" s="22"/>
      <c r="N18" s="22"/>
      <c r="O18" s="23"/>
      <c r="P18" s="22"/>
      <c r="Q18" s="22"/>
      <c r="R18" s="23"/>
      <c r="S18" s="23"/>
      <c r="T18" s="83"/>
      <c r="U18" s="23"/>
      <c r="V18" s="83"/>
      <c r="W18" s="23"/>
      <c r="X18" s="83"/>
      <c r="Y18" s="23"/>
      <c r="Z18" s="83"/>
      <c r="AA18" s="23"/>
      <c r="AB18" s="23"/>
      <c r="AC18" s="7"/>
      <c r="AD18" s="7"/>
      <c r="AE18" s="62" t="str">
        <f aca="false">IF(Tasks[[#This Row],[Task Name]]="","",IF(Tasks[[#This Row],[_IsSummary]],MIN(INDEX(Tasks[_ShownFcstStart],Tasks[[#This Row],[_Row]]+1):INDEX(Tasks[_ShownFcstStart],Tasks[[#This Row],[_Row]]+Tasks[[#This Row],[_Descendants]])),Tasks[[#This Row],[_ShownFcstStart]]))</f>
        <v/>
      </c>
      <c r="AF18" s="62" t="str">
        <f aca="false">IF(Tasks[[#This Row],[Task Name]]="","",IF(Tasks[[#This Row],[_IsSummary]],MAX(INDEX(Tasks[_ShownFcstFinish],Tasks[[#This Row],[_Row]]+1):INDEX(Tasks[_ShownFcstFinish],Tasks[[#This Row],[_Row]]+Tasks[[#This Row],[_Descendants]])),Tasks[[#This Row],[_ShownFcstFinish]]))</f>
        <v/>
      </c>
      <c r="AG18" s="21" t="str">
        <f aca="false">""</f>
        <v/>
      </c>
      <c r="AH18" s="23"/>
      <c r="AI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 s="7"/>
      <c r="AK18" s="22"/>
      <c r="AL18" s="23"/>
      <c r="AM18" s="7"/>
      <c r="AN18" s="46" t="str">
        <f aca="false">IF(Tasks[[#This Row],[Task Name]]="","",IF(Tasks[[#This Row],[Finish]]&gt;=Tasks[[#This Row],[Planned Finish]],NETWORKDAYS.INTL(Tasks[[#This Row],[Planned Finish]],Tasks[[#This Row],[Finish]],WorkWeek,Holidays)-1,1-NETWORKDAYS.INTL(Tasks[[#This Row],[Finish]],Tasks[[#This Row],[Planned Finish]],WorkWeek,Holidays)))</f>
        <v/>
      </c>
      <c r="AO18" s="21" t="str">
        <f aca="false">IF(Tasks[[#This Row],[Task Name]]="","",IF(Tasks[[#This Row],[Progress]]&gt;=1,"Complete",IF(OR(N(Tasks[[#This Row],[Actual Start]])&gt;0,Tasks[[#This Row],[Progress]]&gt;0),IF(Tasks[[#This Row],[Finish Var]]&gt;0,"Behind","In Progress"),IF(Tasks[[#This Row],[Planned Start]]&lt;StatusDate,"Late Start","Not Started"))))</f>
        <v/>
      </c>
      <c r="AP18" s="21" t="str">
        <f aca="false">IF(Tasks[[#This Row],[Task Name]]="","",IF(IF(Tasks[[#This Row],[_IsSummary]],COUNTIF(INDEX(Tasks[_LeafCritical],Tasks[[#This Row],[_Row]]+1):INDEX(Tasks[_LeafCritical],Tasks[[#This Row],[_Row]]+Tasks[[#This Row],[_Descendants]]),TRUE())&gt;0,Tasks[[#This Row],[_LeafCritical]]),"Yes",""))</f>
        <v/>
      </c>
      <c r="AQ18" s="62" t="str">
        <f aca="false">IF(Tasks[[#This Row],[Task Name]]="","",IF(N(Tasks[[#This Row],[Baseline Start]])&gt;0,Tasks[[#This Row],[Baseline Start]],Tasks[[#This Row],[_CalcStart]]))</f>
        <v/>
      </c>
      <c r="AR18" s="62" t="str">
        <f aca="false">IF(Tasks[[#This Row],[Task Name]]="","",IF(N(Tasks[[#This Row],[Baseline Finish]])&gt;0,Tasks[[#This Row],[Baseline Finish]],Tasks[[#This Row],[_CalcFinish]]))</f>
        <v/>
      </c>
      <c r="AS18" s="46" t="str">
        <f aca="false">IF(Tasks[[#This Row],[Task Name]]="","",IF(Tasks[[#This Row],[Start]]&gt;=Tasks[[#This Row],[Planned Start]],NETWORKDAYS.INTL(Tasks[[#This Row],[Planned Start]],Tasks[[#This Row],[Start]],WorkWeek,Holidays)-1,1-NETWORKDAYS.INTL(Tasks[[#This Row],[Start]],Tasks[[#This Row],[Planned Start]],WorkWeek,Holidays)))</f>
        <v/>
      </c>
      <c r="AT18" s="62" t="str">
        <f aca="false">IF(Tasks[[#This Row],[Task Name]]="","",IF(Tasks[[#This Row],[_IsSummary]],MIN(INDEX(Tasks[_LeafLateStart],Tasks[[#This Row],[_Row]]+1):INDEX(Tasks[_LeafLateStart],Tasks[[#This Row],[_Row]]+Tasks[[#This Row],[_Descendants]])),Tasks[[#This Row],[_LeafLateStart]]))</f>
        <v/>
      </c>
      <c r="AU18" s="62" t="str">
        <f aca="false">IF(Tasks[[#This Row],[Task Name]]="","",IF(Tasks[[#This Row],[_IsSummary]],MAX(INDEX(Tasks[_LeafLateFinish],Tasks[[#This Row],[_Row]]+1):INDEX(Tasks[_LeafLateFinish],Tasks[[#This Row],[_Row]]+Tasks[[#This Row],[_Descendants]])),Tasks[[#This Row],[_LeafLateFinish]]))</f>
        <v/>
      </c>
      <c r="AV18" s="46" t="str">
        <f aca="false">IF(Tasks[[#This Row],[Task Name]]="","",IF(Tasks[[#This Row],[_IsSummary]],MIN(INDEX(Tasks[_LeafTotalSlack],Tasks[[#This Row],[_Row]]+1):INDEX(Tasks[_LeafTotalSlack],Tasks[[#This Row],[_Row]]+Tasks[[#This Row],[_Descendants]])),Tasks[[#This Row],[_LeafTotalSlack]]))</f>
        <v/>
      </c>
      <c r="AW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4"/>
      <c r="BA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t="str">
        <f aca="false">IF(Tasks[[#This Row],[Task Name]]="","",IF(Tasks[[#This Row],[_Level]]&lt;=OutlineShowLevel,"Yes","No"))</f>
        <v/>
      </c>
      <c r="BE18" s="85" t="str">
        <f aca="false">IF(Tasks[[#This Row],[Task Name]]="","",IF(Tasks[[#This Row],[_IsSummary]],SUM(INDEX(Tasks[_LeafTotalWork],Tasks[[#This Row],[_Row]]+1):INDEX(Tasks[_LeafTotalWork],Tasks[[#This Row],[_Row]]+Tasks[[#This Row],[_Descendants]])),Tasks[[#This Row],[_LeafTotalWork]]))</f>
        <v/>
      </c>
      <c r="BF18" s="23"/>
      <c r="BG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t="str">
        <f aca="false">""</f>
        <v/>
      </c>
      <c r="BI18" s="86"/>
      <c r="BJ18" s="22"/>
      <c r="BK18" s="46" t="str">
        <f aca="false">IF(OR(Tasks[[#This Row],[Task Name]]="",Tasks[[#This Row],[Baseline Duration]]=""),"",Tasks[[#This Row],[_SpanDays]]-N(Tasks[[#This Row],[Baseline Duration]]))</f>
        <v/>
      </c>
      <c r="BL18" s="85" t="str">
        <f aca="false">IF(OR(Tasks[[#This Row],[Task Name]]="",Tasks[[#This Row],[Baseline Work]]=""),"",Tasks[[#This Row],[Work]]-N(Tasks[[#This Row],[Baseline Work]]))</f>
        <v/>
      </c>
      <c r="BM18" s="62" t="str">
        <f aca="false">IF(Tasks[[#This Row],[Task Name]]="","",IF(OR(TakeBaseline="Yes",N(Tasks[[#This Row],[Baseline Start]])=0),Tasks[[#This Row],[Start]],Tasks[[#This Row],[Baseline Start]]))</f>
        <v/>
      </c>
      <c r="BN18" s="62" t="str">
        <f aca="false">IF(Tasks[[#This Row],[Task Name]]="","",IF(OR(TakeBaseline="Yes",N(Tasks[[#This Row],[Baseline Finish]])=0),Tasks[[#This Row],[Finish]],Tasks[[#This Row],[Baseline Finish]]))</f>
        <v/>
      </c>
      <c r="BO18" s="21" t="str">
        <f aca="false">IF(Tasks[[#This Row],[Task Name]]="","",IF(OR(TakeBaseline="Yes",N(Tasks[[#This Row],[Baseline Duration]])=0),Tasks[[#This Row],[_SpanDays]],Tasks[[#This Row],[Baseline Duration]]))</f>
        <v/>
      </c>
      <c r="BP18" s="85" t="str">
        <f aca="false">IF(Tasks[[#This Row],[Task Name]]="","",IF(OR(TakeBaseline="Yes",N(Tasks[[#This Row],[Baseline Work]])=0),Tasks[[#This Row],[Work]],Tasks[[#This Row],[Baseline Work]]))</f>
        <v/>
      </c>
      <c r="BQ18" s="7"/>
      <c r="BR18" s="7"/>
      <c r="BS18" s="22"/>
      <c r="BT18" s="87"/>
      <c r="BU18" s="42" t="str">
        <f aca="false">IF(Tasks[[#This Row],[Task Name]]="","",MAX(1,N(Tasks[[#This Row],[Level]])))</f>
        <v/>
      </c>
      <c r="BV18" s="42" t="n">
        <f aca="false">ROW()-ROW(Tasks[[#Headers],[ID]])</f>
        <v>13</v>
      </c>
      <c r="BW18" s="42" t="n">
        <f aca="false">IF(OR(Tasks[[#This Row],[Task Name]]="",Tasks[[#This Row],[_Level]]&lt;=1),0,IFERROR(LOOKUP(2,1/(Tasks[[#Headers],[_Level]]:Tasks[[#This Row],[_Level]]=Tasks[[#This Row],[_Level]]-1),ROW(Tasks[[#Headers],[_Level]]:Tasks[[#This Row],[_Level]])),0))</f>
        <v>0</v>
      </c>
      <c r="BX18" s="42" t="n">
        <f aca="false">IFERROR(N(INDEX(Tasks[_Level],Tasks[[#This Row],[_Row]]+1)),0)</f>
        <v>0</v>
      </c>
      <c r="BY18" s="88" t="b">
        <f aca="false">AND(Tasks[[#This Row],[Task Name]]&lt;&gt;"",Tasks[[#This Row],[_NextLevel]]&gt;Tasks[[#This Row],[_Level]])</f>
        <v>0</v>
      </c>
      <c r="BZ18" s="42" t="n">
        <f aca="false">IF(Tasks[[#This Row],[_IsSummary]],COUNTIF(Tasks[WBS],Tasks[[#This Row],[WBS]]&amp;".*"),0)</f>
        <v>0</v>
      </c>
      <c r="CA18" s="42" t="n">
        <f aca="false">IF(AND(Tasks[[#This Row],[Task Name]]&lt;&gt;"",NOT(Tasks[[#This Row],[_IsSummary]])),1,0)</f>
        <v>0</v>
      </c>
      <c r="CB18" s="42" t="n">
        <f aca="false">IF(N(Tasks[[#This Row],[_Pred1UID]])=0,0,IFERROR(MATCH(Tasks[[#This Row],[_Pred1UID]],Tasks[UID],0),-1))</f>
        <v>0</v>
      </c>
      <c r="CC18" s="42" t="n">
        <f aca="false">IF(N(Tasks[[#This Row],[_Pred2UID]])=0,0,IFERROR(MATCH(Tasks[[#This Row],[_Pred2UID]],Tasks[UID],0),-1))</f>
        <v>0</v>
      </c>
      <c r="CD18" s="42" t="n">
        <f aca="false">IF(N(Tasks[[#This Row],[_Pred3UID]])=0,0,IFERROR(MATCH(Tasks[[#This Row],[_Pred3UID]],Tasks[UID],0),-1))</f>
        <v>0</v>
      </c>
      <c r="CE18" s="42" t="n">
        <f aca="false">IF(N(Tasks[[#This Row],[_Pred4UID]])=0,0,IFERROR(MATCH(Tasks[[#This Row],[_Pred4UID]],Tasks[UID],0),-1))</f>
        <v>0</v>
      </c>
      <c r="CF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 s="89" t="n">
        <f aca="false">IF(OR(Tasks[[#This Row],[_ConstraintCode]]=2,Tasks[[#This Row],[_ConstraintCode]]=3,Tasks[[#This Row],[_ConstraintCode]]=4,Tasks[[#This Row],[_ConstraintCode]]=6),Tasks[[#This Row],[_ConstraintStart]],0)</f>
        <v>0</v>
      </c>
      <c r="CI18" s="89" t="n">
        <f aca="false">IF(OR(Tasks[[#This Row],[_ConstraintCode]]=2,Tasks[[#This Row],[_ConstraintCode]]=3,Tasks[[#This Row],[_ConstraintCode]]=5,Tasks[[#This Row],[_ConstraintCode]]=7),Tasks[[#This Row],[_ConstraintStart]],2958465)</f>
        <v>2958465</v>
      </c>
      <c r="CJ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 s="89" t="str">
        <f aca="false">IF(NOT(Tasks[[#This Row],[_IsLeaf]]=1),"",IF(N(Tasks[[#This Row],[_Days]])&lt;=0,Tasks[[#This Row],[_LeafCalcStart]],WORKDAY.INTL(Tasks[[#This Row],[_LeafCalcStart]],Tasks[[#This Row],[_Days]]-1,WorkWeek,Holidays)))</f>
        <v/>
      </c>
      <c r="CL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 s="42" t="str">
        <f aca="false">IF(Tasks[[#This Row],[_Predecessors]]="","",TRIM(MID(SUBSTITUTE(SUBSTITUTE(SUBSTITUTE(UPPER(Tasks[[#This Row],[_Predecessors]]),";",",")," ",""),",",REPT(" ",99)),1,99)))</f>
        <v/>
      </c>
      <c r="CO18" s="42" t="str">
        <f aca="false">IF(Tasks[[#This Row],[_Pred1Text]]="","",IFERROR(VALUE(LEFT(Tasks[[#This Row],[_Pred1Text]],MIN(FIND("F",Tasks[[#This Row],[_Pred1Text]]&amp;"F"),FIND("S",Tasks[[#This Row],[_Pred1Text]]&amp;"S"),FIND("+",Tasks[[#This Row],[_Pred1Text]]&amp;"+"),FIND("-",Tasks[[#This Row],[_Pred1Text]]&amp;"-"))-1)),""))</f>
        <v/>
      </c>
      <c r="CP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 s="42" t="str">
        <f aca="false">IF(Tasks[[#This Row],[_Pred1Text]]="","",TRIM(MID(SUBSTITUTE(SUBSTITUTE(SUBSTITUTE(UPPER(Tasks[[#This Row],[_Predecessors]]),";",",")," ",""),",",REPT(" ",99)),100,99)))</f>
        <v/>
      </c>
      <c r="CS18" s="42" t="str">
        <f aca="false">IF(Tasks[[#This Row],[_Pred2Text]]="","",IFERROR(VALUE(LEFT(Tasks[[#This Row],[_Pred2Text]],MIN(FIND("F",Tasks[[#This Row],[_Pred2Text]]&amp;"F"),FIND("S",Tasks[[#This Row],[_Pred2Text]]&amp;"S"),FIND("+",Tasks[[#This Row],[_Pred2Text]]&amp;"+"),FIND("-",Tasks[[#This Row],[_Pred2Text]]&amp;"-"))-1)),""))</f>
        <v/>
      </c>
      <c r="CT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 s="42" t="str">
        <f aca="false">IF(Tasks[[#This Row],[_Pred2Text]]="","",TRIM(MID(SUBSTITUTE(SUBSTITUTE(SUBSTITUTE(UPPER(Tasks[[#This Row],[_Predecessors]]),";",",")," ",""),",",REPT(" ",99)),199,99)))</f>
        <v/>
      </c>
      <c r="CW18" s="42" t="str">
        <f aca="false">IF(Tasks[[#This Row],[_Pred3Text]]="","",IFERROR(VALUE(LEFT(Tasks[[#This Row],[_Pred3Text]],MIN(FIND("F",Tasks[[#This Row],[_Pred3Text]]&amp;"F"),FIND("S",Tasks[[#This Row],[_Pred3Text]]&amp;"S"),FIND("+",Tasks[[#This Row],[_Pred3Text]]&amp;"+"),FIND("-",Tasks[[#This Row],[_Pred3Text]]&amp;"-"))-1)),""))</f>
        <v/>
      </c>
      <c r="CX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 s="42" t="str">
        <f aca="false">IF(Tasks[[#This Row],[_Pred3Text]]="","",TRIM(MID(SUBSTITUTE(SUBSTITUTE(SUBSTITUTE(UPPER(Tasks[[#This Row],[_Predecessors]]),";",",")," ",""),",",REPT(" ",99)),298,99)))</f>
        <v/>
      </c>
      <c r="DA18" s="42" t="str">
        <f aca="false">IF(Tasks[[#This Row],[_Pred4Text]]="","",IFERROR(VALUE(LEFT(Tasks[[#This Row],[_Pred4Text]],MIN(FIND("F",Tasks[[#This Row],[_Pred4Text]]&amp;"F"),FIND("S",Tasks[[#This Row],[_Pred4Text]]&amp;"S"),FIND("+",Tasks[[#This Row],[_Pred4Text]]&amp;"+"),FIND("-",Tasks[[#This Row],[_Pred4Text]]&amp;"-"))-1)),""))</f>
        <v/>
      </c>
      <c r="DB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 s="42" t="str">
        <f aca="false">IF(OR(Tasks[[#This Row],[Task Name]]="",Tasks[[#This Row],[_Resources]]=""),"",TRIM(MID(SUBSTITUTE(Tasks[[#This Row],[_Resources]],",",REPT(" ",99)),1,99)))</f>
        <v/>
      </c>
      <c r="DE18" s="42" t="str">
        <f aca="false">IF(Tasks[[#This Row],[_Res1Text]]="","",TRIM(MID(SUBSTITUTE(Tasks[[#This Row],[_Resources]],",",REPT(" ",99)),100,99)))</f>
        <v/>
      </c>
      <c r="DF18" s="42" t="str">
        <f aca="false">IF(Tasks[[#This Row],[_Res2Text]]="","",TRIM(MID(SUBSTITUTE(Tasks[[#This Row],[_Resources]],",",REPT(" ",99)),199,99)))</f>
        <v/>
      </c>
      <c r="DG18" s="42" t="str">
        <f aca="false">IF(Tasks[[#This Row],[_Res3Text]]="","",TRIM(MID(SUBSTITUTE(Tasks[[#This Row],[_Resources]],",",REPT(" ",99)),298,99)))</f>
        <v/>
      </c>
      <c r="DH18" s="42" t="n">
        <f aca="false">IF(Tasks[[#This Row],[_Res1Text]]="",0,IFERROR(MATCH(TRIM(LEFT(Tasks[[#This Row],[_Res1Text]],FIND("[",Tasks[[#This Row],[_Res1Text]]&amp;"[")-1)),res_Name,0),IFERROR(MATCH(TRIM(LEFT(Tasks[[#This Row],[_Res1Text]],FIND("[",Tasks[[#This Row],[_Res1Text]]&amp;"[")-1)),res_Initials,0),0)))</f>
        <v>0</v>
      </c>
      <c r="DI18" s="42" t="n">
        <f aca="false">IF(Tasks[[#This Row],[_Res2Text]]="",0,IFERROR(MATCH(TRIM(LEFT(Tasks[[#This Row],[_Res2Text]],FIND("[",Tasks[[#This Row],[_Res2Text]]&amp;"[")-1)),res_Name,0),IFERROR(MATCH(TRIM(LEFT(Tasks[[#This Row],[_Res2Text]],FIND("[",Tasks[[#This Row],[_Res2Text]]&amp;"[")-1)),res_Initials,0),0)))</f>
        <v>0</v>
      </c>
      <c r="DJ18" s="42" t="n">
        <f aca="false">IF(Tasks[[#This Row],[_Res3Text]]="",0,IFERROR(MATCH(TRIM(LEFT(Tasks[[#This Row],[_Res3Text]],FIND("[",Tasks[[#This Row],[_Res3Text]]&amp;"[")-1)),res_Name,0),IFERROR(MATCH(TRIM(LEFT(Tasks[[#This Row],[_Res3Text]],FIND("[",Tasks[[#This Row],[_Res3Text]]&amp;"[")-1)),res_Initials,0),0)))</f>
        <v>0</v>
      </c>
      <c r="DK18" s="42" t="n">
        <f aca="false">IF(Tasks[[#This Row],[_Res4Text]]="",0,IFERROR(MATCH(TRIM(LEFT(Tasks[[#This Row],[_Res4Text]],FIND("[",Tasks[[#This Row],[_Res4Text]]&amp;"[")-1)),res_Name,0),IFERROR(MATCH(TRIM(LEFT(Tasks[[#This Row],[_Res4Text]],FIND("[",Tasks[[#This Row],[_Res4Text]]&amp;"[")-1)),res_Initials,0),0)))</f>
        <v>0</v>
      </c>
      <c r="DL18" s="42" t="str">
        <f aca="false">IF(Tasks[[#This Row],[_Res1Text]]="","",IF(Tasks[[#This Row],[_Res1Row]]&gt;0,INDEX(res_Name,Tasks[[#This Row],[_Res1Row]]),TRIM(LEFT(Tasks[[#This Row],[_Res1Text]],FIND("[",Tasks[[#This Row],[_Res1Text]]&amp;"[")-1))))</f>
        <v/>
      </c>
      <c r="DM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 s="42" t="n">
        <f aca="false">IF(NOT(Tasks[[#This Row],[_IsLeaf]]=1),0,(Tasks[[#This Row],[_Resource1]]&lt;&gt;"")+(Tasks[[#This Row],[_Res2]]&lt;&gt;"")+(Tasks[[#This Row],[_Res3]]&lt;&gt;"")+(Tasks[[#This Row],[_Res4]]&lt;&gt;""))</f>
        <v>0</v>
      </c>
      <c r="DO18" s="42" t="str">
        <f aca="false">IF(Tasks[[#This Row],[_Res2Text]]="","",IF(Tasks[[#This Row],[_Res2Row]]&gt;0,INDEX(res_Name,Tasks[[#This Row],[_Res2Row]]),TRIM(LEFT(Tasks[[#This Row],[_Res2Text]],FIND("[",Tasks[[#This Row],[_Res2Text]]&amp;"[")-1))))</f>
        <v/>
      </c>
      <c r="DP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 s="42" t="n">
        <f aca="false">IF(OR(NOT(Tasks[[#This Row],[_IsLeaf]]=1),Tasks[[#This Row],[_Res2Row]]=0),0,N(Tasks[[#This Row],[_Days]])*HoursPerDay*IF(Tasks[[#This Row],[_Res2Units]]="",DefaultUnits,Tasks[[#This Row],[_Res2Units]]))</f>
        <v>0</v>
      </c>
      <c r="DR18" s="42" t="n">
        <f aca="false">IF(AND(AND(Tasks[[#This Row],[_IsLeaf]]=1,Tasks[[#This Row],[_LeafTotalWork]]&gt;0),Tasks[[#This Row],[_Res2Work]]&gt;0),Tasks[[#This Row],[_Res2Work]]/(Tasks[[#This Row],[_FinishWorkday]]-Tasks[[#This Row],[_StartWorkday]]+1),0)</f>
        <v>0</v>
      </c>
      <c r="DS18" s="42" t="n">
        <f aca="false">Tasks[[#This Row],[_Res2WorkPerWD]]*MAX(0,Tasks[[#This Row],[_StartWorkday]]-1)</f>
        <v>0</v>
      </c>
      <c r="DT18" s="42" t="n">
        <f aca="false">Tasks[[#This Row],[_Res2Work]]*Tasks[[#This Row],[_LeafProgress]]</f>
        <v>0</v>
      </c>
      <c r="DU18" s="42" t="str">
        <f aca="false">IF(Tasks[[#This Row],[_Res3Text]]="","",IF(Tasks[[#This Row],[_Res3Row]]&gt;0,INDEX(res_Name,Tasks[[#This Row],[_Res3Row]]),TRIM(LEFT(Tasks[[#This Row],[_Res3Text]],FIND("[",Tasks[[#This Row],[_Res3Text]]&amp;"[")-1))))</f>
        <v/>
      </c>
      <c r="DV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 s="42" t="n">
        <f aca="false">IF(OR(NOT(Tasks[[#This Row],[_IsLeaf]]=1),Tasks[[#This Row],[_Res3Row]]=0),0,N(Tasks[[#This Row],[_Days]])*HoursPerDay*IF(Tasks[[#This Row],[_Res3Units]]="",DefaultUnits,Tasks[[#This Row],[_Res3Units]]))</f>
        <v>0</v>
      </c>
      <c r="DX18" s="42" t="n">
        <f aca="false">IF(AND(AND(Tasks[[#This Row],[_IsLeaf]]=1,Tasks[[#This Row],[_LeafTotalWork]]&gt;0),Tasks[[#This Row],[_Res3Work]]&gt;0),Tasks[[#This Row],[_Res3Work]]/(Tasks[[#This Row],[_FinishWorkday]]-Tasks[[#This Row],[_StartWorkday]]+1),0)</f>
        <v>0</v>
      </c>
      <c r="DY18" s="42" t="n">
        <f aca="false">Tasks[[#This Row],[_Res3WorkPerWD]]*MAX(0,Tasks[[#This Row],[_StartWorkday]]-1)</f>
        <v>0</v>
      </c>
      <c r="DZ18" s="42" t="n">
        <f aca="false">Tasks[[#This Row],[_Res3Work]]*Tasks[[#This Row],[_LeafProgress]]</f>
        <v>0</v>
      </c>
      <c r="EA18" s="42" t="str">
        <f aca="false">IF(Tasks[[#This Row],[_Res4Text]]="","",IF(Tasks[[#This Row],[_Res4Row]]&gt;0,INDEX(res_Name,Tasks[[#This Row],[_Res4Row]]),TRIM(LEFT(Tasks[[#This Row],[_Res4Text]],FIND("[",Tasks[[#This Row],[_Res4Text]]&amp;"[")-1))))</f>
        <v/>
      </c>
      <c r="EB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 s="42" t="n">
        <f aca="false">IF(OR(NOT(Tasks[[#This Row],[_IsLeaf]]=1),Tasks[[#This Row],[_Res4Row]]=0),0,N(Tasks[[#This Row],[_Days]])*HoursPerDay*IF(Tasks[[#This Row],[_Res4Units]]="",DefaultUnits,Tasks[[#This Row],[_Res4Units]]))</f>
        <v>0</v>
      </c>
      <c r="ED18" s="42" t="n">
        <f aca="false">IF(AND(AND(Tasks[[#This Row],[_IsLeaf]]=1,Tasks[[#This Row],[_LeafTotalWork]]&gt;0),Tasks[[#This Row],[_Res4Work]]&gt;0),Tasks[[#This Row],[_Res4Work]]/(Tasks[[#This Row],[_FinishWorkday]]-Tasks[[#This Row],[_StartWorkday]]+1),0)</f>
        <v>0</v>
      </c>
      <c r="EE18" s="42" t="n">
        <f aca="false">Tasks[[#This Row],[_Res4WorkPerWD]]*MAX(0,Tasks[[#This Row],[_StartWorkday]]-1)</f>
        <v>0</v>
      </c>
      <c r="EF18" s="42" t="n">
        <f aca="false">Tasks[[#This Row],[_Res4Work]]*Tasks[[#This Row],[_LeafProgress]]</f>
        <v>0</v>
      </c>
      <c r="EG18" s="42" t="n">
        <f aca="false">IF(ISNUMBER(Tasks[[#This Row],[% Complete]]),Tasks[[#This Row],[% Complete]],IF(Tasks[[#This Row],[Stage]]="",0,IFERROR(INDEX(stg_Pct,MATCH(Tasks[[#This Row],[Stage]],stg_Name,0)),0)))</f>
        <v>0</v>
      </c>
      <c r="EH18" s="42" t="n">
        <f aca="false">IF(NOT(Tasks[[#This Row],[_IsLeaf]]=1),0,IF(N(Tasks[[#This Row],[Actual Finish]])&gt;0,1,MIN(1,Tasks[[#This Row],[_Pct]])))</f>
        <v>0</v>
      </c>
      <c r="EI18" s="42" t="n">
        <f aca="false">IF(OR(NOT(Tasks[[#This Row],[_IsLeaf]]=1),Tasks[[#This Row],[_Res1Row]]=0),0,N(Tasks[[#This Row],[_Days]])*HoursPerDay*IF(Tasks[[#This Row],[_Units1]]="",DefaultUnits,Tasks[[#This Row],[_Units1]]))</f>
        <v>0</v>
      </c>
      <c r="EJ18" s="42" t="n">
        <f aca="false">Tasks[[#This Row],[_LeafWork]]+Tasks[[#This Row],[_Res2Work]]+Tasks[[#This Row],[_Res3Work]]+Tasks[[#This Row],[_Res4Work]]</f>
        <v>0</v>
      </c>
      <c r="EK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 s="42" t="n">
        <f aca="false">IF(NOT(Tasks[[#This Row],[_IsLeaf]]=1),0,MAX(_xlfn.MAXIFS(Tasks[_Row],Tasks[_Pred1UID],Tasks[[#This Row],[UID]]),_xlfn.MAXIFS(Tasks[_Row],Tasks[_Pred2UID],Tasks[[#This Row],[UID]]),_xlfn.MAXIFS(Tasks[_Row],Tasks[_Pred3UID],Tasks[[#This Row],[UID]]),_xlfn.MAXIFS(Tasks[_Row],Tasks[_Pred4UID],Tasks[[#This Row],[UID]])))</f>
        <v>0</v>
      </c>
      <c r="ET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 s="89" t="str">
        <f aca="false">IF(NOT(Tasks[[#This Row],[_IsLeaf]]=1),"",IF(N(Tasks[[#This Row],[_Days]])&lt;=0,Tasks[[#This Row],[_LeafLateFinish]],WORKDAY.INTL(Tasks[[#This Row],[_LeafLateFinish]],-(Tasks[[#This Row],[_Days]]-1),WorkWeek,Holidays)))</f>
        <v/>
      </c>
      <c r="EW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 s="88" t="b">
        <f aca="false">AND(Tasks[[#This Row],[_IsLeaf]]=1,Tasks[[#This Row],[_LeafProgress]]&lt;1,N(Tasks[[#This Row],[_LeafTotalSlack]])&lt;=CriticalSlackDays)</f>
        <v>0</v>
      </c>
      <c r="EY18" s="42" t="n">
        <f aca="false">IF(AND(Tasks[[#This Row],[_IsLeaf]]=1,Tasks[[#This Row],[_ConstraintCode]]=1,Tasks[[#This Row],[Mode]]&lt;&gt;"Manual",N(Tasks[[#This Row],[Actual Start]])=0),MAX(0,N(Tasks[[#This Row],[Free Slack]])),0)</f>
        <v>0</v>
      </c>
      <c r="EZ18" s="89" t="str">
        <f aca="false">IF(NOT(Tasks[[#This Row],[_IsLeaf]]=1),"",IF(Tasks[[#This Row],[_AlapShift]]=0,Tasks[[#This Row],[_LeafCalcStart]],WORKDAY.INTL(Tasks[[#This Row],[_LeafCalcStart]],Tasks[[#This Row],[_AlapShift]],WorkWeek,Holidays)))</f>
        <v/>
      </c>
      <c r="FA18" s="89" t="str">
        <f aca="false">IF(NOT(Tasks[[#This Row],[_IsLeaf]]=1),"",IF(Tasks[[#This Row],[_AlapShift]]=0,Tasks[[#This Row],[_LeafCalcFinish]],WORKDAY.INTL(Tasks[[#This Row],[_LeafCalcFinish]],Tasks[[#This Row],[_AlapShift]],WorkWeek,Holidays)))</f>
        <v/>
      </c>
      <c r="FB18" s="89" t="str">
        <f aca="false">IF(NOT(Tasks[[#This Row],[_IsLeaf]]=1),"",IF(Tasks[[#This Row],[_AlapShift]]=0,Tasks[[#This Row],[_LeafFcstStart]],WORKDAY.INTL(Tasks[[#This Row],[_LeafFcstStart]],Tasks[[#This Row],[_AlapShift]],WorkWeek,Holidays)))</f>
        <v/>
      </c>
      <c r="FC18" s="89" t="str">
        <f aca="false">IF(NOT(Tasks[[#This Row],[_IsLeaf]]=1),"",IF(Tasks[[#This Row],[_AlapShift]]=0,Tasks[[#This Row],[_LeafFcstFinish]],WORKDAY.INTL(Tasks[[#This Row],[_LeafFcstFinish]],Tasks[[#This Row],[_AlapShift]],WorkWeek,Holidays)))</f>
        <v/>
      </c>
      <c r="FD18" s="89" t="str">
        <f aca="false">IF(Tasks[[#This Row],[Task Name]]="","",IF(Tasks[[#This Row],[_IsSummary]],MIN(INDEX(Tasks[_ShownCalcStart],Tasks[[#This Row],[_Row]]+1):INDEX(Tasks[_ShownCalcStart],Tasks[[#This Row],[_Row]]+Tasks[[#This Row],[_Descendants]])),Tasks[[#This Row],[_ShownCalcStart]]))</f>
        <v/>
      </c>
      <c r="FE18" s="89" t="str">
        <f aca="false">IF(Tasks[[#This Row],[Task Name]]="","",IF(Tasks[[#This Row],[_IsSummary]],MAX(INDEX(Tasks[_ShownCalcFinish],Tasks[[#This Row],[_Row]]+1):INDEX(Tasks[_ShownCalcFinish],Tasks[[#This Row],[_Row]]+Tasks[[#This Row],[_Descendants]])),Tasks[[#This Row],[_ShownCalcFinish]]))</f>
        <v/>
      </c>
      <c r="FF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 s="42" t="n">
        <f aca="false">IF(AND(Tasks[[#This Row],[_IsLeaf]]=1,Tasks[[#This Row],[_LeafTotalWork]]&gt;0),NETWORKDAYS.INTL(ProjectStart,Tasks[[#This Row],[_ShownFcstStart]],WorkWeek,Holidays),0)</f>
        <v>0</v>
      </c>
      <c r="FS18" s="42" t="n">
        <f aca="false">IF(AND(Tasks[[#This Row],[_IsLeaf]]=1,Tasks[[#This Row],[_LeafTotalWork]]&gt;0),MAX(Tasks[[#This Row],[_StartWorkday]],NETWORKDAYS.INTL(ProjectStart,Tasks[[#This Row],[_ShownFcstFinish]],WorkWeek,Holidays)),0)</f>
        <v>0</v>
      </c>
      <c r="FT18" s="42" t="n">
        <f aca="false">IF(AND(Tasks[[#This Row],[_IsLeaf]]=1,Tasks[[#This Row],[_LeafTotalWork]]&gt;0),Tasks[[#This Row],[_LeafWork]]/(Tasks[[#This Row],[_FinishWorkday]]-Tasks[[#This Row],[_StartWorkday]]+1),0)</f>
        <v>0</v>
      </c>
      <c r="FU18" s="42" t="n">
        <f aca="false">Tasks[[#This Row],[_WorkPerWorkday]]*(Tasks[[#This Row],[_StartWorkday]]-1)</f>
        <v>-0</v>
      </c>
      <c r="FV18" s="42" t="n">
        <f aca="false">IF(Tasks[[#This Row],[_IsLeaf]]=1,MAX(N(Tasks[[#This Row],[_Days]]),0.1),0)</f>
        <v>0</v>
      </c>
      <c r="FW18" s="42" t="n">
        <f aca="false">Tasks[[#This Row],[_WeightDur]]*Tasks[[#This Row],[_LeafProgress]]</f>
        <v>0</v>
      </c>
      <c r="FX18" s="42" t="n">
        <f aca="false">Tasks[[#This Row],[_WeightDur]]*Tasks[[#This Row],[_PlannedPct]]</f>
        <v>0</v>
      </c>
      <c r="FY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 s="42" t="str">
        <f aca="false">IF(AND(Tasks[[#This Row],[_IsLeaf]]=1,N(Tasks[[#This Row],[_Days]])=0,Tasks[[#This Row],[_LeafProgress]]&lt;1),Tasks[[#This Row],[_ShownFcstFinish]]+Tasks[[#This Row],[_Row]]/100000,"")</f>
        <v/>
      </c>
      <c r="GA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 s="42" t="str">
        <f aca="false">IF(Tasks[[#This Row],[Task Name]]="","",LEFT(Tasks[[#This Row],[WBS]],FIND(".",Tasks[[#This Row],[WBS]]&amp;".")-1))</f>
        <v/>
      </c>
      <c r="GC18" s="42" t="str">
        <f aca="false">IF(AND(Tasks[[#This Row],[Task Name]]&lt;&gt;"",Tasks[[#This Row],[_Level]]=1),Tasks[[#This Row],[_Row]],"")</f>
        <v/>
      </c>
      <c r="GD18" s="42" t="str">
        <f aca="false">IF(AND(Tasks[[#This Row],[_IsLeaf]]=1,N(Tasks[[#This Row],[_Days]])=0),Tasks[[#This Row],[Planned Finish]]+Tasks[[#This Row],[_Row]]/100000,"")</f>
        <v/>
      </c>
      <c r="GE18" s="42" t="str">
        <f aca="false">IF(AND(Tasks[[#This Row],[_IsLeaf]]=1,Tasks[[#This Row],[_LeafProgress]]&lt;1,OR(N(Tasks[[#This Row],[Finish Var]])&gt;0,Tasks[[#This Row],[Status]]="Late Start")),MAX(0,Tasks[[#This Row],[Finish Var]])+1-Tasks[[#This Row],[_Row]]/1000000,"")</f>
        <v/>
      </c>
      <c r="GF18" s="42" t="str">
        <f aca="false">IF(AND(Tasks[[#This Row],[_IsLeaf]]=1,N(Tasks[[#This Row],[Actual Start]])=0,Tasks[[#This Row],[_ShownFcstStart]]&gt;=StatusDate,Tasks[[#This Row],[_ShownFcstStart]]&lt;=LookaheadEnd),Tasks[[#This Row],[_ShownFcstStart]]+Tasks[[#This Row],[_Row]]/100000,"")</f>
        <v/>
      </c>
      <c r="GG18" s="42" t="str">
        <f aca="false">IF(AND(Tasks[[#This Row],[_IsLeaf]]=1,Tasks[[#This Row],[_LeafProgress]]&lt;1,Tasks[[#This Row],[_ShownFcstFinish]]&gt;=StatusDate,Tasks[[#This Row],[_ShownFcstFinish]]&lt;=LookaheadEnd),Tasks[[#This Row],[_ShownFcstFinish]]+Tasks[[#This Row],[_Row]]/100000,"")</f>
        <v/>
      </c>
      <c r="GH18" s="42" t="str">
        <f aca="false">IF(Tasks[[#This Row],[_LeafCritical]],Tasks[[#This Row],[_ShownFcstStart]]+Tasks[[#This Row],[_Row]]/100000,"")</f>
        <v/>
      </c>
      <c r="GI18" s="42" t="n">
        <f aca="false">Tasks[[#This Row],[_LeafWork]]*Tasks[[#This Row],[_LeafProgress]]</f>
        <v>0</v>
      </c>
      <c r="GJ18" s="89" t="str">
        <f aca="false">IF(AND(Tasks[[#This Row],[_IsLeaf]]=1,Tasks[[#This Row],[_LeafProgress]]&gt;=1),IF(N(Tasks[[#This Row],[Actual Finish]])&gt;0,Tasks[[#This Row],[Actual Finish]],Tasks[[#This Row],[_ShownFcstFinish]]),"")</f>
        <v/>
      </c>
      <c r="GK18" s="42" t="n">
        <f aca="false">IF(Tasks[[#This Row],[_IsLeaf]]=1,N(Tasks[[#This Row],[Story Points]]),0)</f>
        <v>0</v>
      </c>
      <c r="GL18" s="42" t="str">
        <f aca="false">""</f>
        <v/>
      </c>
      <c r="GM18" s="88" t="b">
        <f aca="false">IF(Tasks[[#This Row],[Task Name]]="",FALSE(),AND(Tasks[[#This Row],[_IsLeaf]]=1,N(Tasks[[#This Row],[_Days]])=0))</f>
        <v>0</v>
      </c>
      <c r="GN18" s="89" t="n">
        <f aca="false">IF(Tasks[[#This Row],[Task Name]]="",0,IF(AND(Tasks[[#This Row],[_IsLeaf]]=1,NOT(Tasks[[#This Row],[_IsMilestone]]),N(Tasks[[#This Row],[Progress]])&gt;0),Tasks[[#This Row],[Start]],0))</f>
        <v>0</v>
      </c>
      <c r="GO18" s="89" t="n">
        <f aca="false">IF(Tasks[[#This Row],[_DoneFrom]]=0,0,IF(Tasks[[#This Row],[Progress]]&gt;=1,Tasks[[#This Row],[Finish]],MAX(Tasks[[#This Row],[_DoneFrom]],Tasks[[#This Row],[Start]]+ROUND((Tasks[[#This Row],[Finish]]-Tasks[[#This Row],[Start]]+1)*Tasks[[#This Row],[Progress]],0)-1)))</f>
        <v>0</v>
      </c>
      <c r="GP18" s="89" t="n">
        <f aca="false">IF(Tasks[[#This Row],[Task Name]]="",0,IF(OR(NOT(Tasks[[#This Row],[_IsLeaf]]=1),Tasks[[#This Row],[_IsMilestone]],N(Tasks[[#This Row],[Progress]])&gt;=1),0,IF(Tasks[[#This Row],[_DoneTo]]&gt;0,Tasks[[#This Row],[_DoneTo]]+1,Tasks[[#This Row],[Start]])))</f>
        <v>0</v>
      </c>
      <c r="GQ18" s="89" t="n">
        <f aca="false">IF(Tasks[[#This Row],[_RemFrom]]=0,0,Tasks[[#This Row],[Finish]])</f>
        <v>0</v>
      </c>
      <c r="GR18" s="88" t="b">
        <f aca="false">IF(Tasks[[#This Row],[Task Name]]="",FALSE(),OR(NOT(BaselineSet),N(Tasks[[#This Row],[Baseline Start]])&gt;0))</f>
        <v>0</v>
      </c>
      <c r="GS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 s="90" t="str">
        <f aca="false">IF(Tasks[[#This Row],[_IsLeaf]]=1,Tasks[[#This Row],[_Row]],"")</f>
        <v/>
      </c>
      <c r="GW18" s="90" t="str">
        <f aca="false">IFERROR(INDEX(Tasks[UID],SMALL(Tasks[_PickKey],Tasks[[#This Row],[_Row]]))&amp;" "&amp;INDEX(Tasks[Task Name],SMALL(Tasks[_PickKey],Tasks[[#This Row],[_Row]])),"")</f>
        <v/>
      </c>
      <c r="GX18" s="42" t="str">
        <f aca="false">IF(Tasks[[#This Row],[Task Name]]="","",IF(Tasks[[#This Row],[_IsSummary]],NETWORKDAYS.INTL(Tasks[[#This Row],[Start]],Tasks[[#This Row],[Finish]],WorkWeek,Holidays),N(Tasks[[#This Row],[_Days]])))</f>
        <v/>
      </c>
    </row>
    <row r="19" customFormat="false" ht="15" hidden="false" customHeight="false" outlineLevel="0" collapsed="false">
      <c r="A19" s="21" t="str">
        <f aca="false">IF(Tasks[[#This Row],[Task Name]]="","",COUNTA(Tasks[[#Headers],[Task Name]]:Tasks[[#This Row],[Task Name]])-1)</f>
        <v/>
      </c>
      <c r="B19" s="22" t="n">
        <v>27</v>
      </c>
      <c r="C19" s="22"/>
      <c r="D19" s="23"/>
      <c r="E19" s="22"/>
      <c r="F19" s="23"/>
      <c r="G19" s="22"/>
      <c r="H19" s="22"/>
      <c r="I19" s="23"/>
      <c r="J19" s="22"/>
      <c r="K19" s="22"/>
      <c r="L19" s="23"/>
      <c r="M19" s="22"/>
      <c r="N19" s="22"/>
      <c r="O19" s="23"/>
      <c r="P19" s="22"/>
      <c r="Q19" s="22"/>
      <c r="R19" s="23"/>
      <c r="S19" s="23"/>
      <c r="T19" s="83"/>
      <c r="U19" s="23"/>
      <c r="V19" s="83"/>
      <c r="W19" s="23"/>
      <c r="X19" s="83"/>
      <c r="Y19" s="23"/>
      <c r="Z19" s="83"/>
      <c r="AA19" s="23"/>
      <c r="AB19" s="23"/>
      <c r="AC19" s="7"/>
      <c r="AD19" s="7"/>
      <c r="AE19" s="62" t="str">
        <f aca="false">IF(Tasks[[#This Row],[Task Name]]="","",IF(Tasks[[#This Row],[_IsSummary]],MIN(INDEX(Tasks[_ShownFcstStart],Tasks[[#This Row],[_Row]]+1):INDEX(Tasks[_ShownFcstStart],Tasks[[#This Row],[_Row]]+Tasks[[#This Row],[_Descendants]])),Tasks[[#This Row],[_ShownFcstStart]]))</f>
        <v/>
      </c>
      <c r="AF19" s="62" t="str">
        <f aca="false">IF(Tasks[[#This Row],[Task Name]]="","",IF(Tasks[[#This Row],[_IsSummary]],MAX(INDEX(Tasks[_ShownFcstFinish],Tasks[[#This Row],[_Row]]+1):INDEX(Tasks[_ShownFcstFinish],Tasks[[#This Row],[_Row]]+Tasks[[#This Row],[_Descendants]])),Tasks[[#This Row],[_ShownFcstFinish]]))</f>
        <v/>
      </c>
      <c r="AG19" s="21" t="str">
        <f aca="false">""</f>
        <v/>
      </c>
      <c r="AH19" s="23"/>
      <c r="AI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 s="7"/>
      <c r="AK19" s="22"/>
      <c r="AL19" s="23"/>
      <c r="AM19" s="7"/>
      <c r="AN19" s="46" t="str">
        <f aca="false">IF(Tasks[[#This Row],[Task Name]]="","",IF(Tasks[[#This Row],[Finish]]&gt;=Tasks[[#This Row],[Planned Finish]],NETWORKDAYS.INTL(Tasks[[#This Row],[Planned Finish]],Tasks[[#This Row],[Finish]],WorkWeek,Holidays)-1,1-NETWORKDAYS.INTL(Tasks[[#This Row],[Finish]],Tasks[[#This Row],[Planned Finish]],WorkWeek,Holidays)))</f>
        <v/>
      </c>
      <c r="AO19" s="21" t="str">
        <f aca="false">IF(Tasks[[#This Row],[Task Name]]="","",IF(Tasks[[#This Row],[Progress]]&gt;=1,"Complete",IF(OR(N(Tasks[[#This Row],[Actual Start]])&gt;0,Tasks[[#This Row],[Progress]]&gt;0),IF(Tasks[[#This Row],[Finish Var]]&gt;0,"Behind","In Progress"),IF(Tasks[[#This Row],[Planned Start]]&lt;StatusDate,"Late Start","Not Started"))))</f>
        <v/>
      </c>
      <c r="AP19" s="21" t="str">
        <f aca="false">IF(Tasks[[#This Row],[Task Name]]="","",IF(IF(Tasks[[#This Row],[_IsSummary]],COUNTIF(INDEX(Tasks[_LeafCritical],Tasks[[#This Row],[_Row]]+1):INDEX(Tasks[_LeafCritical],Tasks[[#This Row],[_Row]]+Tasks[[#This Row],[_Descendants]]),TRUE())&gt;0,Tasks[[#This Row],[_LeafCritical]]),"Yes",""))</f>
        <v/>
      </c>
      <c r="AQ19" s="62" t="str">
        <f aca="false">IF(Tasks[[#This Row],[Task Name]]="","",IF(N(Tasks[[#This Row],[Baseline Start]])&gt;0,Tasks[[#This Row],[Baseline Start]],Tasks[[#This Row],[_CalcStart]]))</f>
        <v/>
      </c>
      <c r="AR19" s="62" t="str">
        <f aca="false">IF(Tasks[[#This Row],[Task Name]]="","",IF(N(Tasks[[#This Row],[Baseline Finish]])&gt;0,Tasks[[#This Row],[Baseline Finish]],Tasks[[#This Row],[_CalcFinish]]))</f>
        <v/>
      </c>
      <c r="AS19" s="46" t="str">
        <f aca="false">IF(Tasks[[#This Row],[Task Name]]="","",IF(Tasks[[#This Row],[Start]]&gt;=Tasks[[#This Row],[Planned Start]],NETWORKDAYS.INTL(Tasks[[#This Row],[Planned Start]],Tasks[[#This Row],[Start]],WorkWeek,Holidays)-1,1-NETWORKDAYS.INTL(Tasks[[#This Row],[Start]],Tasks[[#This Row],[Planned Start]],WorkWeek,Holidays)))</f>
        <v/>
      </c>
      <c r="AT19" s="62" t="str">
        <f aca="false">IF(Tasks[[#This Row],[Task Name]]="","",IF(Tasks[[#This Row],[_IsSummary]],MIN(INDEX(Tasks[_LeafLateStart],Tasks[[#This Row],[_Row]]+1):INDEX(Tasks[_LeafLateStart],Tasks[[#This Row],[_Row]]+Tasks[[#This Row],[_Descendants]])),Tasks[[#This Row],[_LeafLateStart]]))</f>
        <v/>
      </c>
      <c r="AU19" s="62" t="str">
        <f aca="false">IF(Tasks[[#This Row],[Task Name]]="","",IF(Tasks[[#This Row],[_IsSummary]],MAX(INDEX(Tasks[_LeafLateFinish],Tasks[[#This Row],[_Row]]+1):INDEX(Tasks[_LeafLateFinish],Tasks[[#This Row],[_Row]]+Tasks[[#This Row],[_Descendants]])),Tasks[[#This Row],[_LeafLateFinish]]))</f>
        <v/>
      </c>
      <c r="AV19" s="46" t="str">
        <f aca="false">IF(Tasks[[#This Row],[Task Name]]="","",IF(Tasks[[#This Row],[_IsSummary]],MIN(INDEX(Tasks[_LeafTotalSlack],Tasks[[#This Row],[_Row]]+1):INDEX(Tasks[_LeafTotalSlack],Tasks[[#This Row],[_Row]]+Tasks[[#This Row],[_Descendants]])),Tasks[[#This Row],[_LeafTotalSlack]]))</f>
        <v/>
      </c>
      <c r="AW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4"/>
      <c r="BA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t="str">
        <f aca="false">IF(Tasks[[#This Row],[Task Name]]="","",IF(Tasks[[#This Row],[_Level]]&lt;=OutlineShowLevel,"Yes","No"))</f>
        <v/>
      </c>
      <c r="BE19" s="85" t="str">
        <f aca="false">IF(Tasks[[#This Row],[Task Name]]="","",IF(Tasks[[#This Row],[_IsSummary]],SUM(INDEX(Tasks[_LeafTotalWork],Tasks[[#This Row],[_Row]]+1):INDEX(Tasks[_LeafTotalWork],Tasks[[#This Row],[_Row]]+Tasks[[#This Row],[_Descendants]])),Tasks[[#This Row],[_LeafTotalWork]]))</f>
        <v/>
      </c>
      <c r="BF19" s="23"/>
      <c r="BG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t="str">
        <f aca="false">""</f>
        <v/>
      </c>
      <c r="BI19" s="86"/>
      <c r="BJ19" s="22"/>
      <c r="BK19" s="46" t="str">
        <f aca="false">IF(OR(Tasks[[#This Row],[Task Name]]="",Tasks[[#This Row],[Baseline Duration]]=""),"",Tasks[[#This Row],[_SpanDays]]-N(Tasks[[#This Row],[Baseline Duration]]))</f>
        <v/>
      </c>
      <c r="BL19" s="85" t="str">
        <f aca="false">IF(OR(Tasks[[#This Row],[Task Name]]="",Tasks[[#This Row],[Baseline Work]]=""),"",Tasks[[#This Row],[Work]]-N(Tasks[[#This Row],[Baseline Work]]))</f>
        <v/>
      </c>
      <c r="BM19" s="62" t="str">
        <f aca="false">IF(Tasks[[#This Row],[Task Name]]="","",IF(OR(TakeBaseline="Yes",N(Tasks[[#This Row],[Baseline Start]])=0),Tasks[[#This Row],[Start]],Tasks[[#This Row],[Baseline Start]]))</f>
        <v/>
      </c>
      <c r="BN19" s="62" t="str">
        <f aca="false">IF(Tasks[[#This Row],[Task Name]]="","",IF(OR(TakeBaseline="Yes",N(Tasks[[#This Row],[Baseline Finish]])=0),Tasks[[#This Row],[Finish]],Tasks[[#This Row],[Baseline Finish]]))</f>
        <v/>
      </c>
      <c r="BO19" s="21" t="str">
        <f aca="false">IF(Tasks[[#This Row],[Task Name]]="","",IF(OR(TakeBaseline="Yes",N(Tasks[[#This Row],[Baseline Duration]])=0),Tasks[[#This Row],[_SpanDays]],Tasks[[#This Row],[Baseline Duration]]))</f>
        <v/>
      </c>
      <c r="BP19" s="85" t="str">
        <f aca="false">IF(Tasks[[#This Row],[Task Name]]="","",IF(OR(TakeBaseline="Yes",N(Tasks[[#This Row],[Baseline Work]])=0),Tasks[[#This Row],[Work]],Tasks[[#This Row],[Baseline Work]]))</f>
        <v/>
      </c>
      <c r="BQ19" s="7"/>
      <c r="BR19" s="7"/>
      <c r="BS19" s="22"/>
      <c r="BT19" s="87"/>
      <c r="BU19" s="42" t="str">
        <f aca="false">IF(Tasks[[#This Row],[Task Name]]="","",MAX(1,N(Tasks[[#This Row],[Level]])))</f>
        <v/>
      </c>
      <c r="BV19" s="42" t="n">
        <f aca="false">ROW()-ROW(Tasks[[#Headers],[ID]])</f>
        <v>14</v>
      </c>
      <c r="BW19" s="42" t="n">
        <f aca="false">IF(OR(Tasks[[#This Row],[Task Name]]="",Tasks[[#This Row],[_Level]]&lt;=1),0,IFERROR(LOOKUP(2,1/(Tasks[[#Headers],[_Level]]:Tasks[[#This Row],[_Level]]=Tasks[[#This Row],[_Level]]-1),ROW(Tasks[[#Headers],[_Level]]:Tasks[[#This Row],[_Level]])),0))</f>
        <v>0</v>
      </c>
      <c r="BX19" s="42" t="n">
        <f aca="false">IFERROR(N(INDEX(Tasks[_Level],Tasks[[#This Row],[_Row]]+1)),0)</f>
        <v>0</v>
      </c>
      <c r="BY19" s="88" t="b">
        <f aca="false">AND(Tasks[[#This Row],[Task Name]]&lt;&gt;"",Tasks[[#This Row],[_NextLevel]]&gt;Tasks[[#This Row],[_Level]])</f>
        <v>0</v>
      </c>
      <c r="BZ19" s="42" t="n">
        <f aca="false">IF(Tasks[[#This Row],[_IsSummary]],COUNTIF(Tasks[WBS],Tasks[[#This Row],[WBS]]&amp;".*"),0)</f>
        <v>0</v>
      </c>
      <c r="CA19" s="42" t="n">
        <f aca="false">IF(AND(Tasks[[#This Row],[Task Name]]&lt;&gt;"",NOT(Tasks[[#This Row],[_IsSummary]])),1,0)</f>
        <v>0</v>
      </c>
      <c r="CB19" s="42" t="n">
        <f aca="false">IF(N(Tasks[[#This Row],[_Pred1UID]])=0,0,IFERROR(MATCH(Tasks[[#This Row],[_Pred1UID]],Tasks[UID],0),-1))</f>
        <v>0</v>
      </c>
      <c r="CC19" s="42" t="n">
        <f aca="false">IF(N(Tasks[[#This Row],[_Pred2UID]])=0,0,IFERROR(MATCH(Tasks[[#This Row],[_Pred2UID]],Tasks[UID],0),-1))</f>
        <v>0</v>
      </c>
      <c r="CD19" s="42" t="n">
        <f aca="false">IF(N(Tasks[[#This Row],[_Pred3UID]])=0,0,IFERROR(MATCH(Tasks[[#This Row],[_Pred3UID]],Tasks[UID],0),-1))</f>
        <v>0</v>
      </c>
      <c r="CE19" s="42" t="n">
        <f aca="false">IF(N(Tasks[[#This Row],[_Pred4UID]])=0,0,IFERROR(MATCH(Tasks[[#This Row],[_Pred4UID]],Tasks[UID],0),-1))</f>
        <v>0</v>
      </c>
      <c r="CF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 s="89" t="n">
        <f aca="false">IF(OR(Tasks[[#This Row],[_ConstraintCode]]=2,Tasks[[#This Row],[_ConstraintCode]]=3,Tasks[[#This Row],[_ConstraintCode]]=4,Tasks[[#This Row],[_ConstraintCode]]=6),Tasks[[#This Row],[_ConstraintStart]],0)</f>
        <v>0</v>
      </c>
      <c r="CI19" s="89" t="n">
        <f aca="false">IF(OR(Tasks[[#This Row],[_ConstraintCode]]=2,Tasks[[#This Row],[_ConstraintCode]]=3,Tasks[[#This Row],[_ConstraintCode]]=5,Tasks[[#This Row],[_ConstraintCode]]=7),Tasks[[#This Row],[_ConstraintStart]],2958465)</f>
        <v>2958465</v>
      </c>
      <c r="CJ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 s="89" t="str">
        <f aca="false">IF(NOT(Tasks[[#This Row],[_IsLeaf]]=1),"",IF(N(Tasks[[#This Row],[_Days]])&lt;=0,Tasks[[#This Row],[_LeafCalcStart]],WORKDAY.INTL(Tasks[[#This Row],[_LeafCalcStart]],Tasks[[#This Row],[_Days]]-1,WorkWeek,Holidays)))</f>
        <v/>
      </c>
      <c r="CL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 s="42" t="str">
        <f aca="false">IF(Tasks[[#This Row],[_Predecessors]]="","",TRIM(MID(SUBSTITUTE(SUBSTITUTE(SUBSTITUTE(UPPER(Tasks[[#This Row],[_Predecessors]]),";",",")," ",""),",",REPT(" ",99)),1,99)))</f>
        <v/>
      </c>
      <c r="CO19" s="42" t="str">
        <f aca="false">IF(Tasks[[#This Row],[_Pred1Text]]="","",IFERROR(VALUE(LEFT(Tasks[[#This Row],[_Pred1Text]],MIN(FIND("F",Tasks[[#This Row],[_Pred1Text]]&amp;"F"),FIND("S",Tasks[[#This Row],[_Pred1Text]]&amp;"S"),FIND("+",Tasks[[#This Row],[_Pred1Text]]&amp;"+"),FIND("-",Tasks[[#This Row],[_Pred1Text]]&amp;"-"))-1)),""))</f>
        <v/>
      </c>
      <c r="CP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 s="42" t="str">
        <f aca="false">IF(Tasks[[#This Row],[_Pred1Text]]="","",TRIM(MID(SUBSTITUTE(SUBSTITUTE(SUBSTITUTE(UPPER(Tasks[[#This Row],[_Predecessors]]),";",",")," ",""),",",REPT(" ",99)),100,99)))</f>
        <v/>
      </c>
      <c r="CS19" s="42" t="str">
        <f aca="false">IF(Tasks[[#This Row],[_Pred2Text]]="","",IFERROR(VALUE(LEFT(Tasks[[#This Row],[_Pred2Text]],MIN(FIND("F",Tasks[[#This Row],[_Pred2Text]]&amp;"F"),FIND("S",Tasks[[#This Row],[_Pred2Text]]&amp;"S"),FIND("+",Tasks[[#This Row],[_Pred2Text]]&amp;"+"),FIND("-",Tasks[[#This Row],[_Pred2Text]]&amp;"-"))-1)),""))</f>
        <v/>
      </c>
      <c r="CT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 s="42" t="str">
        <f aca="false">IF(Tasks[[#This Row],[_Pred2Text]]="","",TRIM(MID(SUBSTITUTE(SUBSTITUTE(SUBSTITUTE(UPPER(Tasks[[#This Row],[_Predecessors]]),";",",")," ",""),",",REPT(" ",99)),199,99)))</f>
        <v/>
      </c>
      <c r="CW19" s="42" t="str">
        <f aca="false">IF(Tasks[[#This Row],[_Pred3Text]]="","",IFERROR(VALUE(LEFT(Tasks[[#This Row],[_Pred3Text]],MIN(FIND("F",Tasks[[#This Row],[_Pred3Text]]&amp;"F"),FIND("S",Tasks[[#This Row],[_Pred3Text]]&amp;"S"),FIND("+",Tasks[[#This Row],[_Pred3Text]]&amp;"+"),FIND("-",Tasks[[#This Row],[_Pred3Text]]&amp;"-"))-1)),""))</f>
        <v/>
      </c>
      <c r="CX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 s="42" t="str">
        <f aca="false">IF(Tasks[[#This Row],[_Pred3Text]]="","",TRIM(MID(SUBSTITUTE(SUBSTITUTE(SUBSTITUTE(UPPER(Tasks[[#This Row],[_Predecessors]]),";",",")," ",""),",",REPT(" ",99)),298,99)))</f>
        <v/>
      </c>
      <c r="DA19" s="42" t="str">
        <f aca="false">IF(Tasks[[#This Row],[_Pred4Text]]="","",IFERROR(VALUE(LEFT(Tasks[[#This Row],[_Pred4Text]],MIN(FIND("F",Tasks[[#This Row],[_Pred4Text]]&amp;"F"),FIND("S",Tasks[[#This Row],[_Pred4Text]]&amp;"S"),FIND("+",Tasks[[#This Row],[_Pred4Text]]&amp;"+"),FIND("-",Tasks[[#This Row],[_Pred4Text]]&amp;"-"))-1)),""))</f>
        <v/>
      </c>
      <c r="DB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 s="42" t="str">
        <f aca="false">IF(OR(Tasks[[#This Row],[Task Name]]="",Tasks[[#This Row],[_Resources]]=""),"",TRIM(MID(SUBSTITUTE(Tasks[[#This Row],[_Resources]],",",REPT(" ",99)),1,99)))</f>
        <v/>
      </c>
      <c r="DE19" s="42" t="str">
        <f aca="false">IF(Tasks[[#This Row],[_Res1Text]]="","",TRIM(MID(SUBSTITUTE(Tasks[[#This Row],[_Resources]],",",REPT(" ",99)),100,99)))</f>
        <v/>
      </c>
      <c r="DF19" s="42" t="str">
        <f aca="false">IF(Tasks[[#This Row],[_Res2Text]]="","",TRIM(MID(SUBSTITUTE(Tasks[[#This Row],[_Resources]],",",REPT(" ",99)),199,99)))</f>
        <v/>
      </c>
      <c r="DG19" s="42" t="str">
        <f aca="false">IF(Tasks[[#This Row],[_Res3Text]]="","",TRIM(MID(SUBSTITUTE(Tasks[[#This Row],[_Resources]],",",REPT(" ",99)),298,99)))</f>
        <v/>
      </c>
      <c r="DH19" s="42" t="n">
        <f aca="false">IF(Tasks[[#This Row],[_Res1Text]]="",0,IFERROR(MATCH(TRIM(LEFT(Tasks[[#This Row],[_Res1Text]],FIND("[",Tasks[[#This Row],[_Res1Text]]&amp;"[")-1)),res_Name,0),IFERROR(MATCH(TRIM(LEFT(Tasks[[#This Row],[_Res1Text]],FIND("[",Tasks[[#This Row],[_Res1Text]]&amp;"[")-1)),res_Initials,0),0)))</f>
        <v>0</v>
      </c>
      <c r="DI19" s="42" t="n">
        <f aca="false">IF(Tasks[[#This Row],[_Res2Text]]="",0,IFERROR(MATCH(TRIM(LEFT(Tasks[[#This Row],[_Res2Text]],FIND("[",Tasks[[#This Row],[_Res2Text]]&amp;"[")-1)),res_Name,0),IFERROR(MATCH(TRIM(LEFT(Tasks[[#This Row],[_Res2Text]],FIND("[",Tasks[[#This Row],[_Res2Text]]&amp;"[")-1)),res_Initials,0),0)))</f>
        <v>0</v>
      </c>
      <c r="DJ19" s="42" t="n">
        <f aca="false">IF(Tasks[[#This Row],[_Res3Text]]="",0,IFERROR(MATCH(TRIM(LEFT(Tasks[[#This Row],[_Res3Text]],FIND("[",Tasks[[#This Row],[_Res3Text]]&amp;"[")-1)),res_Name,0),IFERROR(MATCH(TRIM(LEFT(Tasks[[#This Row],[_Res3Text]],FIND("[",Tasks[[#This Row],[_Res3Text]]&amp;"[")-1)),res_Initials,0),0)))</f>
        <v>0</v>
      </c>
      <c r="DK19" s="42" t="n">
        <f aca="false">IF(Tasks[[#This Row],[_Res4Text]]="",0,IFERROR(MATCH(TRIM(LEFT(Tasks[[#This Row],[_Res4Text]],FIND("[",Tasks[[#This Row],[_Res4Text]]&amp;"[")-1)),res_Name,0),IFERROR(MATCH(TRIM(LEFT(Tasks[[#This Row],[_Res4Text]],FIND("[",Tasks[[#This Row],[_Res4Text]]&amp;"[")-1)),res_Initials,0),0)))</f>
        <v>0</v>
      </c>
      <c r="DL19" s="42" t="str">
        <f aca="false">IF(Tasks[[#This Row],[_Res1Text]]="","",IF(Tasks[[#This Row],[_Res1Row]]&gt;0,INDEX(res_Name,Tasks[[#This Row],[_Res1Row]]),TRIM(LEFT(Tasks[[#This Row],[_Res1Text]],FIND("[",Tasks[[#This Row],[_Res1Text]]&amp;"[")-1))))</f>
        <v/>
      </c>
      <c r="DM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 s="42" t="n">
        <f aca="false">IF(NOT(Tasks[[#This Row],[_IsLeaf]]=1),0,(Tasks[[#This Row],[_Resource1]]&lt;&gt;"")+(Tasks[[#This Row],[_Res2]]&lt;&gt;"")+(Tasks[[#This Row],[_Res3]]&lt;&gt;"")+(Tasks[[#This Row],[_Res4]]&lt;&gt;""))</f>
        <v>0</v>
      </c>
      <c r="DO19" s="42" t="str">
        <f aca="false">IF(Tasks[[#This Row],[_Res2Text]]="","",IF(Tasks[[#This Row],[_Res2Row]]&gt;0,INDEX(res_Name,Tasks[[#This Row],[_Res2Row]]),TRIM(LEFT(Tasks[[#This Row],[_Res2Text]],FIND("[",Tasks[[#This Row],[_Res2Text]]&amp;"[")-1))))</f>
        <v/>
      </c>
      <c r="DP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 s="42" t="n">
        <f aca="false">IF(OR(NOT(Tasks[[#This Row],[_IsLeaf]]=1),Tasks[[#This Row],[_Res2Row]]=0),0,N(Tasks[[#This Row],[_Days]])*HoursPerDay*IF(Tasks[[#This Row],[_Res2Units]]="",DefaultUnits,Tasks[[#This Row],[_Res2Units]]))</f>
        <v>0</v>
      </c>
      <c r="DR19" s="42" t="n">
        <f aca="false">IF(AND(AND(Tasks[[#This Row],[_IsLeaf]]=1,Tasks[[#This Row],[_LeafTotalWork]]&gt;0),Tasks[[#This Row],[_Res2Work]]&gt;0),Tasks[[#This Row],[_Res2Work]]/(Tasks[[#This Row],[_FinishWorkday]]-Tasks[[#This Row],[_StartWorkday]]+1),0)</f>
        <v>0</v>
      </c>
      <c r="DS19" s="42" t="n">
        <f aca="false">Tasks[[#This Row],[_Res2WorkPerWD]]*MAX(0,Tasks[[#This Row],[_StartWorkday]]-1)</f>
        <v>0</v>
      </c>
      <c r="DT19" s="42" t="n">
        <f aca="false">Tasks[[#This Row],[_Res2Work]]*Tasks[[#This Row],[_LeafProgress]]</f>
        <v>0</v>
      </c>
      <c r="DU19" s="42" t="str">
        <f aca="false">IF(Tasks[[#This Row],[_Res3Text]]="","",IF(Tasks[[#This Row],[_Res3Row]]&gt;0,INDEX(res_Name,Tasks[[#This Row],[_Res3Row]]),TRIM(LEFT(Tasks[[#This Row],[_Res3Text]],FIND("[",Tasks[[#This Row],[_Res3Text]]&amp;"[")-1))))</f>
        <v/>
      </c>
      <c r="DV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 s="42" t="n">
        <f aca="false">IF(OR(NOT(Tasks[[#This Row],[_IsLeaf]]=1),Tasks[[#This Row],[_Res3Row]]=0),0,N(Tasks[[#This Row],[_Days]])*HoursPerDay*IF(Tasks[[#This Row],[_Res3Units]]="",DefaultUnits,Tasks[[#This Row],[_Res3Units]]))</f>
        <v>0</v>
      </c>
      <c r="DX19" s="42" t="n">
        <f aca="false">IF(AND(AND(Tasks[[#This Row],[_IsLeaf]]=1,Tasks[[#This Row],[_LeafTotalWork]]&gt;0),Tasks[[#This Row],[_Res3Work]]&gt;0),Tasks[[#This Row],[_Res3Work]]/(Tasks[[#This Row],[_FinishWorkday]]-Tasks[[#This Row],[_StartWorkday]]+1),0)</f>
        <v>0</v>
      </c>
      <c r="DY19" s="42" t="n">
        <f aca="false">Tasks[[#This Row],[_Res3WorkPerWD]]*MAX(0,Tasks[[#This Row],[_StartWorkday]]-1)</f>
        <v>0</v>
      </c>
      <c r="DZ19" s="42" t="n">
        <f aca="false">Tasks[[#This Row],[_Res3Work]]*Tasks[[#This Row],[_LeafProgress]]</f>
        <v>0</v>
      </c>
      <c r="EA19" s="42" t="str">
        <f aca="false">IF(Tasks[[#This Row],[_Res4Text]]="","",IF(Tasks[[#This Row],[_Res4Row]]&gt;0,INDEX(res_Name,Tasks[[#This Row],[_Res4Row]]),TRIM(LEFT(Tasks[[#This Row],[_Res4Text]],FIND("[",Tasks[[#This Row],[_Res4Text]]&amp;"[")-1))))</f>
        <v/>
      </c>
      <c r="EB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 s="42" t="n">
        <f aca="false">IF(OR(NOT(Tasks[[#This Row],[_IsLeaf]]=1),Tasks[[#This Row],[_Res4Row]]=0),0,N(Tasks[[#This Row],[_Days]])*HoursPerDay*IF(Tasks[[#This Row],[_Res4Units]]="",DefaultUnits,Tasks[[#This Row],[_Res4Units]]))</f>
        <v>0</v>
      </c>
      <c r="ED19" s="42" t="n">
        <f aca="false">IF(AND(AND(Tasks[[#This Row],[_IsLeaf]]=1,Tasks[[#This Row],[_LeafTotalWork]]&gt;0),Tasks[[#This Row],[_Res4Work]]&gt;0),Tasks[[#This Row],[_Res4Work]]/(Tasks[[#This Row],[_FinishWorkday]]-Tasks[[#This Row],[_StartWorkday]]+1),0)</f>
        <v>0</v>
      </c>
      <c r="EE19" s="42" t="n">
        <f aca="false">Tasks[[#This Row],[_Res4WorkPerWD]]*MAX(0,Tasks[[#This Row],[_StartWorkday]]-1)</f>
        <v>0</v>
      </c>
      <c r="EF19" s="42" t="n">
        <f aca="false">Tasks[[#This Row],[_Res4Work]]*Tasks[[#This Row],[_LeafProgress]]</f>
        <v>0</v>
      </c>
      <c r="EG19" s="42" t="n">
        <f aca="false">IF(ISNUMBER(Tasks[[#This Row],[% Complete]]),Tasks[[#This Row],[% Complete]],IF(Tasks[[#This Row],[Stage]]="",0,IFERROR(INDEX(stg_Pct,MATCH(Tasks[[#This Row],[Stage]],stg_Name,0)),0)))</f>
        <v>0</v>
      </c>
      <c r="EH19" s="42" t="n">
        <f aca="false">IF(NOT(Tasks[[#This Row],[_IsLeaf]]=1),0,IF(N(Tasks[[#This Row],[Actual Finish]])&gt;0,1,MIN(1,Tasks[[#This Row],[_Pct]])))</f>
        <v>0</v>
      </c>
      <c r="EI19" s="42" t="n">
        <f aca="false">IF(OR(NOT(Tasks[[#This Row],[_IsLeaf]]=1),Tasks[[#This Row],[_Res1Row]]=0),0,N(Tasks[[#This Row],[_Days]])*HoursPerDay*IF(Tasks[[#This Row],[_Units1]]="",DefaultUnits,Tasks[[#This Row],[_Units1]]))</f>
        <v>0</v>
      </c>
      <c r="EJ19" s="42" t="n">
        <f aca="false">Tasks[[#This Row],[_LeafWork]]+Tasks[[#This Row],[_Res2Work]]+Tasks[[#This Row],[_Res3Work]]+Tasks[[#This Row],[_Res4Work]]</f>
        <v>0</v>
      </c>
      <c r="EK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 s="42" t="n">
        <f aca="false">IF(NOT(Tasks[[#This Row],[_IsLeaf]]=1),0,MAX(_xlfn.MAXIFS(Tasks[_Row],Tasks[_Pred1UID],Tasks[[#This Row],[UID]]),_xlfn.MAXIFS(Tasks[_Row],Tasks[_Pred2UID],Tasks[[#This Row],[UID]]),_xlfn.MAXIFS(Tasks[_Row],Tasks[_Pred3UID],Tasks[[#This Row],[UID]]),_xlfn.MAXIFS(Tasks[_Row],Tasks[_Pred4UID],Tasks[[#This Row],[UID]])))</f>
        <v>0</v>
      </c>
      <c r="ET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 s="89" t="str">
        <f aca="false">IF(NOT(Tasks[[#This Row],[_IsLeaf]]=1),"",IF(N(Tasks[[#This Row],[_Days]])&lt;=0,Tasks[[#This Row],[_LeafLateFinish]],WORKDAY.INTL(Tasks[[#This Row],[_LeafLateFinish]],-(Tasks[[#This Row],[_Days]]-1),WorkWeek,Holidays)))</f>
        <v/>
      </c>
      <c r="EW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 s="88" t="b">
        <f aca="false">AND(Tasks[[#This Row],[_IsLeaf]]=1,Tasks[[#This Row],[_LeafProgress]]&lt;1,N(Tasks[[#This Row],[_LeafTotalSlack]])&lt;=CriticalSlackDays)</f>
        <v>0</v>
      </c>
      <c r="EY19" s="42" t="n">
        <f aca="false">IF(AND(Tasks[[#This Row],[_IsLeaf]]=1,Tasks[[#This Row],[_ConstraintCode]]=1,Tasks[[#This Row],[Mode]]&lt;&gt;"Manual",N(Tasks[[#This Row],[Actual Start]])=0),MAX(0,N(Tasks[[#This Row],[Free Slack]])),0)</f>
        <v>0</v>
      </c>
      <c r="EZ19" s="89" t="str">
        <f aca="false">IF(NOT(Tasks[[#This Row],[_IsLeaf]]=1),"",IF(Tasks[[#This Row],[_AlapShift]]=0,Tasks[[#This Row],[_LeafCalcStart]],WORKDAY.INTL(Tasks[[#This Row],[_LeafCalcStart]],Tasks[[#This Row],[_AlapShift]],WorkWeek,Holidays)))</f>
        <v/>
      </c>
      <c r="FA19" s="89" t="str">
        <f aca="false">IF(NOT(Tasks[[#This Row],[_IsLeaf]]=1),"",IF(Tasks[[#This Row],[_AlapShift]]=0,Tasks[[#This Row],[_LeafCalcFinish]],WORKDAY.INTL(Tasks[[#This Row],[_LeafCalcFinish]],Tasks[[#This Row],[_AlapShift]],WorkWeek,Holidays)))</f>
        <v/>
      </c>
      <c r="FB19" s="89" t="str">
        <f aca="false">IF(NOT(Tasks[[#This Row],[_IsLeaf]]=1),"",IF(Tasks[[#This Row],[_AlapShift]]=0,Tasks[[#This Row],[_LeafFcstStart]],WORKDAY.INTL(Tasks[[#This Row],[_LeafFcstStart]],Tasks[[#This Row],[_AlapShift]],WorkWeek,Holidays)))</f>
        <v/>
      </c>
      <c r="FC19" s="89" t="str">
        <f aca="false">IF(NOT(Tasks[[#This Row],[_IsLeaf]]=1),"",IF(Tasks[[#This Row],[_AlapShift]]=0,Tasks[[#This Row],[_LeafFcstFinish]],WORKDAY.INTL(Tasks[[#This Row],[_LeafFcstFinish]],Tasks[[#This Row],[_AlapShift]],WorkWeek,Holidays)))</f>
        <v/>
      </c>
      <c r="FD19" s="89" t="str">
        <f aca="false">IF(Tasks[[#This Row],[Task Name]]="","",IF(Tasks[[#This Row],[_IsSummary]],MIN(INDEX(Tasks[_ShownCalcStart],Tasks[[#This Row],[_Row]]+1):INDEX(Tasks[_ShownCalcStart],Tasks[[#This Row],[_Row]]+Tasks[[#This Row],[_Descendants]])),Tasks[[#This Row],[_ShownCalcStart]]))</f>
        <v/>
      </c>
      <c r="FE19" s="89" t="str">
        <f aca="false">IF(Tasks[[#This Row],[Task Name]]="","",IF(Tasks[[#This Row],[_IsSummary]],MAX(INDEX(Tasks[_ShownCalcFinish],Tasks[[#This Row],[_Row]]+1):INDEX(Tasks[_ShownCalcFinish],Tasks[[#This Row],[_Row]]+Tasks[[#This Row],[_Descendants]])),Tasks[[#This Row],[_ShownCalcFinish]]))</f>
        <v/>
      </c>
      <c r="FF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 s="42" t="n">
        <f aca="false">IF(AND(Tasks[[#This Row],[_IsLeaf]]=1,Tasks[[#This Row],[_LeafTotalWork]]&gt;0),NETWORKDAYS.INTL(ProjectStart,Tasks[[#This Row],[_ShownFcstStart]],WorkWeek,Holidays),0)</f>
        <v>0</v>
      </c>
      <c r="FS19" s="42" t="n">
        <f aca="false">IF(AND(Tasks[[#This Row],[_IsLeaf]]=1,Tasks[[#This Row],[_LeafTotalWork]]&gt;0),MAX(Tasks[[#This Row],[_StartWorkday]],NETWORKDAYS.INTL(ProjectStart,Tasks[[#This Row],[_ShownFcstFinish]],WorkWeek,Holidays)),0)</f>
        <v>0</v>
      </c>
      <c r="FT19" s="42" t="n">
        <f aca="false">IF(AND(Tasks[[#This Row],[_IsLeaf]]=1,Tasks[[#This Row],[_LeafTotalWork]]&gt;0),Tasks[[#This Row],[_LeafWork]]/(Tasks[[#This Row],[_FinishWorkday]]-Tasks[[#This Row],[_StartWorkday]]+1),0)</f>
        <v>0</v>
      </c>
      <c r="FU19" s="42" t="n">
        <f aca="false">Tasks[[#This Row],[_WorkPerWorkday]]*(Tasks[[#This Row],[_StartWorkday]]-1)</f>
        <v>-0</v>
      </c>
      <c r="FV19" s="42" t="n">
        <f aca="false">IF(Tasks[[#This Row],[_IsLeaf]]=1,MAX(N(Tasks[[#This Row],[_Days]]),0.1),0)</f>
        <v>0</v>
      </c>
      <c r="FW19" s="42" t="n">
        <f aca="false">Tasks[[#This Row],[_WeightDur]]*Tasks[[#This Row],[_LeafProgress]]</f>
        <v>0</v>
      </c>
      <c r="FX19" s="42" t="n">
        <f aca="false">Tasks[[#This Row],[_WeightDur]]*Tasks[[#This Row],[_PlannedPct]]</f>
        <v>0</v>
      </c>
      <c r="FY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 s="42" t="str">
        <f aca="false">IF(AND(Tasks[[#This Row],[_IsLeaf]]=1,N(Tasks[[#This Row],[_Days]])=0,Tasks[[#This Row],[_LeafProgress]]&lt;1),Tasks[[#This Row],[_ShownFcstFinish]]+Tasks[[#This Row],[_Row]]/100000,"")</f>
        <v/>
      </c>
      <c r="GA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 s="42" t="str">
        <f aca="false">IF(Tasks[[#This Row],[Task Name]]="","",LEFT(Tasks[[#This Row],[WBS]],FIND(".",Tasks[[#This Row],[WBS]]&amp;".")-1))</f>
        <v/>
      </c>
      <c r="GC19" s="42" t="str">
        <f aca="false">IF(AND(Tasks[[#This Row],[Task Name]]&lt;&gt;"",Tasks[[#This Row],[_Level]]=1),Tasks[[#This Row],[_Row]],"")</f>
        <v/>
      </c>
      <c r="GD19" s="42" t="str">
        <f aca="false">IF(AND(Tasks[[#This Row],[_IsLeaf]]=1,N(Tasks[[#This Row],[_Days]])=0),Tasks[[#This Row],[Planned Finish]]+Tasks[[#This Row],[_Row]]/100000,"")</f>
        <v/>
      </c>
      <c r="GE19" s="42" t="str">
        <f aca="false">IF(AND(Tasks[[#This Row],[_IsLeaf]]=1,Tasks[[#This Row],[_LeafProgress]]&lt;1,OR(N(Tasks[[#This Row],[Finish Var]])&gt;0,Tasks[[#This Row],[Status]]="Late Start")),MAX(0,Tasks[[#This Row],[Finish Var]])+1-Tasks[[#This Row],[_Row]]/1000000,"")</f>
        <v/>
      </c>
      <c r="GF19" s="42" t="str">
        <f aca="false">IF(AND(Tasks[[#This Row],[_IsLeaf]]=1,N(Tasks[[#This Row],[Actual Start]])=0,Tasks[[#This Row],[_ShownFcstStart]]&gt;=StatusDate,Tasks[[#This Row],[_ShownFcstStart]]&lt;=LookaheadEnd),Tasks[[#This Row],[_ShownFcstStart]]+Tasks[[#This Row],[_Row]]/100000,"")</f>
        <v/>
      </c>
      <c r="GG19" s="42" t="str">
        <f aca="false">IF(AND(Tasks[[#This Row],[_IsLeaf]]=1,Tasks[[#This Row],[_LeafProgress]]&lt;1,Tasks[[#This Row],[_ShownFcstFinish]]&gt;=StatusDate,Tasks[[#This Row],[_ShownFcstFinish]]&lt;=LookaheadEnd),Tasks[[#This Row],[_ShownFcstFinish]]+Tasks[[#This Row],[_Row]]/100000,"")</f>
        <v/>
      </c>
      <c r="GH19" s="42" t="str">
        <f aca="false">IF(Tasks[[#This Row],[_LeafCritical]],Tasks[[#This Row],[_ShownFcstStart]]+Tasks[[#This Row],[_Row]]/100000,"")</f>
        <v/>
      </c>
      <c r="GI19" s="42" t="n">
        <f aca="false">Tasks[[#This Row],[_LeafWork]]*Tasks[[#This Row],[_LeafProgress]]</f>
        <v>0</v>
      </c>
      <c r="GJ19" s="89" t="str">
        <f aca="false">IF(AND(Tasks[[#This Row],[_IsLeaf]]=1,Tasks[[#This Row],[_LeafProgress]]&gt;=1),IF(N(Tasks[[#This Row],[Actual Finish]])&gt;0,Tasks[[#This Row],[Actual Finish]],Tasks[[#This Row],[_ShownFcstFinish]]),"")</f>
        <v/>
      </c>
      <c r="GK19" s="42" t="n">
        <f aca="false">IF(Tasks[[#This Row],[_IsLeaf]]=1,N(Tasks[[#This Row],[Story Points]]),0)</f>
        <v>0</v>
      </c>
      <c r="GL19" s="42" t="str">
        <f aca="false">""</f>
        <v/>
      </c>
      <c r="GM19" s="88" t="b">
        <f aca="false">IF(Tasks[[#This Row],[Task Name]]="",FALSE(),AND(Tasks[[#This Row],[_IsLeaf]]=1,N(Tasks[[#This Row],[_Days]])=0))</f>
        <v>0</v>
      </c>
      <c r="GN19" s="89" t="n">
        <f aca="false">IF(Tasks[[#This Row],[Task Name]]="",0,IF(AND(Tasks[[#This Row],[_IsLeaf]]=1,NOT(Tasks[[#This Row],[_IsMilestone]]),N(Tasks[[#This Row],[Progress]])&gt;0),Tasks[[#This Row],[Start]],0))</f>
        <v>0</v>
      </c>
      <c r="GO19" s="89" t="n">
        <f aca="false">IF(Tasks[[#This Row],[_DoneFrom]]=0,0,IF(Tasks[[#This Row],[Progress]]&gt;=1,Tasks[[#This Row],[Finish]],MAX(Tasks[[#This Row],[_DoneFrom]],Tasks[[#This Row],[Start]]+ROUND((Tasks[[#This Row],[Finish]]-Tasks[[#This Row],[Start]]+1)*Tasks[[#This Row],[Progress]],0)-1)))</f>
        <v>0</v>
      </c>
      <c r="GP19" s="89" t="n">
        <f aca="false">IF(Tasks[[#This Row],[Task Name]]="",0,IF(OR(NOT(Tasks[[#This Row],[_IsLeaf]]=1),Tasks[[#This Row],[_IsMilestone]],N(Tasks[[#This Row],[Progress]])&gt;=1),0,IF(Tasks[[#This Row],[_DoneTo]]&gt;0,Tasks[[#This Row],[_DoneTo]]+1,Tasks[[#This Row],[Start]])))</f>
        <v>0</v>
      </c>
      <c r="GQ19" s="89" t="n">
        <f aca="false">IF(Tasks[[#This Row],[_RemFrom]]=0,0,Tasks[[#This Row],[Finish]])</f>
        <v>0</v>
      </c>
      <c r="GR19" s="88" t="b">
        <f aca="false">IF(Tasks[[#This Row],[Task Name]]="",FALSE(),OR(NOT(BaselineSet),N(Tasks[[#This Row],[Baseline Start]])&gt;0))</f>
        <v>0</v>
      </c>
      <c r="GS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 s="90" t="str">
        <f aca="false">IF(Tasks[[#This Row],[_IsLeaf]]=1,Tasks[[#This Row],[_Row]],"")</f>
        <v/>
      </c>
      <c r="GW19" s="90" t="str">
        <f aca="false">IFERROR(INDEX(Tasks[UID],SMALL(Tasks[_PickKey],Tasks[[#This Row],[_Row]]))&amp;" "&amp;INDEX(Tasks[Task Name],SMALL(Tasks[_PickKey],Tasks[[#This Row],[_Row]])),"")</f>
        <v/>
      </c>
      <c r="GX19" s="42" t="str">
        <f aca="false">IF(Tasks[[#This Row],[Task Name]]="","",IF(Tasks[[#This Row],[_IsSummary]],NETWORKDAYS.INTL(Tasks[[#This Row],[Start]],Tasks[[#This Row],[Finish]],WorkWeek,Holidays),N(Tasks[[#This Row],[_Days]])))</f>
        <v/>
      </c>
    </row>
    <row r="20" customFormat="false" ht="15" hidden="false" customHeight="false" outlineLevel="0" collapsed="false">
      <c r="A20" s="21" t="str">
        <f aca="false">IF(Tasks[[#This Row],[Task Name]]="","",COUNTA(Tasks[[#Headers],[Task Name]]:Tasks[[#This Row],[Task Name]])-1)</f>
        <v/>
      </c>
      <c r="B20" s="22" t="n">
        <v>28</v>
      </c>
      <c r="C20" s="22"/>
      <c r="D20" s="23"/>
      <c r="E20" s="22"/>
      <c r="F20" s="23"/>
      <c r="G20" s="22"/>
      <c r="H20" s="22"/>
      <c r="I20" s="23"/>
      <c r="J20" s="22"/>
      <c r="K20" s="22"/>
      <c r="L20" s="23"/>
      <c r="M20" s="22"/>
      <c r="N20" s="22"/>
      <c r="O20" s="23"/>
      <c r="P20" s="22"/>
      <c r="Q20" s="22"/>
      <c r="R20" s="23"/>
      <c r="S20" s="23"/>
      <c r="T20" s="83"/>
      <c r="U20" s="23"/>
      <c r="V20" s="83"/>
      <c r="W20" s="23"/>
      <c r="X20" s="83"/>
      <c r="Y20" s="23"/>
      <c r="Z20" s="83"/>
      <c r="AA20" s="23"/>
      <c r="AB20" s="23"/>
      <c r="AC20" s="7"/>
      <c r="AD20" s="7"/>
      <c r="AE20" s="62" t="str">
        <f aca="false">IF(Tasks[[#This Row],[Task Name]]="","",IF(Tasks[[#This Row],[_IsSummary]],MIN(INDEX(Tasks[_ShownFcstStart],Tasks[[#This Row],[_Row]]+1):INDEX(Tasks[_ShownFcstStart],Tasks[[#This Row],[_Row]]+Tasks[[#This Row],[_Descendants]])),Tasks[[#This Row],[_ShownFcstStart]]))</f>
        <v/>
      </c>
      <c r="AF20" s="62" t="str">
        <f aca="false">IF(Tasks[[#This Row],[Task Name]]="","",IF(Tasks[[#This Row],[_IsSummary]],MAX(INDEX(Tasks[_ShownFcstFinish],Tasks[[#This Row],[_Row]]+1):INDEX(Tasks[_ShownFcstFinish],Tasks[[#This Row],[_Row]]+Tasks[[#This Row],[_Descendants]])),Tasks[[#This Row],[_ShownFcstFinish]]))</f>
        <v/>
      </c>
      <c r="AG20" s="21" t="str">
        <f aca="false">""</f>
        <v/>
      </c>
      <c r="AH20" s="23"/>
      <c r="AI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 s="7"/>
      <c r="AK20" s="22"/>
      <c r="AL20" s="23"/>
      <c r="AM20" s="7"/>
      <c r="AN20" s="46" t="str">
        <f aca="false">IF(Tasks[[#This Row],[Task Name]]="","",IF(Tasks[[#This Row],[Finish]]&gt;=Tasks[[#This Row],[Planned Finish]],NETWORKDAYS.INTL(Tasks[[#This Row],[Planned Finish]],Tasks[[#This Row],[Finish]],WorkWeek,Holidays)-1,1-NETWORKDAYS.INTL(Tasks[[#This Row],[Finish]],Tasks[[#This Row],[Planned Finish]],WorkWeek,Holidays)))</f>
        <v/>
      </c>
      <c r="AO20" s="21" t="str">
        <f aca="false">IF(Tasks[[#This Row],[Task Name]]="","",IF(Tasks[[#This Row],[Progress]]&gt;=1,"Complete",IF(OR(N(Tasks[[#This Row],[Actual Start]])&gt;0,Tasks[[#This Row],[Progress]]&gt;0),IF(Tasks[[#This Row],[Finish Var]]&gt;0,"Behind","In Progress"),IF(Tasks[[#This Row],[Planned Start]]&lt;StatusDate,"Late Start","Not Started"))))</f>
        <v/>
      </c>
      <c r="AP20" s="21" t="str">
        <f aca="false">IF(Tasks[[#This Row],[Task Name]]="","",IF(IF(Tasks[[#This Row],[_IsSummary]],COUNTIF(INDEX(Tasks[_LeafCritical],Tasks[[#This Row],[_Row]]+1):INDEX(Tasks[_LeafCritical],Tasks[[#This Row],[_Row]]+Tasks[[#This Row],[_Descendants]]),TRUE())&gt;0,Tasks[[#This Row],[_LeafCritical]]),"Yes",""))</f>
        <v/>
      </c>
      <c r="AQ20" s="62" t="str">
        <f aca="false">IF(Tasks[[#This Row],[Task Name]]="","",IF(N(Tasks[[#This Row],[Baseline Start]])&gt;0,Tasks[[#This Row],[Baseline Start]],Tasks[[#This Row],[_CalcStart]]))</f>
        <v/>
      </c>
      <c r="AR20" s="62" t="str">
        <f aca="false">IF(Tasks[[#This Row],[Task Name]]="","",IF(N(Tasks[[#This Row],[Baseline Finish]])&gt;0,Tasks[[#This Row],[Baseline Finish]],Tasks[[#This Row],[_CalcFinish]]))</f>
        <v/>
      </c>
      <c r="AS20" s="46" t="str">
        <f aca="false">IF(Tasks[[#This Row],[Task Name]]="","",IF(Tasks[[#This Row],[Start]]&gt;=Tasks[[#This Row],[Planned Start]],NETWORKDAYS.INTL(Tasks[[#This Row],[Planned Start]],Tasks[[#This Row],[Start]],WorkWeek,Holidays)-1,1-NETWORKDAYS.INTL(Tasks[[#This Row],[Start]],Tasks[[#This Row],[Planned Start]],WorkWeek,Holidays)))</f>
        <v/>
      </c>
      <c r="AT20" s="62" t="str">
        <f aca="false">IF(Tasks[[#This Row],[Task Name]]="","",IF(Tasks[[#This Row],[_IsSummary]],MIN(INDEX(Tasks[_LeafLateStart],Tasks[[#This Row],[_Row]]+1):INDEX(Tasks[_LeafLateStart],Tasks[[#This Row],[_Row]]+Tasks[[#This Row],[_Descendants]])),Tasks[[#This Row],[_LeafLateStart]]))</f>
        <v/>
      </c>
      <c r="AU20" s="62" t="str">
        <f aca="false">IF(Tasks[[#This Row],[Task Name]]="","",IF(Tasks[[#This Row],[_IsSummary]],MAX(INDEX(Tasks[_LeafLateFinish],Tasks[[#This Row],[_Row]]+1):INDEX(Tasks[_LeafLateFinish],Tasks[[#This Row],[_Row]]+Tasks[[#This Row],[_Descendants]])),Tasks[[#This Row],[_LeafLateFinish]]))</f>
        <v/>
      </c>
      <c r="AV20" s="46" t="str">
        <f aca="false">IF(Tasks[[#This Row],[Task Name]]="","",IF(Tasks[[#This Row],[_IsSummary]],MIN(INDEX(Tasks[_LeafTotalSlack],Tasks[[#This Row],[_Row]]+1):INDEX(Tasks[_LeafTotalSlack],Tasks[[#This Row],[_Row]]+Tasks[[#This Row],[_Descendants]])),Tasks[[#This Row],[_LeafTotalSlack]]))</f>
        <v/>
      </c>
      <c r="AW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4"/>
      <c r="BA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t="str">
        <f aca="false">IF(Tasks[[#This Row],[Task Name]]="","",IF(Tasks[[#This Row],[_Level]]&lt;=OutlineShowLevel,"Yes","No"))</f>
        <v/>
      </c>
      <c r="BE20" s="85" t="str">
        <f aca="false">IF(Tasks[[#This Row],[Task Name]]="","",IF(Tasks[[#This Row],[_IsSummary]],SUM(INDEX(Tasks[_LeafTotalWork],Tasks[[#This Row],[_Row]]+1):INDEX(Tasks[_LeafTotalWork],Tasks[[#This Row],[_Row]]+Tasks[[#This Row],[_Descendants]])),Tasks[[#This Row],[_LeafTotalWork]]))</f>
        <v/>
      </c>
      <c r="BF20" s="23"/>
      <c r="BG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t="str">
        <f aca="false">""</f>
        <v/>
      </c>
      <c r="BI20" s="86"/>
      <c r="BJ20" s="22"/>
      <c r="BK20" s="46" t="str">
        <f aca="false">IF(OR(Tasks[[#This Row],[Task Name]]="",Tasks[[#This Row],[Baseline Duration]]=""),"",Tasks[[#This Row],[_SpanDays]]-N(Tasks[[#This Row],[Baseline Duration]]))</f>
        <v/>
      </c>
      <c r="BL20" s="85" t="str">
        <f aca="false">IF(OR(Tasks[[#This Row],[Task Name]]="",Tasks[[#This Row],[Baseline Work]]=""),"",Tasks[[#This Row],[Work]]-N(Tasks[[#This Row],[Baseline Work]]))</f>
        <v/>
      </c>
      <c r="BM20" s="62" t="str">
        <f aca="false">IF(Tasks[[#This Row],[Task Name]]="","",IF(OR(TakeBaseline="Yes",N(Tasks[[#This Row],[Baseline Start]])=0),Tasks[[#This Row],[Start]],Tasks[[#This Row],[Baseline Start]]))</f>
        <v/>
      </c>
      <c r="BN20" s="62" t="str">
        <f aca="false">IF(Tasks[[#This Row],[Task Name]]="","",IF(OR(TakeBaseline="Yes",N(Tasks[[#This Row],[Baseline Finish]])=0),Tasks[[#This Row],[Finish]],Tasks[[#This Row],[Baseline Finish]]))</f>
        <v/>
      </c>
      <c r="BO20" s="21" t="str">
        <f aca="false">IF(Tasks[[#This Row],[Task Name]]="","",IF(OR(TakeBaseline="Yes",N(Tasks[[#This Row],[Baseline Duration]])=0),Tasks[[#This Row],[_SpanDays]],Tasks[[#This Row],[Baseline Duration]]))</f>
        <v/>
      </c>
      <c r="BP20" s="85" t="str">
        <f aca="false">IF(Tasks[[#This Row],[Task Name]]="","",IF(OR(TakeBaseline="Yes",N(Tasks[[#This Row],[Baseline Work]])=0),Tasks[[#This Row],[Work]],Tasks[[#This Row],[Baseline Work]]))</f>
        <v/>
      </c>
      <c r="BQ20" s="7"/>
      <c r="BR20" s="7"/>
      <c r="BS20" s="22"/>
      <c r="BT20" s="87"/>
      <c r="BU20" s="42" t="str">
        <f aca="false">IF(Tasks[[#This Row],[Task Name]]="","",MAX(1,N(Tasks[[#This Row],[Level]])))</f>
        <v/>
      </c>
      <c r="BV20" s="42" t="n">
        <f aca="false">ROW()-ROW(Tasks[[#Headers],[ID]])</f>
        <v>15</v>
      </c>
      <c r="BW20" s="42" t="n">
        <f aca="false">IF(OR(Tasks[[#This Row],[Task Name]]="",Tasks[[#This Row],[_Level]]&lt;=1),0,IFERROR(LOOKUP(2,1/(Tasks[[#Headers],[_Level]]:Tasks[[#This Row],[_Level]]=Tasks[[#This Row],[_Level]]-1),ROW(Tasks[[#Headers],[_Level]]:Tasks[[#This Row],[_Level]])),0))</f>
        <v>0</v>
      </c>
      <c r="BX20" s="42" t="n">
        <f aca="false">IFERROR(N(INDEX(Tasks[_Level],Tasks[[#This Row],[_Row]]+1)),0)</f>
        <v>0</v>
      </c>
      <c r="BY20" s="88" t="b">
        <f aca="false">AND(Tasks[[#This Row],[Task Name]]&lt;&gt;"",Tasks[[#This Row],[_NextLevel]]&gt;Tasks[[#This Row],[_Level]])</f>
        <v>0</v>
      </c>
      <c r="BZ20" s="42" t="n">
        <f aca="false">IF(Tasks[[#This Row],[_IsSummary]],COUNTIF(Tasks[WBS],Tasks[[#This Row],[WBS]]&amp;".*"),0)</f>
        <v>0</v>
      </c>
      <c r="CA20" s="42" t="n">
        <f aca="false">IF(AND(Tasks[[#This Row],[Task Name]]&lt;&gt;"",NOT(Tasks[[#This Row],[_IsSummary]])),1,0)</f>
        <v>0</v>
      </c>
      <c r="CB20" s="42" t="n">
        <f aca="false">IF(N(Tasks[[#This Row],[_Pred1UID]])=0,0,IFERROR(MATCH(Tasks[[#This Row],[_Pred1UID]],Tasks[UID],0),-1))</f>
        <v>0</v>
      </c>
      <c r="CC20" s="42" t="n">
        <f aca="false">IF(N(Tasks[[#This Row],[_Pred2UID]])=0,0,IFERROR(MATCH(Tasks[[#This Row],[_Pred2UID]],Tasks[UID],0),-1))</f>
        <v>0</v>
      </c>
      <c r="CD20" s="42" t="n">
        <f aca="false">IF(N(Tasks[[#This Row],[_Pred3UID]])=0,0,IFERROR(MATCH(Tasks[[#This Row],[_Pred3UID]],Tasks[UID],0),-1))</f>
        <v>0</v>
      </c>
      <c r="CE20" s="42" t="n">
        <f aca="false">IF(N(Tasks[[#This Row],[_Pred4UID]])=0,0,IFERROR(MATCH(Tasks[[#This Row],[_Pred4UID]],Tasks[UID],0),-1))</f>
        <v>0</v>
      </c>
      <c r="CF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 s="89" t="n">
        <f aca="false">IF(OR(Tasks[[#This Row],[_ConstraintCode]]=2,Tasks[[#This Row],[_ConstraintCode]]=3,Tasks[[#This Row],[_ConstraintCode]]=4,Tasks[[#This Row],[_ConstraintCode]]=6),Tasks[[#This Row],[_ConstraintStart]],0)</f>
        <v>0</v>
      </c>
      <c r="CI20" s="89" t="n">
        <f aca="false">IF(OR(Tasks[[#This Row],[_ConstraintCode]]=2,Tasks[[#This Row],[_ConstraintCode]]=3,Tasks[[#This Row],[_ConstraintCode]]=5,Tasks[[#This Row],[_ConstraintCode]]=7),Tasks[[#This Row],[_ConstraintStart]],2958465)</f>
        <v>2958465</v>
      </c>
      <c r="CJ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 s="89" t="str">
        <f aca="false">IF(NOT(Tasks[[#This Row],[_IsLeaf]]=1),"",IF(N(Tasks[[#This Row],[_Days]])&lt;=0,Tasks[[#This Row],[_LeafCalcStart]],WORKDAY.INTL(Tasks[[#This Row],[_LeafCalcStart]],Tasks[[#This Row],[_Days]]-1,WorkWeek,Holidays)))</f>
        <v/>
      </c>
      <c r="CL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 s="42" t="str">
        <f aca="false">IF(Tasks[[#This Row],[_Predecessors]]="","",TRIM(MID(SUBSTITUTE(SUBSTITUTE(SUBSTITUTE(UPPER(Tasks[[#This Row],[_Predecessors]]),";",",")," ",""),",",REPT(" ",99)),1,99)))</f>
        <v/>
      </c>
      <c r="CO20" s="42" t="str">
        <f aca="false">IF(Tasks[[#This Row],[_Pred1Text]]="","",IFERROR(VALUE(LEFT(Tasks[[#This Row],[_Pred1Text]],MIN(FIND("F",Tasks[[#This Row],[_Pred1Text]]&amp;"F"),FIND("S",Tasks[[#This Row],[_Pred1Text]]&amp;"S"),FIND("+",Tasks[[#This Row],[_Pred1Text]]&amp;"+"),FIND("-",Tasks[[#This Row],[_Pred1Text]]&amp;"-"))-1)),""))</f>
        <v/>
      </c>
      <c r="CP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 s="42" t="str">
        <f aca="false">IF(Tasks[[#This Row],[_Pred1Text]]="","",TRIM(MID(SUBSTITUTE(SUBSTITUTE(SUBSTITUTE(UPPER(Tasks[[#This Row],[_Predecessors]]),";",",")," ",""),",",REPT(" ",99)),100,99)))</f>
        <v/>
      </c>
      <c r="CS20" s="42" t="str">
        <f aca="false">IF(Tasks[[#This Row],[_Pred2Text]]="","",IFERROR(VALUE(LEFT(Tasks[[#This Row],[_Pred2Text]],MIN(FIND("F",Tasks[[#This Row],[_Pred2Text]]&amp;"F"),FIND("S",Tasks[[#This Row],[_Pred2Text]]&amp;"S"),FIND("+",Tasks[[#This Row],[_Pred2Text]]&amp;"+"),FIND("-",Tasks[[#This Row],[_Pred2Text]]&amp;"-"))-1)),""))</f>
        <v/>
      </c>
      <c r="CT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 s="42" t="str">
        <f aca="false">IF(Tasks[[#This Row],[_Pred2Text]]="","",TRIM(MID(SUBSTITUTE(SUBSTITUTE(SUBSTITUTE(UPPER(Tasks[[#This Row],[_Predecessors]]),";",",")," ",""),",",REPT(" ",99)),199,99)))</f>
        <v/>
      </c>
      <c r="CW20" s="42" t="str">
        <f aca="false">IF(Tasks[[#This Row],[_Pred3Text]]="","",IFERROR(VALUE(LEFT(Tasks[[#This Row],[_Pred3Text]],MIN(FIND("F",Tasks[[#This Row],[_Pred3Text]]&amp;"F"),FIND("S",Tasks[[#This Row],[_Pred3Text]]&amp;"S"),FIND("+",Tasks[[#This Row],[_Pred3Text]]&amp;"+"),FIND("-",Tasks[[#This Row],[_Pred3Text]]&amp;"-"))-1)),""))</f>
        <v/>
      </c>
      <c r="CX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 s="42" t="str">
        <f aca="false">IF(Tasks[[#This Row],[_Pred3Text]]="","",TRIM(MID(SUBSTITUTE(SUBSTITUTE(SUBSTITUTE(UPPER(Tasks[[#This Row],[_Predecessors]]),";",",")," ",""),",",REPT(" ",99)),298,99)))</f>
        <v/>
      </c>
      <c r="DA20" s="42" t="str">
        <f aca="false">IF(Tasks[[#This Row],[_Pred4Text]]="","",IFERROR(VALUE(LEFT(Tasks[[#This Row],[_Pred4Text]],MIN(FIND("F",Tasks[[#This Row],[_Pred4Text]]&amp;"F"),FIND("S",Tasks[[#This Row],[_Pred4Text]]&amp;"S"),FIND("+",Tasks[[#This Row],[_Pred4Text]]&amp;"+"),FIND("-",Tasks[[#This Row],[_Pred4Text]]&amp;"-"))-1)),""))</f>
        <v/>
      </c>
      <c r="DB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 s="42" t="str">
        <f aca="false">IF(OR(Tasks[[#This Row],[Task Name]]="",Tasks[[#This Row],[_Resources]]=""),"",TRIM(MID(SUBSTITUTE(Tasks[[#This Row],[_Resources]],",",REPT(" ",99)),1,99)))</f>
        <v/>
      </c>
      <c r="DE20" s="42" t="str">
        <f aca="false">IF(Tasks[[#This Row],[_Res1Text]]="","",TRIM(MID(SUBSTITUTE(Tasks[[#This Row],[_Resources]],",",REPT(" ",99)),100,99)))</f>
        <v/>
      </c>
      <c r="DF20" s="42" t="str">
        <f aca="false">IF(Tasks[[#This Row],[_Res2Text]]="","",TRIM(MID(SUBSTITUTE(Tasks[[#This Row],[_Resources]],",",REPT(" ",99)),199,99)))</f>
        <v/>
      </c>
      <c r="DG20" s="42" t="str">
        <f aca="false">IF(Tasks[[#This Row],[_Res3Text]]="","",TRIM(MID(SUBSTITUTE(Tasks[[#This Row],[_Resources]],",",REPT(" ",99)),298,99)))</f>
        <v/>
      </c>
      <c r="DH20" s="42" t="n">
        <f aca="false">IF(Tasks[[#This Row],[_Res1Text]]="",0,IFERROR(MATCH(TRIM(LEFT(Tasks[[#This Row],[_Res1Text]],FIND("[",Tasks[[#This Row],[_Res1Text]]&amp;"[")-1)),res_Name,0),IFERROR(MATCH(TRIM(LEFT(Tasks[[#This Row],[_Res1Text]],FIND("[",Tasks[[#This Row],[_Res1Text]]&amp;"[")-1)),res_Initials,0),0)))</f>
        <v>0</v>
      </c>
      <c r="DI20" s="42" t="n">
        <f aca="false">IF(Tasks[[#This Row],[_Res2Text]]="",0,IFERROR(MATCH(TRIM(LEFT(Tasks[[#This Row],[_Res2Text]],FIND("[",Tasks[[#This Row],[_Res2Text]]&amp;"[")-1)),res_Name,0),IFERROR(MATCH(TRIM(LEFT(Tasks[[#This Row],[_Res2Text]],FIND("[",Tasks[[#This Row],[_Res2Text]]&amp;"[")-1)),res_Initials,0),0)))</f>
        <v>0</v>
      </c>
      <c r="DJ20" s="42" t="n">
        <f aca="false">IF(Tasks[[#This Row],[_Res3Text]]="",0,IFERROR(MATCH(TRIM(LEFT(Tasks[[#This Row],[_Res3Text]],FIND("[",Tasks[[#This Row],[_Res3Text]]&amp;"[")-1)),res_Name,0),IFERROR(MATCH(TRIM(LEFT(Tasks[[#This Row],[_Res3Text]],FIND("[",Tasks[[#This Row],[_Res3Text]]&amp;"[")-1)),res_Initials,0),0)))</f>
        <v>0</v>
      </c>
      <c r="DK20" s="42" t="n">
        <f aca="false">IF(Tasks[[#This Row],[_Res4Text]]="",0,IFERROR(MATCH(TRIM(LEFT(Tasks[[#This Row],[_Res4Text]],FIND("[",Tasks[[#This Row],[_Res4Text]]&amp;"[")-1)),res_Name,0),IFERROR(MATCH(TRIM(LEFT(Tasks[[#This Row],[_Res4Text]],FIND("[",Tasks[[#This Row],[_Res4Text]]&amp;"[")-1)),res_Initials,0),0)))</f>
        <v>0</v>
      </c>
      <c r="DL20" s="42" t="str">
        <f aca="false">IF(Tasks[[#This Row],[_Res1Text]]="","",IF(Tasks[[#This Row],[_Res1Row]]&gt;0,INDEX(res_Name,Tasks[[#This Row],[_Res1Row]]),TRIM(LEFT(Tasks[[#This Row],[_Res1Text]],FIND("[",Tasks[[#This Row],[_Res1Text]]&amp;"[")-1))))</f>
        <v/>
      </c>
      <c r="DM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 s="42" t="n">
        <f aca="false">IF(NOT(Tasks[[#This Row],[_IsLeaf]]=1),0,(Tasks[[#This Row],[_Resource1]]&lt;&gt;"")+(Tasks[[#This Row],[_Res2]]&lt;&gt;"")+(Tasks[[#This Row],[_Res3]]&lt;&gt;"")+(Tasks[[#This Row],[_Res4]]&lt;&gt;""))</f>
        <v>0</v>
      </c>
      <c r="DO20" s="42" t="str">
        <f aca="false">IF(Tasks[[#This Row],[_Res2Text]]="","",IF(Tasks[[#This Row],[_Res2Row]]&gt;0,INDEX(res_Name,Tasks[[#This Row],[_Res2Row]]),TRIM(LEFT(Tasks[[#This Row],[_Res2Text]],FIND("[",Tasks[[#This Row],[_Res2Text]]&amp;"[")-1))))</f>
        <v/>
      </c>
      <c r="DP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 s="42" t="n">
        <f aca="false">IF(OR(NOT(Tasks[[#This Row],[_IsLeaf]]=1),Tasks[[#This Row],[_Res2Row]]=0),0,N(Tasks[[#This Row],[_Days]])*HoursPerDay*IF(Tasks[[#This Row],[_Res2Units]]="",DefaultUnits,Tasks[[#This Row],[_Res2Units]]))</f>
        <v>0</v>
      </c>
      <c r="DR20" s="42" t="n">
        <f aca="false">IF(AND(AND(Tasks[[#This Row],[_IsLeaf]]=1,Tasks[[#This Row],[_LeafTotalWork]]&gt;0),Tasks[[#This Row],[_Res2Work]]&gt;0),Tasks[[#This Row],[_Res2Work]]/(Tasks[[#This Row],[_FinishWorkday]]-Tasks[[#This Row],[_StartWorkday]]+1),0)</f>
        <v>0</v>
      </c>
      <c r="DS20" s="42" t="n">
        <f aca="false">Tasks[[#This Row],[_Res2WorkPerWD]]*MAX(0,Tasks[[#This Row],[_StartWorkday]]-1)</f>
        <v>0</v>
      </c>
      <c r="DT20" s="42" t="n">
        <f aca="false">Tasks[[#This Row],[_Res2Work]]*Tasks[[#This Row],[_LeafProgress]]</f>
        <v>0</v>
      </c>
      <c r="DU20" s="42" t="str">
        <f aca="false">IF(Tasks[[#This Row],[_Res3Text]]="","",IF(Tasks[[#This Row],[_Res3Row]]&gt;0,INDEX(res_Name,Tasks[[#This Row],[_Res3Row]]),TRIM(LEFT(Tasks[[#This Row],[_Res3Text]],FIND("[",Tasks[[#This Row],[_Res3Text]]&amp;"[")-1))))</f>
        <v/>
      </c>
      <c r="DV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 s="42" t="n">
        <f aca="false">IF(OR(NOT(Tasks[[#This Row],[_IsLeaf]]=1),Tasks[[#This Row],[_Res3Row]]=0),0,N(Tasks[[#This Row],[_Days]])*HoursPerDay*IF(Tasks[[#This Row],[_Res3Units]]="",DefaultUnits,Tasks[[#This Row],[_Res3Units]]))</f>
        <v>0</v>
      </c>
      <c r="DX20" s="42" t="n">
        <f aca="false">IF(AND(AND(Tasks[[#This Row],[_IsLeaf]]=1,Tasks[[#This Row],[_LeafTotalWork]]&gt;0),Tasks[[#This Row],[_Res3Work]]&gt;0),Tasks[[#This Row],[_Res3Work]]/(Tasks[[#This Row],[_FinishWorkday]]-Tasks[[#This Row],[_StartWorkday]]+1),0)</f>
        <v>0</v>
      </c>
      <c r="DY20" s="42" t="n">
        <f aca="false">Tasks[[#This Row],[_Res3WorkPerWD]]*MAX(0,Tasks[[#This Row],[_StartWorkday]]-1)</f>
        <v>0</v>
      </c>
      <c r="DZ20" s="42" t="n">
        <f aca="false">Tasks[[#This Row],[_Res3Work]]*Tasks[[#This Row],[_LeafProgress]]</f>
        <v>0</v>
      </c>
      <c r="EA20" s="42" t="str">
        <f aca="false">IF(Tasks[[#This Row],[_Res4Text]]="","",IF(Tasks[[#This Row],[_Res4Row]]&gt;0,INDEX(res_Name,Tasks[[#This Row],[_Res4Row]]),TRIM(LEFT(Tasks[[#This Row],[_Res4Text]],FIND("[",Tasks[[#This Row],[_Res4Text]]&amp;"[")-1))))</f>
        <v/>
      </c>
      <c r="EB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 s="42" t="n">
        <f aca="false">IF(OR(NOT(Tasks[[#This Row],[_IsLeaf]]=1),Tasks[[#This Row],[_Res4Row]]=0),0,N(Tasks[[#This Row],[_Days]])*HoursPerDay*IF(Tasks[[#This Row],[_Res4Units]]="",DefaultUnits,Tasks[[#This Row],[_Res4Units]]))</f>
        <v>0</v>
      </c>
      <c r="ED20" s="42" t="n">
        <f aca="false">IF(AND(AND(Tasks[[#This Row],[_IsLeaf]]=1,Tasks[[#This Row],[_LeafTotalWork]]&gt;0),Tasks[[#This Row],[_Res4Work]]&gt;0),Tasks[[#This Row],[_Res4Work]]/(Tasks[[#This Row],[_FinishWorkday]]-Tasks[[#This Row],[_StartWorkday]]+1),0)</f>
        <v>0</v>
      </c>
      <c r="EE20" s="42" t="n">
        <f aca="false">Tasks[[#This Row],[_Res4WorkPerWD]]*MAX(0,Tasks[[#This Row],[_StartWorkday]]-1)</f>
        <v>0</v>
      </c>
      <c r="EF20" s="42" t="n">
        <f aca="false">Tasks[[#This Row],[_Res4Work]]*Tasks[[#This Row],[_LeafProgress]]</f>
        <v>0</v>
      </c>
      <c r="EG20" s="42" t="n">
        <f aca="false">IF(ISNUMBER(Tasks[[#This Row],[% Complete]]),Tasks[[#This Row],[% Complete]],IF(Tasks[[#This Row],[Stage]]="",0,IFERROR(INDEX(stg_Pct,MATCH(Tasks[[#This Row],[Stage]],stg_Name,0)),0)))</f>
        <v>0</v>
      </c>
      <c r="EH20" s="42" t="n">
        <f aca="false">IF(NOT(Tasks[[#This Row],[_IsLeaf]]=1),0,IF(N(Tasks[[#This Row],[Actual Finish]])&gt;0,1,MIN(1,Tasks[[#This Row],[_Pct]])))</f>
        <v>0</v>
      </c>
      <c r="EI20" s="42" t="n">
        <f aca="false">IF(OR(NOT(Tasks[[#This Row],[_IsLeaf]]=1),Tasks[[#This Row],[_Res1Row]]=0),0,N(Tasks[[#This Row],[_Days]])*HoursPerDay*IF(Tasks[[#This Row],[_Units1]]="",DefaultUnits,Tasks[[#This Row],[_Units1]]))</f>
        <v>0</v>
      </c>
      <c r="EJ20" s="42" t="n">
        <f aca="false">Tasks[[#This Row],[_LeafWork]]+Tasks[[#This Row],[_Res2Work]]+Tasks[[#This Row],[_Res3Work]]+Tasks[[#This Row],[_Res4Work]]</f>
        <v>0</v>
      </c>
      <c r="EK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 s="42" t="n">
        <f aca="false">IF(NOT(Tasks[[#This Row],[_IsLeaf]]=1),0,MAX(_xlfn.MAXIFS(Tasks[_Row],Tasks[_Pred1UID],Tasks[[#This Row],[UID]]),_xlfn.MAXIFS(Tasks[_Row],Tasks[_Pred2UID],Tasks[[#This Row],[UID]]),_xlfn.MAXIFS(Tasks[_Row],Tasks[_Pred3UID],Tasks[[#This Row],[UID]]),_xlfn.MAXIFS(Tasks[_Row],Tasks[_Pred4UID],Tasks[[#This Row],[UID]])))</f>
        <v>0</v>
      </c>
      <c r="ET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 s="89" t="str">
        <f aca="false">IF(NOT(Tasks[[#This Row],[_IsLeaf]]=1),"",IF(N(Tasks[[#This Row],[_Days]])&lt;=0,Tasks[[#This Row],[_LeafLateFinish]],WORKDAY.INTL(Tasks[[#This Row],[_LeafLateFinish]],-(Tasks[[#This Row],[_Days]]-1),WorkWeek,Holidays)))</f>
        <v/>
      </c>
      <c r="EW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 s="88" t="b">
        <f aca="false">AND(Tasks[[#This Row],[_IsLeaf]]=1,Tasks[[#This Row],[_LeafProgress]]&lt;1,N(Tasks[[#This Row],[_LeafTotalSlack]])&lt;=CriticalSlackDays)</f>
        <v>0</v>
      </c>
      <c r="EY20" s="42" t="n">
        <f aca="false">IF(AND(Tasks[[#This Row],[_IsLeaf]]=1,Tasks[[#This Row],[_ConstraintCode]]=1,Tasks[[#This Row],[Mode]]&lt;&gt;"Manual",N(Tasks[[#This Row],[Actual Start]])=0),MAX(0,N(Tasks[[#This Row],[Free Slack]])),0)</f>
        <v>0</v>
      </c>
      <c r="EZ20" s="89" t="str">
        <f aca="false">IF(NOT(Tasks[[#This Row],[_IsLeaf]]=1),"",IF(Tasks[[#This Row],[_AlapShift]]=0,Tasks[[#This Row],[_LeafCalcStart]],WORKDAY.INTL(Tasks[[#This Row],[_LeafCalcStart]],Tasks[[#This Row],[_AlapShift]],WorkWeek,Holidays)))</f>
        <v/>
      </c>
      <c r="FA20" s="89" t="str">
        <f aca="false">IF(NOT(Tasks[[#This Row],[_IsLeaf]]=1),"",IF(Tasks[[#This Row],[_AlapShift]]=0,Tasks[[#This Row],[_LeafCalcFinish]],WORKDAY.INTL(Tasks[[#This Row],[_LeafCalcFinish]],Tasks[[#This Row],[_AlapShift]],WorkWeek,Holidays)))</f>
        <v/>
      </c>
      <c r="FB20" s="89" t="str">
        <f aca="false">IF(NOT(Tasks[[#This Row],[_IsLeaf]]=1),"",IF(Tasks[[#This Row],[_AlapShift]]=0,Tasks[[#This Row],[_LeafFcstStart]],WORKDAY.INTL(Tasks[[#This Row],[_LeafFcstStart]],Tasks[[#This Row],[_AlapShift]],WorkWeek,Holidays)))</f>
        <v/>
      </c>
      <c r="FC20" s="89" t="str">
        <f aca="false">IF(NOT(Tasks[[#This Row],[_IsLeaf]]=1),"",IF(Tasks[[#This Row],[_AlapShift]]=0,Tasks[[#This Row],[_LeafFcstFinish]],WORKDAY.INTL(Tasks[[#This Row],[_LeafFcstFinish]],Tasks[[#This Row],[_AlapShift]],WorkWeek,Holidays)))</f>
        <v/>
      </c>
      <c r="FD20" s="89" t="str">
        <f aca="false">IF(Tasks[[#This Row],[Task Name]]="","",IF(Tasks[[#This Row],[_IsSummary]],MIN(INDEX(Tasks[_ShownCalcStart],Tasks[[#This Row],[_Row]]+1):INDEX(Tasks[_ShownCalcStart],Tasks[[#This Row],[_Row]]+Tasks[[#This Row],[_Descendants]])),Tasks[[#This Row],[_ShownCalcStart]]))</f>
        <v/>
      </c>
      <c r="FE20" s="89" t="str">
        <f aca="false">IF(Tasks[[#This Row],[Task Name]]="","",IF(Tasks[[#This Row],[_IsSummary]],MAX(INDEX(Tasks[_ShownCalcFinish],Tasks[[#This Row],[_Row]]+1):INDEX(Tasks[_ShownCalcFinish],Tasks[[#This Row],[_Row]]+Tasks[[#This Row],[_Descendants]])),Tasks[[#This Row],[_ShownCalcFinish]]))</f>
        <v/>
      </c>
      <c r="FF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 s="42" t="n">
        <f aca="false">IF(AND(Tasks[[#This Row],[_IsLeaf]]=1,Tasks[[#This Row],[_LeafTotalWork]]&gt;0),NETWORKDAYS.INTL(ProjectStart,Tasks[[#This Row],[_ShownFcstStart]],WorkWeek,Holidays),0)</f>
        <v>0</v>
      </c>
      <c r="FS20" s="42" t="n">
        <f aca="false">IF(AND(Tasks[[#This Row],[_IsLeaf]]=1,Tasks[[#This Row],[_LeafTotalWork]]&gt;0),MAX(Tasks[[#This Row],[_StartWorkday]],NETWORKDAYS.INTL(ProjectStart,Tasks[[#This Row],[_ShownFcstFinish]],WorkWeek,Holidays)),0)</f>
        <v>0</v>
      </c>
      <c r="FT20" s="42" t="n">
        <f aca="false">IF(AND(Tasks[[#This Row],[_IsLeaf]]=1,Tasks[[#This Row],[_LeafTotalWork]]&gt;0),Tasks[[#This Row],[_LeafWork]]/(Tasks[[#This Row],[_FinishWorkday]]-Tasks[[#This Row],[_StartWorkday]]+1),0)</f>
        <v>0</v>
      </c>
      <c r="FU20" s="42" t="n">
        <f aca="false">Tasks[[#This Row],[_WorkPerWorkday]]*(Tasks[[#This Row],[_StartWorkday]]-1)</f>
        <v>-0</v>
      </c>
      <c r="FV20" s="42" t="n">
        <f aca="false">IF(Tasks[[#This Row],[_IsLeaf]]=1,MAX(N(Tasks[[#This Row],[_Days]]),0.1),0)</f>
        <v>0</v>
      </c>
      <c r="FW20" s="42" t="n">
        <f aca="false">Tasks[[#This Row],[_WeightDur]]*Tasks[[#This Row],[_LeafProgress]]</f>
        <v>0</v>
      </c>
      <c r="FX20" s="42" t="n">
        <f aca="false">Tasks[[#This Row],[_WeightDur]]*Tasks[[#This Row],[_PlannedPct]]</f>
        <v>0</v>
      </c>
      <c r="FY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 s="42" t="str">
        <f aca="false">IF(AND(Tasks[[#This Row],[_IsLeaf]]=1,N(Tasks[[#This Row],[_Days]])=0,Tasks[[#This Row],[_LeafProgress]]&lt;1),Tasks[[#This Row],[_ShownFcstFinish]]+Tasks[[#This Row],[_Row]]/100000,"")</f>
        <v/>
      </c>
      <c r="GA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 s="42" t="str">
        <f aca="false">IF(Tasks[[#This Row],[Task Name]]="","",LEFT(Tasks[[#This Row],[WBS]],FIND(".",Tasks[[#This Row],[WBS]]&amp;".")-1))</f>
        <v/>
      </c>
      <c r="GC20" s="42" t="str">
        <f aca="false">IF(AND(Tasks[[#This Row],[Task Name]]&lt;&gt;"",Tasks[[#This Row],[_Level]]=1),Tasks[[#This Row],[_Row]],"")</f>
        <v/>
      </c>
      <c r="GD20" s="42" t="str">
        <f aca="false">IF(AND(Tasks[[#This Row],[_IsLeaf]]=1,N(Tasks[[#This Row],[_Days]])=0),Tasks[[#This Row],[Planned Finish]]+Tasks[[#This Row],[_Row]]/100000,"")</f>
        <v/>
      </c>
      <c r="GE20" s="42" t="str">
        <f aca="false">IF(AND(Tasks[[#This Row],[_IsLeaf]]=1,Tasks[[#This Row],[_LeafProgress]]&lt;1,OR(N(Tasks[[#This Row],[Finish Var]])&gt;0,Tasks[[#This Row],[Status]]="Late Start")),MAX(0,Tasks[[#This Row],[Finish Var]])+1-Tasks[[#This Row],[_Row]]/1000000,"")</f>
        <v/>
      </c>
      <c r="GF20" s="42" t="str">
        <f aca="false">IF(AND(Tasks[[#This Row],[_IsLeaf]]=1,N(Tasks[[#This Row],[Actual Start]])=0,Tasks[[#This Row],[_ShownFcstStart]]&gt;=StatusDate,Tasks[[#This Row],[_ShownFcstStart]]&lt;=LookaheadEnd),Tasks[[#This Row],[_ShownFcstStart]]+Tasks[[#This Row],[_Row]]/100000,"")</f>
        <v/>
      </c>
      <c r="GG20" s="42" t="str">
        <f aca="false">IF(AND(Tasks[[#This Row],[_IsLeaf]]=1,Tasks[[#This Row],[_LeafProgress]]&lt;1,Tasks[[#This Row],[_ShownFcstFinish]]&gt;=StatusDate,Tasks[[#This Row],[_ShownFcstFinish]]&lt;=LookaheadEnd),Tasks[[#This Row],[_ShownFcstFinish]]+Tasks[[#This Row],[_Row]]/100000,"")</f>
        <v/>
      </c>
      <c r="GH20" s="42" t="str">
        <f aca="false">IF(Tasks[[#This Row],[_LeafCritical]],Tasks[[#This Row],[_ShownFcstStart]]+Tasks[[#This Row],[_Row]]/100000,"")</f>
        <v/>
      </c>
      <c r="GI20" s="42" t="n">
        <f aca="false">Tasks[[#This Row],[_LeafWork]]*Tasks[[#This Row],[_LeafProgress]]</f>
        <v>0</v>
      </c>
      <c r="GJ20" s="89" t="str">
        <f aca="false">IF(AND(Tasks[[#This Row],[_IsLeaf]]=1,Tasks[[#This Row],[_LeafProgress]]&gt;=1),IF(N(Tasks[[#This Row],[Actual Finish]])&gt;0,Tasks[[#This Row],[Actual Finish]],Tasks[[#This Row],[_ShownFcstFinish]]),"")</f>
        <v/>
      </c>
      <c r="GK20" s="42" t="n">
        <f aca="false">IF(Tasks[[#This Row],[_IsLeaf]]=1,N(Tasks[[#This Row],[Story Points]]),0)</f>
        <v>0</v>
      </c>
      <c r="GL20" s="42" t="str">
        <f aca="false">""</f>
        <v/>
      </c>
      <c r="GM20" s="88" t="b">
        <f aca="false">IF(Tasks[[#This Row],[Task Name]]="",FALSE(),AND(Tasks[[#This Row],[_IsLeaf]]=1,N(Tasks[[#This Row],[_Days]])=0))</f>
        <v>0</v>
      </c>
      <c r="GN20" s="89" t="n">
        <f aca="false">IF(Tasks[[#This Row],[Task Name]]="",0,IF(AND(Tasks[[#This Row],[_IsLeaf]]=1,NOT(Tasks[[#This Row],[_IsMilestone]]),N(Tasks[[#This Row],[Progress]])&gt;0),Tasks[[#This Row],[Start]],0))</f>
        <v>0</v>
      </c>
      <c r="GO20" s="89" t="n">
        <f aca="false">IF(Tasks[[#This Row],[_DoneFrom]]=0,0,IF(Tasks[[#This Row],[Progress]]&gt;=1,Tasks[[#This Row],[Finish]],MAX(Tasks[[#This Row],[_DoneFrom]],Tasks[[#This Row],[Start]]+ROUND((Tasks[[#This Row],[Finish]]-Tasks[[#This Row],[Start]]+1)*Tasks[[#This Row],[Progress]],0)-1)))</f>
        <v>0</v>
      </c>
      <c r="GP20" s="89" t="n">
        <f aca="false">IF(Tasks[[#This Row],[Task Name]]="",0,IF(OR(NOT(Tasks[[#This Row],[_IsLeaf]]=1),Tasks[[#This Row],[_IsMilestone]],N(Tasks[[#This Row],[Progress]])&gt;=1),0,IF(Tasks[[#This Row],[_DoneTo]]&gt;0,Tasks[[#This Row],[_DoneTo]]+1,Tasks[[#This Row],[Start]])))</f>
        <v>0</v>
      </c>
      <c r="GQ20" s="89" t="n">
        <f aca="false">IF(Tasks[[#This Row],[_RemFrom]]=0,0,Tasks[[#This Row],[Finish]])</f>
        <v>0</v>
      </c>
      <c r="GR20" s="88" t="b">
        <f aca="false">IF(Tasks[[#This Row],[Task Name]]="",FALSE(),OR(NOT(BaselineSet),N(Tasks[[#This Row],[Baseline Start]])&gt;0))</f>
        <v>0</v>
      </c>
      <c r="GS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 s="90" t="str">
        <f aca="false">IF(Tasks[[#This Row],[_IsLeaf]]=1,Tasks[[#This Row],[_Row]],"")</f>
        <v/>
      </c>
      <c r="GW20" s="90" t="str">
        <f aca="false">IFERROR(INDEX(Tasks[UID],SMALL(Tasks[_PickKey],Tasks[[#This Row],[_Row]]))&amp;" "&amp;INDEX(Tasks[Task Name],SMALL(Tasks[_PickKey],Tasks[[#This Row],[_Row]])),"")</f>
        <v/>
      </c>
      <c r="GX20" s="42" t="str">
        <f aca="false">IF(Tasks[[#This Row],[Task Name]]="","",IF(Tasks[[#This Row],[_IsSummary]],NETWORKDAYS.INTL(Tasks[[#This Row],[Start]],Tasks[[#This Row],[Finish]],WorkWeek,Holidays),N(Tasks[[#This Row],[_Days]])))</f>
        <v/>
      </c>
    </row>
    <row r="21" customFormat="false" ht="15" hidden="false" customHeight="false" outlineLevel="0" collapsed="false">
      <c r="A21" s="21" t="str">
        <f aca="false">IF(Tasks[[#This Row],[Task Name]]="","",COUNTA(Tasks[[#Headers],[Task Name]]:Tasks[[#This Row],[Task Name]])-1)</f>
        <v/>
      </c>
      <c r="B21" s="22" t="n">
        <v>29</v>
      </c>
      <c r="C21" s="22"/>
      <c r="D21" s="23"/>
      <c r="E21" s="22"/>
      <c r="F21" s="23"/>
      <c r="G21" s="22"/>
      <c r="H21" s="22"/>
      <c r="I21" s="23"/>
      <c r="J21" s="22"/>
      <c r="K21" s="22"/>
      <c r="L21" s="23"/>
      <c r="M21" s="22"/>
      <c r="N21" s="22"/>
      <c r="O21" s="23"/>
      <c r="P21" s="22"/>
      <c r="Q21" s="22"/>
      <c r="R21" s="23"/>
      <c r="S21" s="23"/>
      <c r="T21" s="83"/>
      <c r="U21" s="23"/>
      <c r="V21" s="83"/>
      <c r="W21" s="23"/>
      <c r="X21" s="83"/>
      <c r="Y21" s="23"/>
      <c r="Z21" s="83"/>
      <c r="AA21" s="23"/>
      <c r="AB21" s="23"/>
      <c r="AC21" s="7"/>
      <c r="AD21" s="7"/>
      <c r="AE21" s="62" t="str">
        <f aca="false">IF(Tasks[[#This Row],[Task Name]]="","",IF(Tasks[[#This Row],[_IsSummary]],MIN(INDEX(Tasks[_ShownFcstStart],Tasks[[#This Row],[_Row]]+1):INDEX(Tasks[_ShownFcstStart],Tasks[[#This Row],[_Row]]+Tasks[[#This Row],[_Descendants]])),Tasks[[#This Row],[_ShownFcstStart]]))</f>
        <v/>
      </c>
      <c r="AF21" s="62" t="str">
        <f aca="false">IF(Tasks[[#This Row],[Task Name]]="","",IF(Tasks[[#This Row],[_IsSummary]],MAX(INDEX(Tasks[_ShownFcstFinish],Tasks[[#This Row],[_Row]]+1):INDEX(Tasks[_ShownFcstFinish],Tasks[[#This Row],[_Row]]+Tasks[[#This Row],[_Descendants]])),Tasks[[#This Row],[_ShownFcstFinish]]))</f>
        <v/>
      </c>
      <c r="AG21" s="21" t="str">
        <f aca="false">""</f>
        <v/>
      </c>
      <c r="AH21" s="23"/>
      <c r="AI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1" s="7"/>
      <c r="AK21" s="22"/>
      <c r="AL21" s="23"/>
      <c r="AM21" s="7"/>
      <c r="AN21" s="46" t="str">
        <f aca="false">IF(Tasks[[#This Row],[Task Name]]="","",IF(Tasks[[#This Row],[Finish]]&gt;=Tasks[[#This Row],[Planned Finish]],NETWORKDAYS.INTL(Tasks[[#This Row],[Planned Finish]],Tasks[[#This Row],[Finish]],WorkWeek,Holidays)-1,1-NETWORKDAYS.INTL(Tasks[[#This Row],[Finish]],Tasks[[#This Row],[Planned Finish]],WorkWeek,Holidays)))</f>
        <v/>
      </c>
      <c r="AO21" s="21" t="str">
        <f aca="false">IF(Tasks[[#This Row],[Task Name]]="","",IF(Tasks[[#This Row],[Progress]]&gt;=1,"Complete",IF(OR(N(Tasks[[#This Row],[Actual Start]])&gt;0,Tasks[[#This Row],[Progress]]&gt;0),IF(Tasks[[#This Row],[Finish Var]]&gt;0,"Behind","In Progress"),IF(Tasks[[#This Row],[Planned Start]]&lt;StatusDate,"Late Start","Not Started"))))</f>
        <v/>
      </c>
      <c r="AP21" s="21" t="str">
        <f aca="false">IF(Tasks[[#This Row],[Task Name]]="","",IF(IF(Tasks[[#This Row],[_IsSummary]],COUNTIF(INDEX(Tasks[_LeafCritical],Tasks[[#This Row],[_Row]]+1):INDEX(Tasks[_LeafCritical],Tasks[[#This Row],[_Row]]+Tasks[[#This Row],[_Descendants]]),TRUE())&gt;0,Tasks[[#This Row],[_LeafCritical]]),"Yes",""))</f>
        <v/>
      </c>
      <c r="AQ21" s="62" t="str">
        <f aca="false">IF(Tasks[[#This Row],[Task Name]]="","",IF(N(Tasks[[#This Row],[Baseline Start]])&gt;0,Tasks[[#This Row],[Baseline Start]],Tasks[[#This Row],[_CalcStart]]))</f>
        <v/>
      </c>
      <c r="AR21" s="62" t="str">
        <f aca="false">IF(Tasks[[#This Row],[Task Name]]="","",IF(N(Tasks[[#This Row],[Baseline Finish]])&gt;0,Tasks[[#This Row],[Baseline Finish]],Tasks[[#This Row],[_CalcFinish]]))</f>
        <v/>
      </c>
      <c r="AS21" s="46" t="str">
        <f aca="false">IF(Tasks[[#This Row],[Task Name]]="","",IF(Tasks[[#This Row],[Start]]&gt;=Tasks[[#This Row],[Planned Start]],NETWORKDAYS.INTL(Tasks[[#This Row],[Planned Start]],Tasks[[#This Row],[Start]],WorkWeek,Holidays)-1,1-NETWORKDAYS.INTL(Tasks[[#This Row],[Start]],Tasks[[#This Row],[Planned Start]],WorkWeek,Holidays)))</f>
        <v/>
      </c>
      <c r="AT21" s="62" t="str">
        <f aca="false">IF(Tasks[[#This Row],[Task Name]]="","",IF(Tasks[[#This Row],[_IsSummary]],MIN(INDEX(Tasks[_LeafLateStart],Tasks[[#This Row],[_Row]]+1):INDEX(Tasks[_LeafLateStart],Tasks[[#This Row],[_Row]]+Tasks[[#This Row],[_Descendants]])),Tasks[[#This Row],[_LeafLateStart]]))</f>
        <v/>
      </c>
      <c r="AU21" s="62" t="str">
        <f aca="false">IF(Tasks[[#This Row],[Task Name]]="","",IF(Tasks[[#This Row],[_IsSummary]],MAX(INDEX(Tasks[_LeafLateFinish],Tasks[[#This Row],[_Row]]+1):INDEX(Tasks[_LeafLateFinish],Tasks[[#This Row],[_Row]]+Tasks[[#This Row],[_Descendants]])),Tasks[[#This Row],[_LeafLateFinish]]))</f>
        <v/>
      </c>
      <c r="AV21" s="46" t="str">
        <f aca="false">IF(Tasks[[#This Row],[Task Name]]="","",IF(Tasks[[#This Row],[_IsSummary]],MIN(INDEX(Tasks[_LeafTotalSlack],Tasks[[#This Row],[_Row]]+1):INDEX(Tasks[_LeafTotalSlack],Tasks[[#This Row],[_Row]]+Tasks[[#This Row],[_Descendants]])),Tasks[[#This Row],[_LeafTotalSlack]]))</f>
        <v/>
      </c>
      <c r="AW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4"/>
      <c r="BA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t="str">
        <f aca="false">IF(Tasks[[#This Row],[Task Name]]="","",IF(Tasks[[#This Row],[_Level]]&lt;=OutlineShowLevel,"Yes","No"))</f>
        <v/>
      </c>
      <c r="BE21" s="85" t="str">
        <f aca="false">IF(Tasks[[#This Row],[Task Name]]="","",IF(Tasks[[#This Row],[_IsSummary]],SUM(INDEX(Tasks[_LeafTotalWork],Tasks[[#This Row],[_Row]]+1):INDEX(Tasks[_LeafTotalWork],Tasks[[#This Row],[_Row]]+Tasks[[#This Row],[_Descendants]])),Tasks[[#This Row],[_LeafTotalWork]]))</f>
        <v/>
      </c>
      <c r="BF21" s="23"/>
      <c r="BG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t="str">
        <f aca="false">""</f>
        <v/>
      </c>
      <c r="BI21" s="86"/>
      <c r="BJ21" s="22"/>
      <c r="BK21" s="46" t="str">
        <f aca="false">IF(OR(Tasks[[#This Row],[Task Name]]="",Tasks[[#This Row],[Baseline Duration]]=""),"",Tasks[[#This Row],[_SpanDays]]-N(Tasks[[#This Row],[Baseline Duration]]))</f>
        <v/>
      </c>
      <c r="BL21" s="85" t="str">
        <f aca="false">IF(OR(Tasks[[#This Row],[Task Name]]="",Tasks[[#This Row],[Baseline Work]]=""),"",Tasks[[#This Row],[Work]]-N(Tasks[[#This Row],[Baseline Work]]))</f>
        <v/>
      </c>
      <c r="BM21" s="62" t="str">
        <f aca="false">IF(Tasks[[#This Row],[Task Name]]="","",IF(OR(TakeBaseline="Yes",N(Tasks[[#This Row],[Baseline Start]])=0),Tasks[[#This Row],[Start]],Tasks[[#This Row],[Baseline Start]]))</f>
        <v/>
      </c>
      <c r="BN21" s="62" t="str">
        <f aca="false">IF(Tasks[[#This Row],[Task Name]]="","",IF(OR(TakeBaseline="Yes",N(Tasks[[#This Row],[Baseline Finish]])=0),Tasks[[#This Row],[Finish]],Tasks[[#This Row],[Baseline Finish]]))</f>
        <v/>
      </c>
      <c r="BO21" s="21" t="str">
        <f aca="false">IF(Tasks[[#This Row],[Task Name]]="","",IF(OR(TakeBaseline="Yes",N(Tasks[[#This Row],[Baseline Duration]])=0),Tasks[[#This Row],[_SpanDays]],Tasks[[#This Row],[Baseline Duration]]))</f>
        <v/>
      </c>
      <c r="BP21" s="85" t="str">
        <f aca="false">IF(Tasks[[#This Row],[Task Name]]="","",IF(OR(TakeBaseline="Yes",N(Tasks[[#This Row],[Baseline Work]])=0),Tasks[[#This Row],[Work]],Tasks[[#This Row],[Baseline Work]]))</f>
        <v/>
      </c>
      <c r="BQ21" s="7"/>
      <c r="BR21" s="7"/>
      <c r="BS21" s="22"/>
      <c r="BT21" s="87"/>
      <c r="BU21" s="42" t="str">
        <f aca="false">IF(Tasks[[#This Row],[Task Name]]="","",MAX(1,N(Tasks[[#This Row],[Level]])))</f>
        <v/>
      </c>
      <c r="BV21" s="42" t="n">
        <f aca="false">ROW()-ROW(Tasks[[#Headers],[ID]])</f>
        <v>16</v>
      </c>
      <c r="BW21" s="42" t="n">
        <f aca="false">IF(OR(Tasks[[#This Row],[Task Name]]="",Tasks[[#This Row],[_Level]]&lt;=1),0,IFERROR(LOOKUP(2,1/(Tasks[[#Headers],[_Level]]:Tasks[[#This Row],[_Level]]=Tasks[[#This Row],[_Level]]-1),ROW(Tasks[[#Headers],[_Level]]:Tasks[[#This Row],[_Level]])),0))</f>
        <v>0</v>
      </c>
      <c r="BX21" s="42" t="n">
        <f aca="false">IFERROR(N(INDEX(Tasks[_Level],Tasks[[#This Row],[_Row]]+1)),0)</f>
        <v>0</v>
      </c>
      <c r="BY21" s="88" t="b">
        <f aca="false">AND(Tasks[[#This Row],[Task Name]]&lt;&gt;"",Tasks[[#This Row],[_NextLevel]]&gt;Tasks[[#This Row],[_Level]])</f>
        <v>0</v>
      </c>
      <c r="BZ21" s="42" t="n">
        <f aca="false">IF(Tasks[[#This Row],[_IsSummary]],COUNTIF(Tasks[WBS],Tasks[[#This Row],[WBS]]&amp;".*"),0)</f>
        <v>0</v>
      </c>
      <c r="CA21" s="42" t="n">
        <f aca="false">IF(AND(Tasks[[#This Row],[Task Name]]&lt;&gt;"",NOT(Tasks[[#This Row],[_IsSummary]])),1,0)</f>
        <v>0</v>
      </c>
      <c r="CB21" s="42" t="n">
        <f aca="false">IF(N(Tasks[[#This Row],[_Pred1UID]])=0,0,IFERROR(MATCH(Tasks[[#This Row],[_Pred1UID]],Tasks[UID],0),-1))</f>
        <v>0</v>
      </c>
      <c r="CC21" s="42" t="n">
        <f aca="false">IF(N(Tasks[[#This Row],[_Pred2UID]])=0,0,IFERROR(MATCH(Tasks[[#This Row],[_Pred2UID]],Tasks[UID],0),-1))</f>
        <v>0</v>
      </c>
      <c r="CD21" s="42" t="n">
        <f aca="false">IF(N(Tasks[[#This Row],[_Pred3UID]])=0,0,IFERROR(MATCH(Tasks[[#This Row],[_Pred3UID]],Tasks[UID],0),-1))</f>
        <v>0</v>
      </c>
      <c r="CE21" s="42" t="n">
        <f aca="false">IF(N(Tasks[[#This Row],[_Pred4UID]])=0,0,IFERROR(MATCH(Tasks[[#This Row],[_Pred4UID]],Tasks[UID],0),-1))</f>
        <v>0</v>
      </c>
      <c r="CF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1" s="89" t="n">
        <f aca="false">IF(OR(Tasks[[#This Row],[_ConstraintCode]]=2,Tasks[[#This Row],[_ConstraintCode]]=3,Tasks[[#This Row],[_ConstraintCode]]=4,Tasks[[#This Row],[_ConstraintCode]]=6),Tasks[[#This Row],[_ConstraintStart]],0)</f>
        <v>0</v>
      </c>
      <c r="CI21" s="89" t="n">
        <f aca="false">IF(OR(Tasks[[#This Row],[_ConstraintCode]]=2,Tasks[[#This Row],[_ConstraintCode]]=3,Tasks[[#This Row],[_ConstraintCode]]=5,Tasks[[#This Row],[_ConstraintCode]]=7),Tasks[[#This Row],[_ConstraintStart]],2958465)</f>
        <v>2958465</v>
      </c>
      <c r="CJ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1" s="89" t="str">
        <f aca="false">IF(NOT(Tasks[[#This Row],[_IsLeaf]]=1),"",IF(N(Tasks[[#This Row],[_Days]])&lt;=0,Tasks[[#This Row],[_LeafCalcStart]],WORKDAY.INTL(Tasks[[#This Row],[_LeafCalcStart]],Tasks[[#This Row],[_Days]]-1,WorkWeek,Holidays)))</f>
        <v/>
      </c>
      <c r="CL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1" s="42" t="str">
        <f aca="false">IF(Tasks[[#This Row],[_Predecessors]]="","",TRIM(MID(SUBSTITUTE(SUBSTITUTE(SUBSTITUTE(UPPER(Tasks[[#This Row],[_Predecessors]]),";",",")," ",""),",",REPT(" ",99)),1,99)))</f>
        <v/>
      </c>
      <c r="CO21" s="42" t="str">
        <f aca="false">IF(Tasks[[#This Row],[_Pred1Text]]="","",IFERROR(VALUE(LEFT(Tasks[[#This Row],[_Pred1Text]],MIN(FIND("F",Tasks[[#This Row],[_Pred1Text]]&amp;"F"),FIND("S",Tasks[[#This Row],[_Pred1Text]]&amp;"S"),FIND("+",Tasks[[#This Row],[_Pred1Text]]&amp;"+"),FIND("-",Tasks[[#This Row],[_Pred1Text]]&amp;"-"))-1)),""))</f>
        <v/>
      </c>
      <c r="CP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1" s="42" t="str">
        <f aca="false">IF(Tasks[[#This Row],[_Pred1Text]]="","",TRIM(MID(SUBSTITUTE(SUBSTITUTE(SUBSTITUTE(UPPER(Tasks[[#This Row],[_Predecessors]]),";",",")," ",""),",",REPT(" ",99)),100,99)))</f>
        <v/>
      </c>
      <c r="CS21" s="42" t="str">
        <f aca="false">IF(Tasks[[#This Row],[_Pred2Text]]="","",IFERROR(VALUE(LEFT(Tasks[[#This Row],[_Pred2Text]],MIN(FIND("F",Tasks[[#This Row],[_Pred2Text]]&amp;"F"),FIND("S",Tasks[[#This Row],[_Pred2Text]]&amp;"S"),FIND("+",Tasks[[#This Row],[_Pred2Text]]&amp;"+"),FIND("-",Tasks[[#This Row],[_Pred2Text]]&amp;"-"))-1)),""))</f>
        <v/>
      </c>
      <c r="CT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1" s="42" t="str">
        <f aca="false">IF(Tasks[[#This Row],[_Pred2Text]]="","",TRIM(MID(SUBSTITUTE(SUBSTITUTE(SUBSTITUTE(UPPER(Tasks[[#This Row],[_Predecessors]]),";",",")," ",""),",",REPT(" ",99)),199,99)))</f>
        <v/>
      </c>
      <c r="CW21" s="42" t="str">
        <f aca="false">IF(Tasks[[#This Row],[_Pred3Text]]="","",IFERROR(VALUE(LEFT(Tasks[[#This Row],[_Pred3Text]],MIN(FIND("F",Tasks[[#This Row],[_Pred3Text]]&amp;"F"),FIND("S",Tasks[[#This Row],[_Pred3Text]]&amp;"S"),FIND("+",Tasks[[#This Row],[_Pred3Text]]&amp;"+"),FIND("-",Tasks[[#This Row],[_Pred3Text]]&amp;"-"))-1)),""))</f>
        <v/>
      </c>
      <c r="CX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1" s="42" t="str">
        <f aca="false">IF(Tasks[[#This Row],[_Pred3Text]]="","",TRIM(MID(SUBSTITUTE(SUBSTITUTE(SUBSTITUTE(UPPER(Tasks[[#This Row],[_Predecessors]]),";",",")," ",""),",",REPT(" ",99)),298,99)))</f>
        <v/>
      </c>
      <c r="DA21" s="42" t="str">
        <f aca="false">IF(Tasks[[#This Row],[_Pred4Text]]="","",IFERROR(VALUE(LEFT(Tasks[[#This Row],[_Pred4Text]],MIN(FIND("F",Tasks[[#This Row],[_Pred4Text]]&amp;"F"),FIND("S",Tasks[[#This Row],[_Pred4Text]]&amp;"S"),FIND("+",Tasks[[#This Row],[_Pred4Text]]&amp;"+"),FIND("-",Tasks[[#This Row],[_Pred4Text]]&amp;"-"))-1)),""))</f>
        <v/>
      </c>
      <c r="DB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1" s="42" t="str">
        <f aca="false">IF(OR(Tasks[[#This Row],[Task Name]]="",Tasks[[#This Row],[_Resources]]=""),"",TRIM(MID(SUBSTITUTE(Tasks[[#This Row],[_Resources]],",",REPT(" ",99)),1,99)))</f>
        <v/>
      </c>
      <c r="DE21" s="42" t="str">
        <f aca="false">IF(Tasks[[#This Row],[_Res1Text]]="","",TRIM(MID(SUBSTITUTE(Tasks[[#This Row],[_Resources]],",",REPT(" ",99)),100,99)))</f>
        <v/>
      </c>
      <c r="DF21" s="42" t="str">
        <f aca="false">IF(Tasks[[#This Row],[_Res2Text]]="","",TRIM(MID(SUBSTITUTE(Tasks[[#This Row],[_Resources]],",",REPT(" ",99)),199,99)))</f>
        <v/>
      </c>
      <c r="DG21" s="42" t="str">
        <f aca="false">IF(Tasks[[#This Row],[_Res3Text]]="","",TRIM(MID(SUBSTITUTE(Tasks[[#This Row],[_Resources]],",",REPT(" ",99)),298,99)))</f>
        <v/>
      </c>
      <c r="DH21" s="42" t="n">
        <f aca="false">IF(Tasks[[#This Row],[_Res1Text]]="",0,IFERROR(MATCH(TRIM(LEFT(Tasks[[#This Row],[_Res1Text]],FIND("[",Tasks[[#This Row],[_Res1Text]]&amp;"[")-1)),res_Name,0),IFERROR(MATCH(TRIM(LEFT(Tasks[[#This Row],[_Res1Text]],FIND("[",Tasks[[#This Row],[_Res1Text]]&amp;"[")-1)),res_Initials,0),0)))</f>
        <v>0</v>
      </c>
      <c r="DI21" s="42" t="n">
        <f aca="false">IF(Tasks[[#This Row],[_Res2Text]]="",0,IFERROR(MATCH(TRIM(LEFT(Tasks[[#This Row],[_Res2Text]],FIND("[",Tasks[[#This Row],[_Res2Text]]&amp;"[")-1)),res_Name,0),IFERROR(MATCH(TRIM(LEFT(Tasks[[#This Row],[_Res2Text]],FIND("[",Tasks[[#This Row],[_Res2Text]]&amp;"[")-1)),res_Initials,0),0)))</f>
        <v>0</v>
      </c>
      <c r="DJ21" s="42" t="n">
        <f aca="false">IF(Tasks[[#This Row],[_Res3Text]]="",0,IFERROR(MATCH(TRIM(LEFT(Tasks[[#This Row],[_Res3Text]],FIND("[",Tasks[[#This Row],[_Res3Text]]&amp;"[")-1)),res_Name,0),IFERROR(MATCH(TRIM(LEFT(Tasks[[#This Row],[_Res3Text]],FIND("[",Tasks[[#This Row],[_Res3Text]]&amp;"[")-1)),res_Initials,0),0)))</f>
        <v>0</v>
      </c>
      <c r="DK21" s="42" t="n">
        <f aca="false">IF(Tasks[[#This Row],[_Res4Text]]="",0,IFERROR(MATCH(TRIM(LEFT(Tasks[[#This Row],[_Res4Text]],FIND("[",Tasks[[#This Row],[_Res4Text]]&amp;"[")-1)),res_Name,0),IFERROR(MATCH(TRIM(LEFT(Tasks[[#This Row],[_Res4Text]],FIND("[",Tasks[[#This Row],[_Res4Text]]&amp;"[")-1)),res_Initials,0),0)))</f>
        <v>0</v>
      </c>
      <c r="DL21" s="42" t="str">
        <f aca="false">IF(Tasks[[#This Row],[_Res1Text]]="","",IF(Tasks[[#This Row],[_Res1Row]]&gt;0,INDEX(res_Name,Tasks[[#This Row],[_Res1Row]]),TRIM(LEFT(Tasks[[#This Row],[_Res1Text]],FIND("[",Tasks[[#This Row],[_Res1Text]]&amp;"[")-1))))</f>
        <v/>
      </c>
      <c r="DM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1" s="42" t="n">
        <f aca="false">IF(NOT(Tasks[[#This Row],[_IsLeaf]]=1),0,(Tasks[[#This Row],[_Resource1]]&lt;&gt;"")+(Tasks[[#This Row],[_Res2]]&lt;&gt;"")+(Tasks[[#This Row],[_Res3]]&lt;&gt;"")+(Tasks[[#This Row],[_Res4]]&lt;&gt;""))</f>
        <v>0</v>
      </c>
      <c r="DO21" s="42" t="str">
        <f aca="false">IF(Tasks[[#This Row],[_Res2Text]]="","",IF(Tasks[[#This Row],[_Res2Row]]&gt;0,INDEX(res_Name,Tasks[[#This Row],[_Res2Row]]),TRIM(LEFT(Tasks[[#This Row],[_Res2Text]],FIND("[",Tasks[[#This Row],[_Res2Text]]&amp;"[")-1))))</f>
        <v/>
      </c>
      <c r="DP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1" s="42" t="n">
        <f aca="false">IF(OR(NOT(Tasks[[#This Row],[_IsLeaf]]=1),Tasks[[#This Row],[_Res2Row]]=0),0,N(Tasks[[#This Row],[_Days]])*HoursPerDay*IF(Tasks[[#This Row],[_Res2Units]]="",DefaultUnits,Tasks[[#This Row],[_Res2Units]]))</f>
        <v>0</v>
      </c>
      <c r="DR21" s="42" t="n">
        <f aca="false">IF(AND(AND(Tasks[[#This Row],[_IsLeaf]]=1,Tasks[[#This Row],[_LeafTotalWork]]&gt;0),Tasks[[#This Row],[_Res2Work]]&gt;0),Tasks[[#This Row],[_Res2Work]]/(Tasks[[#This Row],[_FinishWorkday]]-Tasks[[#This Row],[_StartWorkday]]+1),0)</f>
        <v>0</v>
      </c>
      <c r="DS21" s="42" t="n">
        <f aca="false">Tasks[[#This Row],[_Res2WorkPerWD]]*MAX(0,Tasks[[#This Row],[_StartWorkday]]-1)</f>
        <v>0</v>
      </c>
      <c r="DT21" s="42" t="n">
        <f aca="false">Tasks[[#This Row],[_Res2Work]]*Tasks[[#This Row],[_LeafProgress]]</f>
        <v>0</v>
      </c>
      <c r="DU21" s="42" t="str">
        <f aca="false">IF(Tasks[[#This Row],[_Res3Text]]="","",IF(Tasks[[#This Row],[_Res3Row]]&gt;0,INDEX(res_Name,Tasks[[#This Row],[_Res3Row]]),TRIM(LEFT(Tasks[[#This Row],[_Res3Text]],FIND("[",Tasks[[#This Row],[_Res3Text]]&amp;"[")-1))))</f>
        <v/>
      </c>
      <c r="DV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1" s="42" t="n">
        <f aca="false">IF(OR(NOT(Tasks[[#This Row],[_IsLeaf]]=1),Tasks[[#This Row],[_Res3Row]]=0),0,N(Tasks[[#This Row],[_Days]])*HoursPerDay*IF(Tasks[[#This Row],[_Res3Units]]="",DefaultUnits,Tasks[[#This Row],[_Res3Units]]))</f>
        <v>0</v>
      </c>
      <c r="DX21" s="42" t="n">
        <f aca="false">IF(AND(AND(Tasks[[#This Row],[_IsLeaf]]=1,Tasks[[#This Row],[_LeafTotalWork]]&gt;0),Tasks[[#This Row],[_Res3Work]]&gt;0),Tasks[[#This Row],[_Res3Work]]/(Tasks[[#This Row],[_FinishWorkday]]-Tasks[[#This Row],[_StartWorkday]]+1),0)</f>
        <v>0</v>
      </c>
      <c r="DY21" s="42" t="n">
        <f aca="false">Tasks[[#This Row],[_Res3WorkPerWD]]*MAX(0,Tasks[[#This Row],[_StartWorkday]]-1)</f>
        <v>0</v>
      </c>
      <c r="DZ21" s="42" t="n">
        <f aca="false">Tasks[[#This Row],[_Res3Work]]*Tasks[[#This Row],[_LeafProgress]]</f>
        <v>0</v>
      </c>
      <c r="EA21" s="42" t="str">
        <f aca="false">IF(Tasks[[#This Row],[_Res4Text]]="","",IF(Tasks[[#This Row],[_Res4Row]]&gt;0,INDEX(res_Name,Tasks[[#This Row],[_Res4Row]]),TRIM(LEFT(Tasks[[#This Row],[_Res4Text]],FIND("[",Tasks[[#This Row],[_Res4Text]]&amp;"[")-1))))</f>
        <v/>
      </c>
      <c r="EB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1" s="42" t="n">
        <f aca="false">IF(OR(NOT(Tasks[[#This Row],[_IsLeaf]]=1),Tasks[[#This Row],[_Res4Row]]=0),0,N(Tasks[[#This Row],[_Days]])*HoursPerDay*IF(Tasks[[#This Row],[_Res4Units]]="",DefaultUnits,Tasks[[#This Row],[_Res4Units]]))</f>
        <v>0</v>
      </c>
      <c r="ED21" s="42" t="n">
        <f aca="false">IF(AND(AND(Tasks[[#This Row],[_IsLeaf]]=1,Tasks[[#This Row],[_LeafTotalWork]]&gt;0),Tasks[[#This Row],[_Res4Work]]&gt;0),Tasks[[#This Row],[_Res4Work]]/(Tasks[[#This Row],[_FinishWorkday]]-Tasks[[#This Row],[_StartWorkday]]+1),0)</f>
        <v>0</v>
      </c>
      <c r="EE21" s="42" t="n">
        <f aca="false">Tasks[[#This Row],[_Res4WorkPerWD]]*MAX(0,Tasks[[#This Row],[_StartWorkday]]-1)</f>
        <v>0</v>
      </c>
      <c r="EF21" s="42" t="n">
        <f aca="false">Tasks[[#This Row],[_Res4Work]]*Tasks[[#This Row],[_LeafProgress]]</f>
        <v>0</v>
      </c>
      <c r="EG21" s="42" t="n">
        <f aca="false">IF(ISNUMBER(Tasks[[#This Row],[% Complete]]),Tasks[[#This Row],[% Complete]],IF(Tasks[[#This Row],[Stage]]="",0,IFERROR(INDEX(stg_Pct,MATCH(Tasks[[#This Row],[Stage]],stg_Name,0)),0)))</f>
        <v>0</v>
      </c>
      <c r="EH21" s="42" t="n">
        <f aca="false">IF(NOT(Tasks[[#This Row],[_IsLeaf]]=1),0,IF(N(Tasks[[#This Row],[Actual Finish]])&gt;0,1,MIN(1,Tasks[[#This Row],[_Pct]])))</f>
        <v>0</v>
      </c>
      <c r="EI21" s="42" t="n">
        <f aca="false">IF(OR(NOT(Tasks[[#This Row],[_IsLeaf]]=1),Tasks[[#This Row],[_Res1Row]]=0),0,N(Tasks[[#This Row],[_Days]])*HoursPerDay*IF(Tasks[[#This Row],[_Units1]]="",DefaultUnits,Tasks[[#This Row],[_Units1]]))</f>
        <v>0</v>
      </c>
      <c r="EJ21" s="42" t="n">
        <f aca="false">Tasks[[#This Row],[_LeafWork]]+Tasks[[#This Row],[_Res2Work]]+Tasks[[#This Row],[_Res3Work]]+Tasks[[#This Row],[_Res4Work]]</f>
        <v>0</v>
      </c>
      <c r="EK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1" s="42" t="n">
        <f aca="false">IF(NOT(Tasks[[#This Row],[_IsLeaf]]=1),0,MAX(_xlfn.MAXIFS(Tasks[_Row],Tasks[_Pred1UID],Tasks[[#This Row],[UID]]),_xlfn.MAXIFS(Tasks[_Row],Tasks[_Pred2UID],Tasks[[#This Row],[UID]]),_xlfn.MAXIFS(Tasks[_Row],Tasks[_Pred3UID],Tasks[[#This Row],[UID]]),_xlfn.MAXIFS(Tasks[_Row],Tasks[_Pred4UID],Tasks[[#This Row],[UID]])))</f>
        <v>0</v>
      </c>
      <c r="ET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1" s="89" t="str">
        <f aca="false">IF(NOT(Tasks[[#This Row],[_IsLeaf]]=1),"",IF(N(Tasks[[#This Row],[_Days]])&lt;=0,Tasks[[#This Row],[_LeafLateFinish]],WORKDAY.INTL(Tasks[[#This Row],[_LeafLateFinish]],-(Tasks[[#This Row],[_Days]]-1),WorkWeek,Holidays)))</f>
        <v/>
      </c>
      <c r="EW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1" s="88" t="b">
        <f aca="false">AND(Tasks[[#This Row],[_IsLeaf]]=1,Tasks[[#This Row],[_LeafProgress]]&lt;1,N(Tasks[[#This Row],[_LeafTotalSlack]])&lt;=CriticalSlackDays)</f>
        <v>0</v>
      </c>
      <c r="EY21" s="42" t="n">
        <f aca="false">IF(AND(Tasks[[#This Row],[_IsLeaf]]=1,Tasks[[#This Row],[_ConstraintCode]]=1,Tasks[[#This Row],[Mode]]&lt;&gt;"Manual",N(Tasks[[#This Row],[Actual Start]])=0),MAX(0,N(Tasks[[#This Row],[Free Slack]])),0)</f>
        <v>0</v>
      </c>
      <c r="EZ21" s="89" t="str">
        <f aca="false">IF(NOT(Tasks[[#This Row],[_IsLeaf]]=1),"",IF(Tasks[[#This Row],[_AlapShift]]=0,Tasks[[#This Row],[_LeafCalcStart]],WORKDAY.INTL(Tasks[[#This Row],[_LeafCalcStart]],Tasks[[#This Row],[_AlapShift]],WorkWeek,Holidays)))</f>
        <v/>
      </c>
      <c r="FA21" s="89" t="str">
        <f aca="false">IF(NOT(Tasks[[#This Row],[_IsLeaf]]=1),"",IF(Tasks[[#This Row],[_AlapShift]]=0,Tasks[[#This Row],[_LeafCalcFinish]],WORKDAY.INTL(Tasks[[#This Row],[_LeafCalcFinish]],Tasks[[#This Row],[_AlapShift]],WorkWeek,Holidays)))</f>
        <v/>
      </c>
      <c r="FB21" s="89" t="str">
        <f aca="false">IF(NOT(Tasks[[#This Row],[_IsLeaf]]=1),"",IF(Tasks[[#This Row],[_AlapShift]]=0,Tasks[[#This Row],[_LeafFcstStart]],WORKDAY.INTL(Tasks[[#This Row],[_LeafFcstStart]],Tasks[[#This Row],[_AlapShift]],WorkWeek,Holidays)))</f>
        <v/>
      </c>
      <c r="FC21" s="89" t="str">
        <f aca="false">IF(NOT(Tasks[[#This Row],[_IsLeaf]]=1),"",IF(Tasks[[#This Row],[_AlapShift]]=0,Tasks[[#This Row],[_LeafFcstFinish]],WORKDAY.INTL(Tasks[[#This Row],[_LeafFcstFinish]],Tasks[[#This Row],[_AlapShift]],WorkWeek,Holidays)))</f>
        <v/>
      </c>
      <c r="FD21" s="89" t="str">
        <f aca="false">IF(Tasks[[#This Row],[Task Name]]="","",IF(Tasks[[#This Row],[_IsSummary]],MIN(INDEX(Tasks[_ShownCalcStart],Tasks[[#This Row],[_Row]]+1):INDEX(Tasks[_ShownCalcStart],Tasks[[#This Row],[_Row]]+Tasks[[#This Row],[_Descendants]])),Tasks[[#This Row],[_ShownCalcStart]]))</f>
        <v/>
      </c>
      <c r="FE21" s="89" t="str">
        <f aca="false">IF(Tasks[[#This Row],[Task Name]]="","",IF(Tasks[[#This Row],[_IsSummary]],MAX(INDEX(Tasks[_ShownCalcFinish],Tasks[[#This Row],[_Row]]+1):INDEX(Tasks[_ShownCalcFinish],Tasks[[#This Row],[_Row]]+Tasks[[#This Row],[_Descendants]])),Tasks[[#This Row],[_ShownCalcFinish]]))</f>
        <v/>
      </c>
      <c r="FF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1" s="42" t="n">
        <f aca="false">IF(AND(Tasks[[#This Row],[_IsLeaf]]=1,Tasks[[#This Row],[_LeafTotalWork]]&gt;0),NETWORKDAYS.INTL(ProjectStart,Tasks[[#This Row],[_ShownFcstStart]],WorkWeek,Holidays),0)</f>
        <v>0</v>
      </c>
      <c r="FS21" s="42" t="n">
        <f aca="false">IF(AND(Tasks[[#This Row],[_IsLeaf]]=1,Tasks[[#This Row],[_LeafTotalWork]]&gt;0),MAX(Tasks[[#This Row],[_StartWorkday]],NETWORKDAYS.INTL(ProjectStart,Tasks[[#This Row],[_ShownFcstFinish]],WorkWeek,Holidays)),0)</f>
        <v>0</v>
      </c>
      <c r="FT21" s="42" t="n">
        <f aca="false">IF(AND(Tasks[[#This Row],[_IsLeaf]]=1,Tasks[[#This Row],[_LeafTotalWork]]&gt;0),Tasks[[#This Row],[_LeafWork]]/(Tasks[[#This Row],[_FinishWorkday]]-Tasks[[#This Row],[_StartWorkday]]+1),0)</f>
        <v>0</v>
      </c>
      <c r="FU21" s="42" t="n">
        <f aca="false">Tasks[[#This Row],[_WorkPerWorkday]]*(Tasks[[#This Row],[_StartWorkday]]-1)</f>
        <v>-0</v>
      </c>
      <c r="FV21" s="42" t="n">
        <f aca="false">IF(Tasks[[#This Row],[_IsLeaf]]=1,MAX(N(Tasks[[#This Row],[_Days]]),0.1),0)</f>
        <v>0</v>
      </c>
      <c r="FW21" s="42" t="n">
        <f aca="false">Tasks[[#This Row],[_WeightDur]]*Tasks[[#This Row],[_LeafProgress]]</f>
        <v>0</v>
      </c>
      <c r="FX21" s="42" t="n">
        <f aca="false">Tasks[[#This Row],[_WeightDur]]*Tasks[[#This Row],[_PlannedPct]]</f>
        <v>0</v>
      </c>
      <c r="FY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1" s="42" t="str">
        <f aca="false">IF(AND(Tasks[[#This Row],[_IsLeaf]]=1,N(Tasks[[#This Row],[_Days]])=0,Tasks[[#This Row],[_LeafProgress]]&lt;1),Tasks[[#This Row],[_ShownFcstFinish]]+Tasks[[#This Row],[_Row]]/100000,"")</f>
        <v/>
      </c>
      <c r="GA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1" s="42" t="str">
        <f aca="false">IF(Tasks[[#This Row],[Task Name]]="","",LEFT(Tasks[[#This Row],[WBS]],FIND(".",Tasks[[#This Row],[WBS]]&amp;".")-1))</f>
        <v/>
      </c>
      <c r="GC21" s="42" t="str">
        <f aca="false">IF(AND(Tasks[[#This Row],[Task Name]]&lt;&gt;"",Tasks[[#This Row],[_Level]]=1),Tasks[[#This Row],[_Row]],"")</f>
        <v/>
      </c>
      <c r="GD21" s="42" t="str">
        <f aca="false">IF(AND(Tasks[[#This Row],[_IsLeaf]]=1,N(Tasks[[#This Row],[_Days]])=0),Tasks[[#This Row],[Planned Finish]]+Tasks[[#This Row],[_Row]]/100000,"")</f>
        <v/>
      </c>
      <c r="GE21" s="42" t="str">
        <f aca="false">IF(AND(Tasks[[#This Row],[_IsLeaf]]=1,Tasks[[#This Row],[_LeafProgress]]&lt;1,OR(N(Tasks[[#This Row],[Finish Var]])&gt;0,Tasks[[#This Row],[Status]]="Late Start")),MAX(0,Tasks[[#This Row],[Finish Var]])+1-Tasks[[#This Row],[_Row]]/1000000,"")</f>
        <v/>
      </c>
      <c r="GF21" s="42" t="str">
        <f aca="false">IF(AND(Tasks[[#This Row],[_IsLeaf]]=1,N(Tasks[[#This Row],[Actual Start]])=0,Tasks[[#This Row],[_ShownFcstStart]]&gt;=StatusDate,Tasks[[#This Row],[_ShownFcstStart]]&lt;=LookaheadEnd),Tasks[[#This Row],[_ShownFcstStart]]+Tasks[[#This Row],[_Row]]/100000,"")</f>
        <v/>
      </c>
      <c r="GG21" s="42" t="str">
        <f aca="false">IF(AND(Tasks[[#This Row],[_IsLeaf]]=1,Tasks[[#This Row],[_LeafProgress]]&lt;1,Tasks[[#This Row],[_ShownFcstFinish]]&gt;=StatusDate,Tasks[[#This Row],[_ShownFcstFinish]]&lt;=LookaheadEnd),Tasks[[#This Row],[_ShownFcstFinish]]+Tasks[[#This Row],[_Row]]/100000,"")</f>
        <v/>
      </c>
      <c r="GH21" s="42" t="str">
        <f aca="false">IF(Tasks[[#This Row],[_LeafCritical]],Tasks[[#This Row],[_ShownFcstStart]]+Tasks[[#This Row],[_Row]]/100000,"")</f>
        <v/>
      </c>
      <c r="GI21" s="42" t="n">
        <f aca="false">Tasks[[#This Row],[_LeafWork]]*Tasks[[#This Row],[_LeafProgress]]</f>
        <v>0</v>
      </c>
      <c r="GJ21" s="89" t="str">
        <f aca="false">IF(AND(Tasks[[#This Row],[_IsLeaf]]=1,Tasks[[#This Row],[_LeafProgress]]&gt;=1),IF(N(Tasks[[#This Row],[Actual Finish]])&gt;0,Tasks[[#This Row],[Actual Finish]],Tasks[[#This Row],[_ShownFcstFinish]]),"")</f>
        <v/>
      </c>
      <c r="GK21" s="42" t="n">
        <f aca="false">IF(Tasks[[#This Row],[_IsLeaf]]=1,N(Tasks[[#This Row],[Story Points]]),0)</f>
        <v>0</v>
      </c>
      <c r="GL21" s="42" t="str">
        <f aca="false">""</f>
        <v/>
      </c>
      <c r="GM21" s="88" t="b">
        <f aca="false">IF(Tasks[[#This Row],[Task Name]]="",FALSE(),AND(Tasks[[#This Row],[_IsLeaf]]=1,N(Tasks[[#This Row],[_Days]])=0))</f>
        <v>0</v>
      </c>
      <c r="GN21" s="89" t="n">
        <f aca="false">IF(Tasks[[#This Row],[Task Name]]="",0,IF(AND(Tasks[[#This Row],[_IsLeaf]]=1,NOT(Tasks[[#This Row],[_IsMilestone]]),N(Tasks[[#This Row],[Progress]])&gt;0),Tasks[[#This Row],[Start]],0))</f>
        <v>0</v>
      </c>
      <c r="GO21" s="89" t="n">
        <f aca="false">IF(Tasks[[#This Row],[_DoneFrom]]=0,0,IF(Tasks[[#This Row],[Progress]]&gt;=1,Tasks[[#This Row],[Finish]],MAX(Tasks[[#This Row],[_DoneFrom]],Tasks[[#This Row],[Start]]+ROUND((Tasks[[#This Row],[Finish]]-Tasks[[#This Row],[Start]]+1)*Tasks[[#This Row],[Progress]],0)-1)))</f>
        <v>0</v>
      </c>
      <c r="GP21" s="89" t="n">
        <f aca="false">IF(Tasks[[#This Row],[Task Name]]="",0,IF(OR(NOT(Tasks[[#This Row],[_IsLeaf]]=1),Tasks[[#This Row],[_IsMilestone]],N(Tasks[[#This Row],[Progress]])&gt;=1),0,IF(Tasks[[#This Row],[_DoneTo]]&gt;0,Tasks[[#This Row],[_DoneTo]]+1,Tasks[[#This Row],[Start]])))</f>
        <v>0</v>
      </c>
      <c r="GQ21" s="89" t="n">
        <f aca="false">IF(Tasks[[#This Row],[_RemFrom]]=0,0,Tasks[[#This Row],[Finish]])</f>
        <v>0</v>
      </c>
      <c r="GR21" s="88" t="b">
        <f aca="false">IF(Tasks[[#This Row],[Task Name]]="",FALSE(),OR(NOT(BaselineSet),N(Tasks[[#This Row],[Baseline Start]])&gt;0))</f>
        <v>0</v>
      </c>
      <c r="GS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1" s="90" t="str">
        <f aca="false">IF(Tasks[[#This Row],[_IsLeaf]]=1,Tasks[[#This Row],[_Row]],"")</f>
        <v/>
      </c>
      <c r="GW21" s="90" t="str">
        <f aca="false">IFERROR(INDEX(Tasks[UID],SMALL(Tasks[_PickKey],Tasks[[#This Row],[_Row]]))&amp;" "&amp;INDEX(Tasks[Task Name],SMALL(Tasks[_PickKey],Tasks[[#This Row],[_Row]])),"")</f>
        <v/>
      </c>
      <c r="GX21" s="42" t="str">
        <f aca="false">IF(Tasks[[#This Row],[Task Name]]="","",IF(Tasks[[#This Row],[_IsSummary]],NETWORKDAYS.INTL(Tasks[[#This Row],[Start]],Tasks[[#This Row],[Finish]],WorkWeek,Holidays),N(Tasks[[#This Row],[_Days]])))</f>
        <v/>
      </c>
    </row>
    <row r="22" customFormat="false" ht="15" hidden="false" customHeight="false" outlineLevel="0" collapsed="false">
      <c r="A22" s="21" t="str">
        <f aca="false">IF(Tasks[[#This Row],[Task Name]]="","",COUNTA(Tasks[[#Headers],[Task Name]]:Tasks[[#This Row],[Task Name]])-1)</f>
        <v/>
      </c>
      <c r="B22" s="22" t="n">
        <v>30</v>
      </c>
      <c r="C22" s="22"/>
      <c r="D22" s="23"/>
      <c r="E22" s="22"/>
      <c r="F22" s="23"/>
      <c r="G22" s="22"/>
      <c r="H22" s="22"/>
      <c r="I22" s="23"/>
      <c r="J22" s="22"/>
      <c r="K22" s="22"/>
      <c r="L22" s="23"/>
      <c r="M22" s="22"/>
      <c r="N22" s="22"/>
      <c r="O22" s="23"/>
      <c r="P22" s="22"/>
      <c r="Q22" s="22"/>
      <c r="R22" s="23"/>
      <c r="S22" s="23"/>
      <c r="T22" s="83"/>
      <c r="U22" s="23"/>
      <c r="V22" s="83"/>
      <c r="W22" s="23"/>
      <c r="X22" s="83"/>
      <c r="Y22" s="23"/>
      <c r="Z22" s="83"/>
      <c r="AA22" s="23"/>
      <c r="AB22" s="23"/>
      <c r="AC22" s="7"/>
      <c r="AD22" s="7"/>
      <c r="AE22" s="62" t="str">
        <f aca="false">IF(Tasks[[#This Row],[Task Name]]="","",IF(Tasks[[#This Row],[_IsSummary]],MIN(INDEX(Tasks[_ShownFcstStart],Tasks[[#This Row],[_Row]]+1):INDEX(Tasks[_ShownFcstStart],Tasks[[#This Row],[_Row]]+Tasks[[#This Row],[_Descendants]])),Tasks[[#This Row],[_ShownFcstStart]]))</f>
        <v/>
      </c>
      <c r="AF22" s="62" t="str">
        <f aca="false">IF(Tasks[[#This Row],[Task Name]]="","",IF(Tasks[[#This Row],[_IsSummary]],MAX(INDEX(Tasks[_ShownFcstFinish],Tasks[[#This Row],[_Row]]+1):INDEX(Tasks[_ShownFcstFinish],Tasks[[#This Row],[_Row]]+Tasks[[#This Row],[_Descendants]])),Tasks[[#This Row],[_ShownFcstFinish]]))</f>
        <v/>
      </c>
      <c r="AG22" s="21" t="str">
        <f aca="false">""</f>
        <v/>
      </c>
      <c r="AH22" s="23"/>
      <c r="AI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2" s="7"/>
      <c r="AK22" s="22"/>
      <c r="AL22" s="23"/>
      <c r="AM22" s="7"/>
      <c r="AN22" s="46" t="str">
        <f aca="false">IF(Tasks[[#This Row],[Task Name]]="","",IF(Tasks[[#This Row],[Finish]]&gt;=Tasks[[#This Row],[Planned Finish]],NETWORKDAYS.INTL(Tasks[[#This Row],[Planned Finish]],Tasks[[#This Row],[Finish]],WorkWeek,Holidays)-1,1-NETWORKDAYS.INTL(Tasks[[#This Row],[Finish]],Tasks[[#This Row],[Planned Finish]],WorkWeek,Holidays)))</f>
        <v/>
      </c>
      <c r="AO22" s="21" t="str">
        <f aca="false">IF(Tasks[[#This Row],[Task Name]]="","",IF(Tasks[[#This Row],[Progress]]&gt;=1,"Complete",IF(OR(N(Tasks[[#This Row],[Actual Start]])&gt;0,Tasks[[#This Row],[Progress]]&gt;0),IF(Tasks[[#This Row],[Finish Var]]&gt;0,"Behind","In Progress"),IF(Tasks[[#This Row],[Planned Start]]&lt;StatusDate,"Late Start","Not Started"))))</f>
        <v/>
      </c>
      <c r="AP22" s="21" t="str">
        <f aca="false">IF(Tasks[[#This Row],[Task Name]]="","",IF(IF(Tasks[[#This Row],[_IsSummary]],COUNTIF(INDEX(Tasks[_LeafCritical],Tasks[[#This Row],[_Row]]+1):INDEX(Tasks[_LeafCritical],Tasks[[#This Row],[_Row]]+Tasks[[#This Row],[_Descendants]]),TRUE())&gt;0,Tasks[[#This Row],[_LeafCritical]]),"Yes",""))</f>
        <v/>
      </c>
      <c r="AQ22" s="62" t="str">
        <f aca="false">IF(Tasks[[#This Row],[Task Name]]="","",IF(N(Tasks[[#This Row],[Baseline Start]])&gt;0,Tasks[[#This Row],[Baseline Start]],Tasks[[#This Row],[_CalcStart]]))</f>
        <v/>
      </c>
      <c r="AR22" s="62" t="str">
        <f aca="false">IF(Tasks[[#This Row],[Task Name]]="","",IF(N(Tasks[[#This Row],[Baseline Finish]])&gt;0,Tasks[[#This Row],[Baseline Finish]],Tasks[[#This Row],[_CalcFinish]]))</f>
        <v/>
      </c>
      <c r="AS22" s="46" t="str">
        <f aca="false">IF(Tasks[[#This Row],[Task Name]]="","",IF(Tasks[[#This Row],[Start]]&gt;=Tasks[[#This Row],[Planned Start]],NETWORKDAYS.INTL(Tasks[[#This Row],[Planned Start]],Tasks[[#This Row],[Start]],WorkWeek,Holidays)-1,1-NETWORKDAYS.INTL(Tasks[[#This Row],[Start]],Tasks[[#This Row],[Planned Start]],WorkWeek,Holidays)))</f>
        <v/>
      </c>
      <c r="AT22" s="62" t="str">
        <f aca="false">IF(Tasks[[#This Row],[Task Name]]="","",IF(Tasks[[#This Row],[_IsSummary]],MIN(INDEX(Tasks[_LeafLateStart],Tasks[[#This Row],[_Row]]+1):INDEX(Tasks[_LeafLateStart],Tasks[[#This Row],[_Row]]+Tasks[[#This Row],[_Descendants]])),Tasks[[#This Row],[_LeafLateStart]]))</f>
        <v/>
      </c>
      <c r="AU22" s="62" t="str">
        <f aca="false">IF(Tasks[[#This Row],[Task Name]]="","",IF(Tasks[[#This Row],[_IsSummary]],MAX(INDEX(Tasks[_LeafLateFinish],Tasks[[#This Row],[_Row]]+1):INDEX(Tasks[_LeafLateFinish],Tasks[[#This Row],[_Row]]+Tasks[[#This Row],[_Descendants]])),Tasks[[#This Row],[_LeafLateFinish]]))</f>
        <v/>
      </c>
      <c r="AV22" s="46" t="str">
        <f aca="false">IF(Tasks[[#This Row],[Task Name]]="","",IF(Tasks[[#This Row],[_IsSummary]],MIN(INDEX(Tasks[_LeafTotalSlack],Tasks[[#This Row],[_Row]]+1):INDEX(Tasks[_LeafTotalSlack],Tasks[[#This Row],[_Row]]+Tasks[[#This Row],[_Descendants]])),Tasks[[#This Row],[_LeafTotalSlack]]))</f>
        <v/>
      </c>
      <c r="AW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4"/>
      <c r="BA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t="str">
        <f aca="false">IF(Tasks[[#This Row],[Task Name]]="","",IF(Tasks[[#This Row],[_Level]]&lt;=OutlineShowLevel,"Yes","No"))</f>
        <v/>
      </c>
      <c r="BE22" s="85" t="str">
        <f aca="false">IF(Tasks[[#This Row],[Task Name]]="","",IF(Tasks[[#This Row],[_IsSummary]],SUM(INDEX(Tasks[_LeafTotalWork],Tasks[[#This Row],[_Row]]+1):INDEX(Tasks[_LeafTotalWork],Tasks[[#This Row],[_Row]]+Tasks[[#This Row],[_Descendants]])),Tasks[[#This Row],[_LeafTotalWork]]))</f>
        <v/>
      </c>
      <c r="BF22" s="23"/>
      <c r="BG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t="str">
        <f aca="false">""</f>
        <v/>
      </c>
      <c r="BI22" s="86"/>
      <c r="BJ22" s="22"/>
      <c r="BK22" s="46" t="str">
        <f aca="false">IF(OR(Tasks[[#This Row],[Task Name]]="",Tasks[[#This Row],[Baseline Duration]]=""),"",Tasks[[#This Row],[_SpanDays]]-N(Tasks[[#This Row],[Baseline Duration]]))</f>
        <v/>
      </c>
      <c r="BL22" s="85" t="str">
        <f aca="false">IF(OR(Tasks[[#This Row],[Task Name]]="",Tasks[[#This Row],[Baseline Work]]=""),"",Tasks[[#This Row],[Work]]-N(Tasks[[#This Row],[Baseline Work]]))</f>
        <v/>
      </c>
      <c r="BM22" s="62" t="str">
        <f aca="false">IF(Tasks[[#This Row],[Task Name]]="","",IF(OR(TakeBaseline="Yes",N(Tasks[[#This Row],[Baseline Start]])=0),Tasks[[#This Row],[Start]],Tasks[[#This Row],[Baseline Start]]))</f>
        <v/>
      </c>
      <c r="BN22" s="62" t="str">
        <f aca="false">IF(Tasks[[#This Row],[Task Name]]="","",IF(OR(TakeBaseline="Yes",N(Tasks[[#This Row],[Baseline Finish]])=0),Tasks[[#This Row],[Finish]],Tasks[[#This Row],[Baseline Finish]]))</f>
        <v/>
      </c>
      <c r="BO22" s="21" t="str">
        <f aca="false">IF(Tasks[[#This Row],[Task Name]]="","",IF(OR(TakeBaseline="Yes",N(Tasks[[#This Row],[Baseline Duration]])=0),Tasks[[#This Row],[_SpanDays]],Tasks[[#This Row],[Baseline Duration]]))</f>
        <v/>
      </c>
      <c r="BP22" s="85" t="str">
        <f aca="false">IF(Tasks[[#This Row],[Task Name]]="","",IF(OR(TakeBaseline="Yes",N(Tasks[[#This Row],[Baseline Work]])=0),Tasks[[#This Row],[Work]],Tasks[[#This Row],[Baseline Work]]))</f>
        <v/>
      </c>
      <c r="BQ22" s="7"/>
      <c r="BR22" s="7"/>
      <c r="BS22" s="22"/>
      <c r="BT22" s="87"/>
      <c r="BU22" s="42" t="str">
        <f aca="false">IF(Tasks[[#This Row],[Task Name]]="","",MAX(1,N(Tasks[[#This Row],[Level]])))</f>
        <v/>
      </c>
      <c r="BV22" s="42" t="n">
        <f aca="false">ROW()-ROW(Tasks[[#Headers],[ID]])</f>
        <v>17</v>
      </c>
      <c r="BW22" s="42" t="n">
        <f aca="false">IF(OR(Tasks[[#This Row],[Task Name]]="",Tasks[[#This Row],[_Level]]&lt;=1),0,IFERROR(LOOKUP(2,1/(Tasks[[#Headers],[_Level]]:Tasks[[#This Row],[_Level]]=Tasks[[#This Row],[_Level]]-1),ROW(Tasks[[#Headers],[_Level]]:Tasks[[#This Row],[_Level]])),0))</f>
        <v>0</v>
      </c>
      <c r="BX22" s="42" t="n">
        <f aca="false">IFERROR(N(INDEX(Tasks[_Level],Tasks[[#This Row],[_Row]]+1)),0)</f>
        <v>0</v>
      </c>
      <c r="BY22" s="88" t="b">
        <f aca="false">AND(Tasks[[#This Row],[Task Name]]&lt;&gt;"",Tasks[[#This Row],[_NextLevel]]&gt;Tasks[[#This Row],[_Level]])</f>
        <v>0</v>
      </c>
      <c r="BZ22" s="42" t="n">
        <f aca="false">IF(Tasks[[#This Row],[_IsSummary]],COUNTIF(Tasks[WBS],Tasks[[#This Row],[WBS]]&amp;".*"),0)</f>
        <v>0</v>
      </c>
      <c r="CA22" s="42" t="n">
        <f aca="false">IF(AND(Tasks[[#This Row],[Task Name]]&lt;&gt;"",NOT(Tasks[[#This Row],[_IsSummary]])),1,0)</f>
        <v>0</v>
      </c>
      <c r="CB22" s="42" t="n">
        <f aca="false">IF(N(Tasks[[#This Row],[_Pred1UID]])=0,0,IFERROR(MATCH(Tasks[[#This Row],[_Pred1UID]],Tasks[UID],0),-1))</f>
        <v>0</v>
      </c>
      <c r="CC22" s="42" t="n">
        <f aca="false">IF(N(Tasks[[#This Row],[_Pred2UID]])=0,0,IFERROR(MATCH(Tasks[[#This Row],[_Pred2UID]],Tasks[UID],0),-1))</f>
        <v>0</v>
      </c>
      <c r="CD22" s="42" t="n">
        <f aca="false">IF(N(Tasks[[#This Row],[_Pred3UID]])=0,0,IFERROR(MATCH(Tasks[[#This Row],[_Pred3UID]],Tasks[UID],0),-1))</f>
        <v>0</v>
      </c>
      <c r="CE22" s="42" t="n">
        <f aca="false">IF(N(Tasks[[#This Row],[_Pred4UID]])=0,0,IFERROR(MATCH(Tasks[[#This Row],[_Pred4UID]],Tasks[UID],0),-1))</f>
        <v>0</v>
      </c>
      <c r="CF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2" s="89" t="n">
        <f aca="false">IF(OR(Tasks[[#This Row],[_ConstraintCode]]=2,Tasks[[#This Row],[_ConstraintCode]]=3,Tasks[[#This Row],[_ConstraintCode]]=4,Tasks[[#This Row],[_ConstraintCode]]=6),Tasks[[#This Row],[_ConstraintStart]],0)</f>
        <v>0</v>
      </c>
      <c r="CI22" s="89" t="n">
        <f aca="false">IF(OR(Tasks[[#This Row],[_ConstraintCode]]=2,Tasks[[#This Row],[_ConstraintCode]]=3,Tasks[[#This Row],[_ConstraintCode]]=5,Tasks[[#This Row],[_ConstraintCode]]=7),Tasks[[#This Row],[_ConstraintStart]],2958465)</f>
        <v>2958465</v>
      </c>
      <c r="CJ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2" s="89" t="str">
        <f aca="false">IF(NOT(Tasks[[#This Row],[_IsLeaf]]=1),"",IF(N(Tasks[[#This Row],[_Days]])&lt;=0,Tasks[[#This Row],[_LeafCalcStart]],WORKDAY.INTL(Tasks[[#This Row],[_LeafCalcStart]],Tasks[[#This Row],[_Days]]-1,WorkWeek,Holidays)))</f>
        <v/>
      </c>
      <c r="CL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2" s="42" t="str">
        <f aca="false">IF(Tasks[[#This Row],[_Predecessors]]="","",TRIM(MID(SUBSTITUTE(SUBSTITUTE(SUBSTITUTE(UPPER(Tasks[[#This Row],[_Predecessors]]),";",",")," ",""),",",REPT(" ",99)),1,99)))</f>
        <v/>
      </c>
      <c r="CO22" s="42" t="str">
        <f aca="false">IF(Tasks[[#This Row],[_Pred1Text]]="","",IFERROR(VALUE(LEFT(Tasks[[#This Row],[_Pred1Text]],MIN(FIND("F",Tasks[[#This Row],[_Pred1Text]]&amp;"F"),FIND("S",Tasks[[#This Row],[_Pred1Text]]&amp;"S"),FIND("+",Tasks[[#This Row],[_Pred1Text]]&amp;"+"),FIND("-",Tasks[[#This Row],[_Pred1Text]]&amp;"-"))-1)),""))</f>
        <v/>
      </c>
      <c r="CP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2" s="42" t="str">
        <f aca="false">IF(Tasks[[#This Row],[_Pred1Text]]="","",TRIM(MID(SUBSTITUTE(SUBSTITUTE(SUBSTITUTE(UPPER(Tasks[[#This Row],[_Predecessors]]),";",",")," ",""),",",REPT(" ",99)),100,99)))</f>
        <v/>
      </c>
      <c r="CS22" s="42" t="str">
        <f aca="false">IF(Tasks[[#This Row],[_Pred2Text]]="","",IFERROR(VALUE(LEFT(Tasks[[#This Row],[_Pred2Text]],MIN(FIND("F",Tasks[[#This Row],[_Pred2Text]]&amp;"F"),FIND("S",Tasks[[#This Row],[_Pred2Text]]&amp;"S"),FIND("+",Tasks[[#This Row],[_Pred2Text]]&amp;"+"),FIND("-",Tasks[[#This Row],[_Pred2Text]]&amp;"-"))-1)),""))</f>
        <v/>
      </c>
      <c r="CT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2" s="42" t="str">
        <f aca="false">IF(Tasks[[#This Row],[_Pred2Text]]="","",TRIM(MID(SUBSTITUTE(SUBSTITUTE(SUBSTITUTE(UPPER(Tasks[[#This Row],[_Predecessors]]),";",",")," ",""),",",REPT(" ",99)),199,99)))</f>
        <v/>
      </c>
      <c r="CW22" s="42" t="str">
        <f aca="false">IF(Tasks[[#This Row],[_Pred3Text]]="","",IFERROR(VALUE(LEFT(Tasks[[#This Row],[_Pred3Text]],MIN(FIND("F",Tasks[[#This Row],[_Pred3Text]]&amp;"F"),FIND("S",Tasks[[#This Row],[_Pred3Text]]&amp;"S"),FIND("+",Tasks[[#This Row],[_Pred3Text]]&amp;"+"),FIND("-",Tasks[[#This Row],[_Pred3Text]]&amp;"-"))-1)),""))</f>
        <v/>
      </c>
      <c r="CX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2" s="42" t="str">
        <f aca="false">IF(Tasks[[#This Row],[_Pred3Text]]="","",TRIM(MID(SUBSTITUTE(SUBSTITUTE(SUBSTITUTE(UPPER(Tasks[[#This Row],[_Predecessors]]),";",",")," ",""),",",REPT(" ",99)),298,99)))</f>
        <v/>
      </c>
      <c r="DA22" s="42" t="str">
        <f aca="false">IF(Tasks[[#This Row],[_Pred4Text]]="","",IFERROR(VALUE(LEFT(Tasks[[#This Row],[_Pred4Text]],MIN(FIND("F",Tasks[[#This Row],[_Pred4Text]]&amp;"F"),FIND("S",Tasks[[#This Row],[_Pred4Text]]&amp;"S"),FIND("+",Tasks[[#This Row],[_Pred4Text]]&amp;"+"),FIND("-",Tasks[[#This Row],[_Pred4Text]]&amp;"-"))-1)),""))</f>
        <v/>
      </c>
      <c r="DB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2" s="42" t="str">
        <f aca="false">IF(OR(Tasks[[#This Row],[Task Name]]="",Tasks[[#This Row],[_Resources]]=""),"",TRIM(MID(SUBSTITUTE(Tasks[[#This Row],[_Resources]],",",REPT(" ",99)),1,99)))</f>
        <v/>
      </c>
      <c r="DE22" s="42" t="str">
        <f aca="false">IF(Tasks[[#This Row],[_Res1Text]]="","",TRIM(MID(SUBSTITUTE(Tasks[[#This Row],[_Resources]],",",REPT(" ",99)),100,99)))</f>
        <v/>
      </c>
      <c r="DF22" s="42" t="str">
        <f aca="false">IF(Tasks[[#This Row],[_Res2Text]]="","",TRIM(MID(SUBSTITUTE(Tasks[[#This Row],[_Resources]],",",REPT(" ",99)),199,99)))</f>
        <v/>
      </c>
      <c r="DG22" s="42" t="str">
        <f aca="false">IF(Tasks[[#This Row],[_Res3Text]]="","",TRIM(MID(SUBSTITUTE(Tasks[[#This Row],[_Resources]],",",REPT(" ",99)),298,99)))</f>
        <v/>
      </c>
      <c r="DH22" s="42" t="n">
        <f aca="false">IF(Tasks[[#This Row],[_Res1Text]]="",0,IFERROR(MATCH(TRIM(LEFT(Tasks[[#This Row],[_Res1Text]],FIND("[",Tasks[[#This Row],[_Res1Text]]&amp;"[")-1)),res_Name,0),IFERROR(MATCH(TRIM(LEFT(Tasks[[#This Row],[_Res1Text]],FIND("[",Tasks[[#This Row],[_Res1Text]]&amp;"[")-1)),res_Initials,0),0)))</f>
        <v>0</v>
      </c>
      <c r="DI22" s="42" t="n">
        <f aca="false">IF(Tasks[[#This Row],[_Res2Text]]="",0,IFERROR(MATCH(TRIM(LEFT(Tasks[[#This Row],[_Res2Text]],FIND("[",Tasks[[#This Row],[_Res2Text]]&amp;"[")-1)),res_Name,0),IFERROR(MATCH(TRIM(LEFT(Tasks[[#This Row],[_Res2Text]],FIND("[",Tasks[[#This Row],[_Res2Text]]&amp;"[")-1)),res_Initials,0),0)))</f>
        <v>0</v>
      </c>
      <c r="DJ22" s="42" t="n">
        <f aca="false">IF(Tasks[[#This Row],[_Res3Text]]="",0,IFERROR(MATCH(TRIM(LEFT(Tasks[[#This Row],[_Res3Text]],FIND("[",Tasks[[#This Row],[_Res3Text]]&amp;"[")-1)),res_Name,0),IFERROR(MATCH(TRIM(LEFT(Tasks[[#This Row],[_Res3Text]],FIND("[",Tasks[[#This Row],[_Res3Text]]&amp;"[")-1)),res_Initials,0),0)))</f>
        <v>0</v>
      </c>
      <c r="DK22" s="42" t="n">
        <f aca="false">IF(Tasks[[#This Row],[_Res4Text]]="",0,IFERROR(MATCH(TRIM(LEFT(Tasks[[#This Row],[_Res4Text]],FIND("[",Tasks[[#This Row],[_Res4Text]]&amp;"[")-1)),res_Name,0),IFERROR(MATCH(TRIM(LEFT(Tasks[[#This Row],[_Res4Text]],FIND("[",Tasks[[#This Row],[_Res4Text]]&amp;"[")-1)),res_Initials,0),0)))</f>
        <v>0</v>
      </c>
      <c r="DL22" s="42" t="str">
        <f aca="false">IF(Tasks[[#This Row],[_Res1Text]]="","",IF(Tasks[[#This Row],[_Res1Row]]&gt;0,INDEX(res_Name,Tasks[[#This Row],[_Res1Row]]),TRIM(LEFT(Tasks[[#This Row],[_Res1Text]],FIND("[",Tasks[[#This Row],[_Res1Text]]&amp;"[")-1))))</f>
        <v/>
      </c>
      <c r="DM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2" s="42" t="n">
        <f aca="false">IF(NOT(Tasks[[#This Row],[_IsLeaf]]=1),0,(Tasks[[#This Row],[_Resource1]]&lt;&gt;"")+(Tasks[[#This Row],[_Res2]]&lt;&gt;"")+(Tasks[[#This Row],[_Res3]]&lt;&gt;"")+(Tasks[[#This Row],[_Res4]]&lt;&gt;""))</f>
        <v>0</v>
      </c>
      <c r="DO22" s="42" t="str">
        <f aca="false">IF(Tasks[[#This Row],[_Res2Text]]="","",IF(Tasks[[#This Row],[_Res2Row]]&gt;0,INDEX(res_Name,Tasks[[#This Row],[_Res2Row]]),TRIM(LEFT(Tasks[[#This Row],[_Res2Text]],FIND("[",Tasks[[#This Row],[_Res2Text]]&amp;"[")-1))))</f>
        <v/>
      </c>
      <c r="DP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2" s="42" t="n">
        <f aca="false">IF(OR(NOT(Tasks[[#This Row],[_IsLeaf]]=1),Tasks[[#This Row],[_Res2Row]]=0),0,N(Tasks[[#This Row],[_Days]])*HoursPerDay*IF(Tasks[[#This Row],[_Res2Units]]="",DefaultUnits,Tasks[[#This Row],[_Res2Units]]))</f>
        <v>0</v>
      </c>
      <c r="DR22" s="42" t="n">
        <f aca="false">IF(AND(AND(Tasks[[#This Row],[_IsLeaf]]=1,Tasks[[#This Row],[_LeafTotalWork]]&gt;0),Tasks[[#This Row],[_Res2Work]]&gt;0),Tasks[[#This Row],[_Res2Work]]/(Tasks[[#This Row],[_FinishWorkday]]-Tasks[[#This Row],[_StartWorkday]]+1),0)</f>
        <v>0</v>
      </c>
      <c r="DS22" s="42" t="n">
        <f aca="false">Tasks[[#This Row],[_Res2WorkPerWD]]*MAX(0,Tasks[[#This Row],[_StartWorkday]]-1)</f>
        <v>0</v>
      </c>
      <c r="DT22" s="42" t="n">
        <f aca="false">Tasks[[#This Row],[_Res2Work]]*Tasks[[#This Row],[_LeafProgress]]</f>
        <v>0</v>
      </c>
      <c r="DU22" s="42" t="str">
        <f aca="false">IF(Tasks[[#This Row],[_Res3Text]]="","",IF(Tasks[[#This Row],[_Res3Row]]&gt;0,INDEX(res_Name,Tasks[[#This Row],[_Res3Row]]),TRIM(LEFT(Tasks[[#This Row],[_Res3Text]],FIND("[",Tasks[[#This Row],[_Res3Text]]&amp;"[")-1))))</f>
        <v/>
      </c>
      <c r="DV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2" s="42" t="n">
        <f aca="false">IF(OR(NOT(Tasks[[#This Row],[_IsLeaf]]=1),Tasks[[#This Row],[_Res3Row]]=0),0,N(Tasks[[#This Row],[_Days]])*HoursPerDay*IF(Tasks[[#This Row],[_Res3Units]]="",DefaultUnits,Tasks[[#This Row],[_Res3Units]]))</f>
        <v>0</v>
      </c>
      <c r="DX22" s="42" t="n">
        <f aca="false">IF(AND(AND(Tasks[[#This Row],[_IsLeaf]]=1,Tasks[[#This Row],[_LeafTotalWork]]&gt;0),Tasks[[#This Row],[_Res3Work]]&gt;0),Tasks[[#This Row],[_Res3Work]]/(Tasks[[#This Row],[_FinishWorkday]]-Tasks[[#This Row],[_StartWorkday]]+1),0)</f>
        <v>0</v>
      </c>
      <c r="DY22" s="42" t="n">
        <f aca="false">Tasks[[#This Row],[_Res3WorkPerWD]]*MAX(0,Tasks[[#This Row],[_StartWorkday]]-1)</f>
        <v>0</v>
      </c>
      <c r="DZ22" s="42" t="n">
        <f aca="false">Tasks[[#This Row],[_Res3Work]]*Tasks[[#This Row],[_LeafProgress]]</f>
        <v>0</v>
      </c>
      <c r="EA22" s="42" t="str">
        <f aca="false">IF(Tasks[[#This Row],[_Res4Text]]="","",IF(Tasks[[#This Row],[_Res4Row]]&gt;0,INDEX(res_Name,Tasks[[#This Row],[_Res4Row]]),TRIM(LEFT(Tasks[[#This Row],[_Res4Text]],FIND("[",Tasks[[#This Row],[_Res4Text]]&amp;"[")-1))))</f>
        <v/>
      </c>
      <c r="EB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2" s="42" t="n">
        <f aca="false">IF(OR(NOT(Tasks[[#This Row],[_IsLeaf]]=1),Tasks[[#This Row],[_Res4Row]]=0),0,N(Tasks[[#This Row],[_Days]])*HoursPerDay*IF(Tasks[[#This Row],[_Res4Units]]="",DefaultUnits,Tasks[[#This Row],[_Res4Units]]))</f>
        <v>0</v>
      </c>
      <c r="ED22" s="42" t="n">
        <f aca="false">IF(AND(AND(Tasks[[#This Row],[_IsLeaf]]=1,Tasks[[#This Row],[_LeafTotalWork]]&gt;0),Tasks[[#This Row],[_Res4Work]]&gt;0),Tasks[[#This Row],[_Res4Work]]/(Tasks[[#This Row],[_FinishWorkday]]-Tasks[[#This Row],[_StartWorkday]]+1),0)</f>
        <v>0</v>
      </c>
      <c r="EE22" s="42" t="n">
        <f aca="false">Tasks[[#This Row],[_Res4WorkPerWD]]*MAX(0,Tasks[[#This Row],[_StartWorkday]]-1)</f>
        <v>0</v>
      </c>
      <c r="EF22" s="42" t="n">
        <f aca="false">Tasks[[#This Row],[_Res4Work]]*Tasks[[#This Row],[_LeafProgress]]</f>
        <v>0</v>
      </c>
      <c r="EG22" s="42" t="n">
        <f aca="false">IF(ISNUMBER(Tasks[[#This Row],[% Complete]]),Tasks[[#This Row],[% Complete]],IF(Tasks[[#This Row],[Stage]]="",0,IFERROR(INDEX(stg_Pct,MATCH(Tasks[[#This Row],[Stage]],stg_Name,0)),0)))</f>
        <v>0</v>
      </c>
      <c r="EH22" s="42" t="n">
        <f aca="false">IF(NOT(Tasks[[#This Row],[_IsLeaf]]=1),0,IF(N(Tasks[[#This Row],[Actual Finish]])&gt;0,1,MIN(1,Tasks[[#This Row],[_Pct]])))</f>
        <v>0</v>
      </c>
      <c r="EI22" s="42" t="n">
        <f aca="false">IF(OR(NOT(Tasks[[#This Row],[_IsLeaf]]=1),Tasks[[#This Row],[_Res1Row]]=0),0,N(Tasks[[#This Row],[_Days]])*HoursPerDay*IF(Tasks[[#This Row],[_Units1]]="",DefaultUnits,Tasks[[#This Row],[_Units1]]))</f>
        <v>0</v>
      </c>
      <c r="EJ22" s="42" t="n">
        <f aca="false">Tasks[[#This Row],[_LeafWork]]+Tasks[[#This Row],[_Res2Work]]+Tasks[[#This Row],[_Res3Work]]+Tasks[[#This Row],[_Res4Work]]</f>
        <v>0</v>
      </c>
      <c r="EK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2" s="42" t="n">
        <f aca="false">IF(NOT(Tasks[[#This Row],[_IsLeaf]]=1),0,MAX(_xlfn.MAXIFS(Tasks[_Row],Tasks[_Pred1UID],Tasks[[#This Row],[UID]]),_xlfn.MAXIFS(Tasks[_Row],Tasks[_Pred2UID],Tasks[[#This Row],[UID]]),_xlfn.MAXIFS(Tasks[_Row],Tasks[_Pred3UID],Tasks[[#This Row],[UID]]),_xlfn.MAXIFS(Tasks[_Row],Tasks[_Pred4UID],Tasks[[#This Row],[UID]])))</f>
        <v>0</v>
      </c>
      <c r="ET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2" s="89" t="str">
        <f aca="false">IF(NOT(Tasks[[#This Row],[_IsLeaf]]=1),"",IF(N(Tasks[[#This Row],[_Days]])&lt;=0,Tasks[[#This Row],[_LeafLateFinish]],WORKDAY.INTL(Tasks[[#This Row],[_LeafLateFinish]],-(Tasks[[#This Row],[_Days]]-1),WorkWeek,Holidays)))</f>
        <v/>
      </c>
      <c r="EW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2" s="88" t="b">
        <f aca="false">AND(Tasks[[#This Row],[_IsLeaf]]=1,Tasks[[#This Row],[_LeafProgress]]&lt;1,N(Tasks[[#This Row],[_LeafTotalSlack]])&lt;=CriticalSlackDays)</f>
        <v>0</v>
      </c>
      <c r="EY22" s="42" t="n">
        <f aca="false">IF(AND(Tasks[[#This Row],[_IsLeaf]]=1,Tasks[[#This Row],[_ConstraintCode]]=1,Tasks[[#This Row],[Mode]]&lt;&gt;"Manual",N(Tasks[[#This Row],[Actual Start]])=0),MAX(0,N(Tasks[[#This Row],[Free Slack]])),0)</f>
        <v>0</v>
      </c>
      <c r="EZ22" s="89" t="str">
        <f aca="false">IF(NOT(Tasks[[#This Row],[_IsLeaf]]=1),"",IF(Tasks[[#This Row],[_AlapShift]]=0,Tasks[[#This Row],[_LeafCalcStart]],WORKDAY.INTL(Tasks[[#This Row],[_LeafCalcStart]],Tasks[[#This Row],[_AlapShift]],WorkWeek,Holidays)))</f>
        <v/>
      </c>
      <c r="FA22" s="89" t="str">
        <f aca="false">IF(NOT(Tasks[[#This Row],[_IsLeaf]]=1),"",IF(Tasks[[#This Row],[_AlapShift]]=0,Tasks[[#This Row],[_LeafCalcFinish]],WORKDAY.INTL(Tasks[[#This Row],[_LeafCalcFinish]],Tasks[[#This Row],[_AlapShift]],WorkWeek,Holidays)))</f>
        <v/>
      </c>
      <c r="FB22" s="89" t="str">
        <f aca="false">IF(NOT(Tasks[[#This Row],[_IsLeaf]]=1),"",IF(Tasks[[#This Row],[_AlapShift]]=0,Tasks[[#This Row],[_LeafFcstStart]],WORKDAY.INTL(Tasks[[#This Row],[_LeafFcstStart]],Tasks[[#This Row],[_AlapShift]],WorkWeek,Holidays)))</f>
        <v/>
      </c>
      <c r="FC22" s="89" t="str">
        <f aca="false">IF(NOT(Tasks[[#This Row],[_IsLeaf]]=1),"",IF(Tasks[[#This Row],[_AlapShift]]=0,Tasks[[#This Row],[_LeafFcstFinish]],WORKDAY.INTL(Tasks[[#This Row],[_LeafFcstFinish]],Tasks[[#This Row],[_AlapShift]],WorkWeek,Holidays)))</f>
        <v/>
      </c>
      <c r="FD22" s="89" t="str">
        <f aca="false">IF(Tasks[[#This Row],[Task Name]]="","",IF(Tasks[[#This Row],[_IsSummary]],MIN(INDEX(Tasks[_ShownCalcStart],Tasks[[#This Row],[_Row]]+1):INDEX(Tasks[_ShownCalcStart],Tasks[[#This Row],[_Row]]+Tasks[[#This Row],[_Descendants]])),Tasks[[#This Row],[_ShownCalcStart]]))</f>
        <v/>
      </c>
      <c r="FE22" s="89" t="str">
        <f aca="false">IF(Tasks[[#This Row],[Task Name]]="","",IF(Tasks[[#This Row],[_IsSummary]],MAX(INDEX(Tasks[_ShownCalcFinish],Tasks[[#This Row],[_Row]]+1):INDEX(Tasks[_ShownCalcFinish],Tasks[[#This Row],[_Row]]+Tasks[[#This Row],[_Descendants]])),Tasks[[#This Row],[_ShownCalcFinish]]))</f>
        <v/>
      </c>
      <c r="FF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2" s="42" t="n">
        <f aca="false">IF(AND(Tasks[[#This Row],[_IsLeaf]]=1,Tasks[[#This Row],[_LeafTotalWork]]&gt;0),NETWORKDAYS.INTL(ProjectStart,Tasks[[#This Row],[_ShownFcstStart]],WorkWeek,Holidays),0)</f>
        <v>0</v>
      </c>
      <c r="FS22" s="42" t="n">
        <f aca="false">IF(AND(Tasks[[#This Row],[_IsLeaf]]=1,Tasks[[#This Row],[_LeafTotalWork]]&gt;0),MAX(Tasks[[#This Row],[_StartWorkday]],NETWORKDAYS.INTL(ProjectStart,Tasks[[#This Row],[_ShownFcstFinish]],WorkWeek,Holidays)),0)</f>
        <v>0</v>
      </c>
      <c r="FT22" s="42" t="n">
        <f aca="false">IF(AND(Tasks[[#This Row],[_IsLeaf]]=1,Tasks[[#This Row],[_LeafTotalWork]]&gt;0),Tasks[[#This Row],[_LeafWork]]/(Tasks[[#This Row],[_FinishWorkday]]-Tasks[[#This Row],[_StartWorkday]]+1),0)</f>
        <v>0</v>
      </c>
      <c r="FU22" s="42" t="n">
        <f aca="false">Tasks[[#This Row],[_WorkPerWorkday]]*(Tasks[[#This Row],[_StartWorkday]]-1)</f>
        <v>-0</v>
      </c>
      <c r="FV22" s="42" t="n">
        <f aca="false">IF(Tasks[[#This Row],[_IsLeaf]]=1,MAX(N(Tasks[[#This Row],[_Days]]),0.1),0)</f>
        <v>0</v>
      </c>
      <c r="FW22" s="42" t="n">
        <f aca="false">Tasks[[#This Row],[_WeightDur]]*Tasks[[#This Row],[_LeafProgress]]</f>
        <v>0</v>
      </c>
      <c r="FX22" s="42" t="n">
        <f aca="false">Tasks[[#This Row],[_WeightDur]]*Tasks[[#This Row],[_PlannedPct]]</f>
        <v>0</v>
      </c>
      <c r="FY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2" s="42" t="str">
        <f aca="false">IF(AND(Tasks[[#This Row],[_IsLeaf]]=1,N(Tasks[[#This Row],[_Days]])=0,Tasks[[#This Row],[_LeafProgress]]&lt;1),Tasks[[#This Row],[_ShownFcstFinish]]+Tasks[[#This Row],[_Row]]/100000,"")</f>
        <v/>
      </c>
      <c r="GA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2" s="42" t="str">
        <f aca="false">IF(Tasks[[#This Row],[Task Name]]="","",LEFT(Tasks[[#This Row],[WBS]],FIND(".",Tasks[[#This Row],[WBS]]&amp;".")-1))</f>
        <v/>
      </c>
      <c r="GC22" s="42" t="str">
        <f aca="false">IF(AND(Tasks[[#This Row],[Task Name]]&lt;&gt;"",Tasks[[#This Row],[_Level]]=1),Tasks[[#This Row],[_Row]],"")</f>
        <v/>
      </c>
      <c r="GD22" s="42" t="str">
        <f aca="false">IF(AND(Tasks[[#This Row],[_IsLeaf]]=1,N(Tasks[[#This Row],[_Days]])=0),Tasks[[#This Row],[Planned Finish]]+Tasks[[#This Row],[_Row]]/100000,"")</f>
        <v/>
      </c>
      <c r="GE22" s="42" t="str">
        <f aca="false">IF(AND(Tasks[[#This Row],[_IsLeaf]]=1,Tasks[[#This Row],[_LeafProgress]]&lt;1,OR(N(Tasks[[#This Row],[Finish Var]])&gt;0,Tasks[[#This Row],[Status]]="Late Start")),MAX(0,Tasks[[#This Row],[Finish Var]])+1-Tasks[[#This Row],[_Row]]/1000000,"")</f>
        <v/>
      </c>
      <c r="GF22" s="42" t="str">
        <f aca="false">IF(AND(Tasks[[#This Row],[_IsLeaf]]=1,N(Tasks[[#This Row],[Actual Start]])=0,Tasks[[#This Row],[_ShownFcstStart]]&gt;=StatusDate,Tasks[[#This Row],[_ShownFcstStart]]&lt;=LookaheadEnd),Tasks[[#This Row],[_ShownFcstStart]]+Tasks[[#This Row],[_Row]]/100000,"")</f>
        <v/>
      </c>
      <c r="GG22" s="42" t="str">
        <f aca="false">IF(AND(Tasks[[#This Row],[_IsLeaf]]=1,Tasks[[#This Row],[_LeafProgress]]&lt;1,Tasks[[#This Row],[_ShownFcstFinish]]&gt;=StatusDate,Tasks[[#This Row],[_ShownFcstFinish]]&lt;=LookaheadEnd),Tasks[[#This Row],[_ShownFcstFinish]]+Tasks[[#This Row],[_Row]]/100000,"")</f>
        <v/>
      </c>
      <c r="GH22" s="42" t="str">
        <f aca="false">IF(Tasks[[#This Row],[_LeafCritical]],Tasks[[#This Row],[_ShownFcstStart]]+Tasks[[#This Row],[_Row]]/100000,"")</f>
        <v/>
      </c>
      <c r="GI22" s="42" t="n">
        <f aca="false">Tasks[[#This Row],[_LeafWork]]*Tasks[[#This Row],[_LeafProgress]]</f>
        <v>0</v>
      </c>
      <c r="GJ22" s="89" t="str">
        <f aca="false">IF(AND(Tasks[[#This Row],[_IsLeaf]]=1,Tasks[[#This Row],[_LeafProgress]]&gt;=1),IF(N(Tasks[[#This Row],[Actual Finish]])&gt;0,Tasks[[#This Row],[Actual Finish]],Tasks[[#This Row],[_ShownFcstFinish]]),"")</f>
        <v/>
      </c>
      <c r="GK22" s="42" t="n">
        <f aca="false">IF(Tasks[[#This Row],[_IsLeaf]]=1,N(Tasks[[#This Row],[Story Points]]),0)</f>
        <v>0</v>
      </c>
      <c r="GL22" s="42" t="str">
        <f aca="false">""</f>
        <v/>
      </c>
      <c r="GM22" s="88" t="b">
        <f aca="false">IF(Tasks[[#This Row],[Task Name]]="",FALSE(),AND(Tasks[[#This Row],[_IsLeaf]]=1,N(Tasks[[#This Row],[_Days]])=0))</f>
        <v>0</v>
      </c>
      <c r="GN22" s="89" t="n">
        <f aca="false">IF(Tasks[[#This Row],[Task Name]]="",0,IF(AND(Tasks[[#This Row],[_IsLeaf]]=1,NOT(Tasks[[#This Row],[_IsMilestone]]),N(Tasks[[#This Row],[Progress]])&gt;0),Tasks[[#This Row],[Start]],0))</f>
        <v>0</v>
      </c>
      <c r="GO22" s="89" t="n">
        <f aca="false">IF(Tasks[[#This Row],[_DoneFrom]]=0,0,IF(Tasks[[#This Row],[Progress]]&gt;=1,Tasks[[#This Row],[Finish]],MAX(Tasks[[#This Row],[_DoneFrom]],Tasks[[#This Row],[Start]]+ROUND((Tasks[[#This Row],[Finish]]-Tasks[[#This Row],[Start]]+1)*Tasks[[#This Row],[Progress]],0)-1)))</f>
        <v>0</v>
      </c>
      <c r="GP22" s="89" t="n">
        <f aca="false">IF(Tasks[[#This Row],[Task Name]]="",0,IF(OR(NOT(Tasks[[#This Row],[_IsLeaf]]=1),Tasks[[#This Row],[_IsMilestone]],N(Tasks[[#This Row],[Progress]])&gt;=1),0,IF(Tasks[[#This Row],[_DoneTo]]&gt;0,Tasks[[#This Row],[_DoneTo]]+1,Tasks[[#This Row],[Start]])))</f>
        <v>0</v>
      </c>
      <c r="GQ22" s="89" t="n">
        <f aca="false">IF(Tasks[[#This Row],[_RemFrom]]=0,0,Tasks[[#This Row],[Finish]])</f>
        <v>0</v>
      </c>
      <c r="GR22" s="88" t="b">
        <f aca="false">IF(Tasks[[#This Row],[Task Name]]="",FALSE(),OR(NOT(BaselineSet),N(Tasks[[#This Row],[Baseline Start]])&gt;0))</f>
        <v>0</v>
      </c>
      <c r="GS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2" s="90" t="str">
        <f aca="false">IF(Tasks[[#This Row],[_IsLeaf]]=1,Tasks[[#This Row],[_Row]],"")</f>
        <v/>
      </c>
      <c r="GW22" s="90" t="str">
        <f aca="false">IFERROR(INDEX(Tasks[UID],SMALL(Tasks[_PickKey],Tasks[[#This Row],[_Row]]))&amp;" "&amp;INDEX(Tasks[Task Name],SMALL(Tasks[_PickKey],Tasks[[#This Row],[_Row]])),"")</f>
        <v/>
      </c>
      <c r="GX22" s="42" t="str">
        <f aca="false">IF(Tasks[[#This Row],[Task Name]]="","",IF(Tasks[[#This Row],[_IsSummary]],NETWORKDAYS.INTL(Tasks[[#This Row],[Start]],Tasks[[#This Row],[Finish]],WorkWeek,Holidays),N(Tasks[[#This Row],[_Days]])))</f>
        <v/>
      </c>
    </row>
    <row r="23" customFormat="false" ht="15" hidden="false" customHeight="false" outlineLevel="0" collapsed="false">
      <c r="A23" s="21" t="str">
        <f aca="false">IF(Tasks[[#This Row],[Task Name]]="","",COUNTA(Tasks[[#Headers],[Task Name]]:Tasks[[#This Row],[Task Name]])-1)</f>
        <v/>
      </c>
      <c r="B23" s="22" t="n">
        <v>31</v>
      </c>
      <c r="C23" s="22"/>
      <c r="D23" s="23"/>
      <c r="E23" s="22"/>
      <c r="F23" s="23"/>
      <c r="G23" s="22"/>
      <c r="H23" s="22"/>
      <c r="I23" s="23"/>
      <c r="J23" s="22"/>
      <c r="K23" s="22"/>
      <c r="L23" s="23"/>
      <c r="M23" s="22"/>
      <c r="N23" s="22"/>
      <c r="O23" s="23"/>
      <c r="P23" s="22"/>
      <c r="Q23" s="22"/>
      <c r="R23" s="23"/>
      <c r="S23" s="23"/>
      <c r="T23" s="83"/>
      <c r="U23" s="23"/>
      <c r="V23" s="83"/>
      <c r="W23" s="23"/>
      <c r="X23" s="83"/>
      <c r="Y23" s="23"/>
      <c r="Z23" s="83"/>
      <c r="AA23" s="23"/>
      <c r="AB23" s="23"/>
      <c r="AC23" s="7"/>
      <c r="AD23" s="7"/>
      <c r="AE23" s="62" t="str">
        <f aca="false">IF(Tasks[[#This Row],[Task Name]]="","",IF(Tasks[[#This Row],[_IsSummary]],MIN(INDEX(Tasks[_ShownFcstStart],Tasks[[#This Row],[_Row]]+1):INDEX(Tasks[_ShownFcstStart],Tasks[[#This Row],[_Row]]+Tasks[[#This Row],[_Descendants]])),Tasks[[#This Row],[_ShownFcstStart]]))</f>
        <v/>
      </c>
      <c r="AF23" s="62" t="str">
        <f aca="false">IF(Tasks[[#This Row],[Task Name]]="","",IF(Tasks[[#This Row],[_IsSummary]],MAX(INDEX(Tasks[_ShownFcstFinish],Tasks[[#This Row],[_Row]]+1):INDEX(Tasks[_ShownFcstFinish],Tasks[[#This Row],[_Row]]+Tasks[[#This Row],[_Descendants]])),Tasks[[#This Row],[_ShownFcstFinish]]))</f>
        <v/>
      </c>
      <c r="AG23" s="21" t="str">
        <f aca="false">""</f>
        <v/>
      </c>
      <c r="AH23" s="23"/>
      <c r="AI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3" s="7"/>
      <c r="AK23" s="22"/>
      <c r="AL23" s="23"/>
      <c r="AM23" s="7"/>
      <c r="AN23" s="46" t="str">
        <f aca="false">IF(Tasks[[#This Row],[Task Name]]="","",IF(Tasks[[#This Row],[Finish]]&gt;=Tasks[[#This Row],[Planned Finish]],NETWORKDAYS.INTL(Tasks[[#This Row],[Planned Finish]],Tasks[[#This Row],[Finish]],WorkWeek,Holidays)-1,1-NETWORKDAYS.INTL(Tasks[[#This Row],[Finish]],Tasks[[#This Row],[Planned Finish]],WorkWeek,Holidays)))</f>
        <v/>
      </c>
      <c r="AO23" s="21" t="str">
        <f aca="false">IF(Tasks[[#This Row],[Task Name]]="","",IF(Tasks[[#This Row],[Progress]]&gt;=1,"Complete",IF(OR(N(Tasks[[#This Row],[Actual Start]])&gt;0,Tasks[[#This Row],[Progress]]&gt;0),IF(Tasks[[#This Row],[Finish Var]]&gt;0,"Behind","In Progress"),IF(Tasks[[#This Row],[Planned Start]]&lt;StatusDate,"Late Start","Not Started"))))</f>
        <v/>
      </c>
      <c r="AP23" s="21" t="str">
        <f aca="false">IF(Tasks[[#This Row],[Task Name]]="","",IF(IF(Tasks[[#This Row],[_IsSummary]],COUNTIF(INDEX(Tasks[_LeafCritical],Tasks[[#This Row],[_Row]]+1):INDEX(Tasks[_LeafCritical],Tasks[[#This Row],[_Row]]+Tasks[[#This Row],[_Descendants]]),TRUE())&gt;0,Tasks[[#This Row],[_LeafCritical]]),"Yes",""))</f>
        <v/>
      </c>
      <c r="AQ23" s="62" t="str">
        <f aca="false">IF(Tasks[[#This Row],[Task Name]]="","",IF(N(Tasks[[#This Row],[Baseline Start]])&gt;0,Tasks[[#This Row],[Baseline Start]],Tasks[[#This Row],[_CalcStart]]))</f>
        <v/>
      </c>
      <c r="AR23" s="62" t="str">
        <f aca="false">IF(Tasks[[#This Row],[Task Name]]="","",IF(N(Tasks[[#This Row],[Baseline Finish]])&gt;0,Tasks[[#This Row],[Baseline Finish]],Tasks[[#This Row],[_CalcFinish]]))</f>
        <v/>
      </c>
      <c r="AS23" s="46" t="str">
        <f aca="false">IF(Tasks[[#This Row],[Task Name]]="","",IF(Tasks[[#This Row],[Start]]&gt;=Tasks[[#This Row],[Planned Start]],NETWORKDAYS.INTL(Tasks[[#This Row],[Planned Start]],Tasks[[#This Row],[Start]],WorkWeek,Holidays)-1,1-NETWORKDAYS.INTL(Tasks[[#This Row],[Start]],Tasks[[#This Row],[Planned Start]],WorkWeek,Holidays)))</f>
        <v/>
      </c>
      <c r="AT23" s="62" t="str">
        <f aca="false">IF(Tasks[[#This Row],[Task Name]]="","",IF(Tasks[[#This Row],[_IsSummary]],MIN(INDEX(Tasks[_LeafLateStart],Tasks[[#This Row],[_Row]]+1):INDEX(Tasks[_LeafLateStart],Tasks[[#This Row],[_Row]]+Tasks[[#This Row],[_Descendants]])),Tasks[[#This Row],[_LeafLateStart]]))</f>
        <v/>
      </c>
      <c r="AU23" s="62" t="str">
        <f aca="false">IF(Tasks[[#This Row],[Task Name]]="","",IF(Tasks[[#This Row],[_IsSummary]],MAX(INDEX(Tasks[_LeafLateFinish],Tasks[[#This Row],[_Row]]+1):INDEX(Tasks[_LeafLateFinish],Tasks[[#This Row],[_Row]]+Tasks[[#This Row],[_Descendants]])),Tasks[[#This Row],[_LeafLateFinish]]))</f>
        <v/>
      </c>
      <c r="AV23" s="46" t="str">
        <f aca="false">IF(Tasks[[#This Row],[Task Name]]="","",IF(Tasks[[#This Row],[_IsSummary]],MIN(INDEX(Tasks[_LeafTotalSlack],Tasks[[#This Row],[_Row]]+1):INDEX(Tasks[_LeafTotalSlack],Tasks[[#This Row],[_Row]]+Tasks[[#This Row],[_Descendants]])),Tasks[[#This Row],[_LeafTotalSlack]]))</f>
        <v/>
      </c>
      <c r="AW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4"/>
      <c r="BA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t="str">
        <f aca="false">IF(Tasks[[#This Row],[Task Name]]="","",IF(Tasks[[#This Row],[_Level]]&lt;=OutlineShowLevel,"Yes","No"))</f>
        <v/>
      </c>
      <c r="BE23" s="85" t="str">
        <f aca="false">IF(Tasks[[#This Row],[Task Name]]="","",IF(Tasks[[#This Row],[_IsSummary]],SUM(INDEX(Tasks[_LeafTotalWork],Tasks[[#This Row],[_Row]]+1):INDEX(Tasks[_LeafTotalWork],Tasks[[#This Row],[_Row]]+Tasks[[#This Row],[_Descendants]])),Tasks[[#This Row],[_LeafTotalWork]]))</f>
        <v/>
      </c>
      <c r="BF23" s="23"/>
      <c r="BG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t="str">
        <f aca="false">""</f>
        <v/>
      </c>
      <c r="BI23" s="86"/>
      <c r="BJ23" s="22"/>
      <c r="BK23" s="46" t="str">
        <f aca="false">IF(OR(Tasks[[#This Row],[Task Name]]="",Tasks[[#This Row],[Baseline Duration]]=""),"",Tasks[[#This Row],[_SpanDays]]-N(Tasks[[#This Row],[Baseline Duration]]))</f>
        <v/>
      </c>
      <c r="BL23" s="85" t="str">
        <f aca="false">IF(OR(Tasks[[#This Row],[Task Name]]="",Tasks[[#This Row],[Baseline Work]]=""),"",Tasks[[#This Row],[Work]]-N(Tasks[[#This Row],[Baseline Work]]))</f>
        <v/>
      </c>
      <c r="BM23" s="62" t="str">
        <f aca="false">IF(Tasks[[#This Row],[Task Name]]="","",IF(OR(TakeBaseline="Yes",N(Tasks[[#This Row],[Baseline Start]])=0),Tasks[[#This Row],[Start]],Tasks[[#This Row],[Baseline Start]]))</f>
        <v/>
      </c>
      <c r="BN23" s="62" t="str">
        <f aca="false">IF(Tasks[[#This Row],[Task Name]]="","",IF(OR(TakeBaseline="Yes",N(Tasks[[#This Row],[Baseline Finish]])=0),Tasks[[#This Row],[Finish]],Tasks[[#This Row],[Baseline Finish]]))</f>
        <v/>
      </c>
      <c r="BO23" s="21" t="str">
        <f aca="false">IF(Tasks[[#This Row],[Task Name]]="","",IF(OR(TakeBaseline="Yes",N(Tasks[[#This Row],[Baseline Duration]])=0),Tasks[[#This Row],[_SpanDays]],Tasks[[#This Row],[Baseline Duration]]))</f>
        <v/>
      </c>
      <c r="BP23" s="85" t="str">
        <f aca="false">IF(Tasks[[#This Row],[Task Name]]="","",IF(OR(TakeBaseline="Yes",N(Tasks[[#This Row],[Baseline Work]])=0),Tasks[[#This Row],[Work]],Tasks[[#This Row],[Baseline Work]]))</f>
        <v/>
      </c>
      <c r="BQ23" s="7"/>
      <c r="BR23" s="7"/>
      <c r="BS23" s="22"/>
      <c r="BT23" s="87"/>
      <c r="BU23" s="42" t="str">
        <f aca="false">IF(Tasks[[#This Row],[Task Name]]="","",MAX(1,N(Tasks[[#This Row],[Level]])))</f>
        <v/>
      </c>
      <c r="BV23" s="42" t="n">
        <f aca="false">ROW()-ROW(Tasks[[#Headers],[ID]])</f>
        <v>18</v>
      </c>
      <c r="BW23" s="42" t="n">
        <f aca="false">IF(OR(Tasks[[#This Row],[Task Name]]="",Tasks[[#This Row],[_Level]]&lt;=1),0,IFERROR(LOOKUP(2,1/(Tasks[[#Headers],[_Level]]:Tasks[[#This Row],[_Level]]=Tasks[[#This Row],[_Level]]-1),ROW(Tasks[[#Headers],[_Level]]:Tasks[[#This Row],[_Level]])),0))</f>
        <v>0</v>
      </c>
      <c r="BX23" s="42" t="n">
        <f aca="false">IFERROR(N(INDEX(Tasks[_Level],Tasks[[#This Row],[_Row]]+1)),0)</f>
        <v>0</v>
      </c>
      <c r="BY23" s="88" t="b">
        <f aca="false">AND(Tasks[[#This Row],[Task Name]]&lt;&gt;"",Tasks[[#This Row],[_NextLevel]]&gt;Tasks[[#This Row],[_Level]])</f>
        <v>0</v>
      </c>
      <c r="BZ23" s="42" t="n">
        <f aca="false">IF(Tasks[[#This Row],[_IsSummary]],COUNTIF(Tasks[WBS],Tasks[[#This Row],[WBS]]&amp;".*"),0)</f>
        <v>0</v>
      </c>
      <c r="CA23" s="42" t="n">
        <f aca="false">IF(AND(Tasks[[#This Row],[Task Name]]&lt;&gt;"",NOT(Tasks[[#This Row],[_IsSummary]])),1,0)</f>
        <v>0</v>
      </c>
      <c r="CB23" s="42" t="n">
        <f aca="false">IF(N(Tasks[[#This Row],[_Pred1UID]])=0,0,IFERROR(MATCH(Tasks[[#This Row],[_Pred1UID]],Tasks[UID],0),-1))</f>
        <v>0</v>
      </c>
      <c r="CC23" s="42" t="n">
        <f aca="false">IF(N(Tasks[[#This Row],[_Pred2UID]])=0,0,IFERROR(MATCH(Tasks[[#This Row],[_Pred2UID]],Tasks[UID],0),-1))</f>
        <v>0</v>
      </c>
      <c r="CD23" s="42" t="n">
        <f aca="false">IF(N(Tasks[[#This Row],[_Pred3UID]])=0,0,IFERROR(MATCH(Tasks[[#This Row],[_Pred3UID]],Tasks[UID],0),-1))</f>
        <v>0</v>
      </c>
      <c r="CE23" s="42" t="n">
        <f aca="false">IF(N(Tasks[[#This Row],[_Pred4UID]])=0,0,IFERROR(MATCH(Tasks[[#This Row],[_Pred4UID]],Tasks[UID],0),-1))</f>
        <v>0</v>
      </c>
      <c r="CF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3" s="89" t="n">
        <f aca="false">IF(OR(Tasks[[#This Row],[_ConstraintCode]]=2,Tasks[[#This Row],[_ConstraintCode]]=3,Tasks[[#This Row],[_ConstraintCode]]=4,Tasks[[#This Row],[_ConstraintCode]]=6),Tasks[[#This Row],[_ConstraintStart]],0)</f>
        <v>0</v>
      </c>
      <c r="CI23" s="89" t="n">
        <f aca="false">IF(OR(Tasks[[#This Row],[_ConstraintCode]]=2,Tasks[[#This Row],[_ConstraintCode]]=3,Tasks[[#This Row],[_ConstraintCode]]=5,Tasks[[#This Row],[_ConstraintCode]]=7),Tasks[[#This Row],[_ConstraintStart]],2958465)</f>
        <v>2958465</v>
      </c>
      <c r="CJ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3" s="89" t="str">
        <f aca="false">IF(NOT(Tasks[[#This Row],[_IsLeaf]]=1),"",IF(N(Tasks[[#This Row],[_Days]])&lt;=0,Tasks[[#This Row],[_LeafCalcStart]],WORKDAY.INTL(Tasks[[#This Row],[_LeafCalcStart]],Tasks[[#This Row],[_Days]]-1,WorkWeek,Holidays)))</f>
        <v/>
      </c>
      <c r="CL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3" s="42" t="str">
        <f aca="false">IF(Tasks[[#This Row],[_Predecessors]]="","",TRIM(MID(SUBSTITUTE(SUBSTITUTE(SUBSTITUTE(UPPER(Tasks[[#This Row],[_Predecessors]]),";",",")," ",""),",",REPT(" ",99)),1,99)))</f>
        <v/>
      </c>
      <c r="CO23" s="42" t="str">
        <f aca="false">IF(Tasks[[#This Row],[_Pred1Text]]="","",IFERROR(VALUE(LEFT(Tasks[[#This Row],[_Pred1Text]],MIN(FIND("F",Tasks[[#This Row],[_Pred1Text]]&amp;"F"),FIND("S",Tasks[[#This Row],[_Pred1Text]]&amp;"S"),FIND("+",Tasks[[#This Row],[_Pred1Text]]&amp;"+"),FIND("-",Tasks[[#This Row],[_Pred1Text]]&amp;"-"))-1)),""))</f>
        <v/>
      </c>
      <c r="CP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3" s="42" t="str">
        <f aca="false">IF(Tasks[[#This Row],[_Pred1Text]]="","",TRIM(MID(SUBSTITUTE(SUBSTITUTE(SUBSTITUTE(UPPER(Tasks[[#This Row],[_Predecessors]]),";",",")," ",""),",",REPT(" ",99)),100,99)))</f>
        <v/>
      </c>
      <c r="CS23" s="42" t="str">
        <f aca="false">IF(Tasks[[#This Row],[_Pred2Text]]="","",IFERROR(VALUE(LEFT(Tasks[[#This Row],[_Pred2Text]],MIN(FIND("F",Tasks[[#This Row],[_Pred2Text]]&amp;"F"),FIND("S",Tasks[[#This Row],[_Pred2Text]]&amp;"S"),FIND("+",Tasks[[#This Row],[_Pred2Text]]&amp;"+"),FIND("-",Tasks[[#This Row],[_Pred2Text]]&amp;"-"))-1)),""))</f>
        <v/>
      </c>
      <c r="CT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3" s="42" t="str">
        <f aca="false">IF(Tasks[[#This Row],[_Pred2Text]]="","",TRIM(MID(SUBSTITUTE(SUBSTITUTE(SUBSTITUTE(UPPER(Tasks[[#This Row],[_Predecessors]]),";",",")," ",""),",",REPT(" ",99)),199,99)))</f>
        <v/>
      </c>
      <c r="CW23" s="42" t="str">
        <f aca="false">IF(Tasks[[#This Row],[_Pred3Text]]="","",IFERROR(VALUE(LEFT(Tasks[[#This Row],[_Pred3Text]],MIN(FIND("F",Tasks[[#This Row],[_Pred3Text]]&amp;"F"),FIND("S",Tasks[[#This Row],[_Pred3Text]]&amp;"S"),FIND("+",Tasks[[#This Row],[_Pred3Text]]&amp;"+"),FIND("-",Tasks[[#This Row],[_Pred3Text]]&amp;"-"))-1)),""))</f>
        <v/>
      </c>
      <c r="CX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3" s="42" t="str">
        <f aca="false">IF(Tasks[[#This Row],[_Pred3Text]]="","",TRIM(MID(SUBSTITUTE(SUBSTITUTE(SUBSTITUTE(UPPER(Tasks[[#This Row],[_Predecessors]]),";",",")," ",""),",",REPT(" ",99)),298,99)))</f>
        <v/>
      </c>
      <c r="DA23" s="42" t="str">
        <f aca="false">IF(Tasks[[#This Row],[_Pred4Text]]="","",IFERROR(VALUE(LEFT(Tasks[[#This Row],[_Pred4Text]],MIN(FIND("F",Tasks[[#This Row],[_Pred4Text]]&amp;"F"),FIND("S",Tasks[[#This Row],[_Pred4Text]]&amp;"S"),FIND("+",Tasks[[#This Row],[_Pred4Text]]&amp;"+"),FIND("-",Tasks[[#This Row],[_Pred4Text]]&amp;"-"))-1)),""))</f>
        <v/>
      </c>
      <c r="DB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3" s="42" t="str">
        <f aca="false">IF(OR(Tasks[[#This Row],[Task Name]]="",Tasks[[#This Row],[_Resources]]=""),"",TRIM(MID(SUBSTITUTE(Tasks[[#This Row],[_Resources]],",",REPT(" ",99)),1,99)))</f>
        <v/>
      </c>
      <c r="DE23" s="42" t="str">
        <f aca="false">IF(Tasks[[#This Row],[_Res1Text]]="","",TRIM(MID(SUBSTITUTE(Tasks[[#This Row],[_Resources]],",",REPT(" ",99)),100,99)))</f>
        <v/>
      </c>
      <c r="DF23" s="42" t="str">
        <f aca="false">IF(Tasks[[#This Row],[_Res2Text]]="","",TRIM(MID(SUBSTITUTE(Tasks[[#This Row],[_Resources]],",",REPT(" ",99)),199,99)))</f>
        <v/>
      </c>
      <c r="DG23" s="42" t="str">
        <f aca="false">IF(Tasks[[#This Row],[_Res3Text]]="","",TRIM(MID(SUBSTITUTE(Tasks[[#This Row],[_Resources]],",",REPT(" ",99)),298,99)))</f>
        <v/>
      </c>
      <c r="DH23" s="42" t="n">
        <f aca="false">IF(Tasks[[#This Row],[_Res1Text]]="",0,IFERROR(MATCH(TRIM(LEFT(Tasks[[#This Row],[_Res1Text]],FIND("[",Tasks[[#This Row],[_Res1Text]]&amp;"[")-1)),res_Name,0),IFERROR(MATCH(TRIM(LEFT(Tasks[[#This Row],[_Res1Text]],FIND("[",Tasks[[#This Row],[_Res1Text]]&amp;"[")-1)),res_Initials,0),0)))</f>
        <v>0</v>
      </c>
      <c r="DI23" s="42" t="n">
        <f aca="false">IF(Tasks[[#This Row],[_Res2Text]]="",0,IFERROR(MATCH(TRIM(LEFT(Tasks[[#This Row],[_Res2Text]],FIND("[",Tasks[[#This Row],[_Res2Text]]&amp;"[")-1)),res_Name,0),IFERROR(MATCH(TRIM(LEFT(Tasks[[#This Row],[_Res2Text]],FIND("[",Tasks[[#This Row],[_Res2Text]]&amp;"[")-1)),res_Initials,0),0)))</f>
        <v>0</v>
      </c>
      <c r="DJ23" s="42" t="n">
        <f aca="false">IF(Tasks[[#This Row],[_Res3Text]]="",0,IFERROR(MATCH(TRIM(LEFT(Tasks[[#This Row],[_Res3Text]],FIND("[",Tasks[[#This Row],[_Res3Text]]&amp;"[")-1)),res_Name,0),IFERROR(MATCH(TRIM(LEFT(Tasks[[#This Row],[_Res3Text]],FIND("[",Tasks[[#This Row],[_Res3Text]]&amp;"[")-1)),res_Initials,0),0)))</f>
        <v>0</v>
      </c>
      <c r="DK23" s="42" t="n">
        <f aca="false">IF(Tasks[[#This Row],[_Res4Text]]="",0,IFERROR(MATCH(TRIM(LEFT(Tasks[[#This Row],[_Res4Text]],FIND("[",Tasks[[#This Row],[_Res4Text]]&amp;"[")-1)),res_Name,0),IFERROR(MATCH(TRIM(LEFT(Tasks[[#This Row],[_Res4Text]],FIND("[",Tasks[[#This Row],[_Res4Text]]&amp;"[")-1)),res_Initials,0),0)))</f>
        <v>0</v>
      </c>
      <c r="DL23" s="42" t="str">
        <f aca="false">IF(Tasks[[#This Row],[_Res1Text]]="","",IF(Tasks[[#This Row],[_Res1Row]]&gt;0,INDEX(res_Name,Tasks[[#This Row],[_Res1Row]]),TRIM(LEFT(Tasks[[#This Row],[_Res1Text]],FIND("[",Tasks[[#This Row],[_Res1Text]]&amp;"[")-1))))</f>
        <v/>
      </c>
      <c r="DM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3" s="42" t="n">
        <f aca="false">IF(NOT(Tasks[[#This Row],[_IsLeaf]]=1),0,(Tasks[[#This Row],[_Resource1]]&lt;&gt;"")+(Tasks[[#This Row],[_Res2]]&lt;&gt;"")+(Tasks[[#This Row],[_Res3]]&lt;&gt;"")+(Tasks[[#This Row],[_Res4]]&lt;&gt;""))</f>
        <v>0</v>
      </c>
      <c r="DO23" s="42" t="str">
        <f aca="false">IF(Tasks[[#This Row],[_Res2Text]]="","",IF(Tasks[[#This Row],[_Res2Row]]&gt;0,INDEX(res_Name,Tasks[[#This Row],[_Res2Row]]),TRIM(LEFT(Tasks[[#This Row],[_Res2Text]],FIND("[",Tasks[[#This Row],[_Res2Text]]&amp;"[")-1))))</f>
        <v/>
      </c>
      <c r="DP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3" s="42" t="n">
        <f aca="false">IF(OR(NOT(Tasks[[#This Row],[_IsLeaf]]=1),Tasks[[#This Row],[_Res2Row]]=0),0,N(Tasks[[#This Row],[_Days]])*HoursPerDay*IF(Tasks[[#This Row],[_Res2Units]]="",DefaultUnits,Tasks[[#This Row],[_Res2Units]]))</f>
        <v>0</v>
      </c>
      <c r="DR23" s="42" t="n">
        <f aca="false">IF(AND(AND(Tasks[[#This Row],[_IsLeaf]]=1,Tasks[[#This Row],[_LeafTotalWork]]&gt;0),Tasks[[#This Row],[_Res2Work]]&gt;0),Tasks[[#This Row],[_Res2Work]]/(Tasks[[#This Row],[_FinishWorkday]]-Tasks[[#This Row],[_StartWorkday]]+1),0)</f>
        <v>0</v>
      </c>
      <c r="DS23" s="42" t="n">
        <f aca="false">Tasks[[#This Row],[_Res2WorkPerWD]]*MAX(0,Tasks[[#This Row],[_StartWorkday]]-1)</f>
        <v>0</v>
      </c>
      <c r="DT23" s="42" t="n">
        <f aca="false">Tasks[[#This Row],[_Res2Work]]*Tasks[[#This Row],[_LeafProgress]]</f>
        <v>0</v>
      </c>
      <c r="DU23" s="42" t="str">
        <f aca="false">IF(Tasks[[#This Row],[_Res3Text]]="","",IF(Tasks[[#This Row],[_Res3Row]]&gt;0,INDEX(res_Name,Tasks[[#This Row],[_Res3Row]]),TRIM(LEFT(Tasks[[#This Row],[_Res3Text]],FIND("[",Tasks[[#This Row],[_Res3Text]]&amp;"[")-1))))</f>
        <v/>
      </c>
      <c r="DV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3" s="42" t="n">
        <f aca="false">IF(OR(NOT(Tasks[[#This Row],[_IsLeaf]]=1),Tasks[[#This Row],[_Res3Row]]=0),0,N(Tasks[[#This Row],[_Days]])*HoursPerDay*IF(Tasks[[#This Row],[_Res3Units]]="",DefaultUnits,Tasks[[#This Row],[_Res3Units]]))</f>
        <v>0</v>
      </c>
      <c r="DX23" s="42" t="n">
        <f aca="false">IF(AND(AND(Tasks[[#This Row],[_IsLeaf]]=1,Tasks[[#This Row],[_LeafTotalWork]]&gt;0),Tasks[[#This Row],[_Res3Work]]&gt;0),Tasks[[#This Row],[_Res3Work]]/(Tasks[[#This Row],[_FinishWorkday]]-Tasks[[#This Row],[_StartWorkday]]+1),0)</f>
        <v>0</v>
      </c>
      <c r="DY23" s="42" t="n">
        <f aca="false">Tasks[[#This Row],[_Res3WorkPerWD]]*MAX(0,Tasks[[#This Row],[_StartWorkday]]-1)</f>
        <v>0</v>
      </c>
      <c r="DZ23" s="42" t="n">
        <f aca="false">Tasks[[#This Row],[_Res3Work]]*Tasks[[#This Row],[_LeafProgress]]</f>
        <v>0</v>
      </c>
      <c r="EA23" s="42" t="str">
        <f aca="false">IF(Tasks[[#This Row],[_Res4Text]]="","",IF(Tasks[[#This Row],[_Res4Row]]&gt;0,INDEX(res_Name,Tasks[[#This Row],[_Res4Row]]),TRIM(LEFT(Tasks[[#This Row],[_Res4Text]],FIND("[",Tasks[[#This Row],[_Res4Text]]&amp;"[")-1))))</f>
        <v/>
      </c>
      <c r="EB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3" s="42" t="n">
        <f aca="false">IF(OR(NOT(Tasks[[#This Row],[_IsLeaf]]=1),Tasks[[#This Row],[_Res4Row]]=0),0,N(Tasks[[#This Row],[_Days]])*HoursPerDay*IF(Tasks[[#This Row],[_Res4Units]]="",DefaultUnits,Tasks[[#This Row],[_Res4Units]]))</f>
        <v>0</v>
      </c>
      <c r="ED23" s="42" t="n">
        <f aca="false">IF(AND(AND(Tasks[[#This Row],[_IsLeaf]]=1,Tasks[[#This Row],[_LeafTotalWork]]&gt;0),Tasks[[#This Row],[_Res4Work]]&gt;0),Tasks[[#This Row],[_Res4Work]]/(Tasks[[#This Row],[_FinishWorkday]]-Tasks[[#This Row],[_StartWorkday]]+1),0)</f>
        <v>0</v>
      </c>
      <c r="EE23" s="42" t="n">
        <f aca="false">Tasks[[#This Row],[_Res4WorkPerWD]]*MAX(0,Tasks[[#This Row],[_StartWorkday]]-1)</f>
        <v>0</v>
      </c>
      <c r="EF23" s="42" t="n">
        <f aca="false">Tasks[[#This Row],[_Res4Work]]*Tasks[[#This Row],[_LeafProgress]]</f>
        <v>0</v>
      </c>
      <c r="EG23" s="42" t="n">
        <f aca="false">IF(ISNUMBER(Tasks[[#This Row],[% Complete]]),Tasks[[#This Row],[% Complete]],IF(Tasks[[#This Row],[Stage]]="",0,IFERROR(INDEX(stg_Pct,MATCH(Tasks[[#This Row],[Stage]],stg_Name,0)),0)))</f>
        <v>0</v>
      </c>
      <c r="EH23" s="42" t="n">
        <f aca="false">IF(NOT(Tasks[[#This Row],[_IsLeaf]]=1),0,IF(N(Tasks[[#This Row],[Actual Finish]])&gt;0,1,MIN(1,Tasks[[#This Row],[_Pct]])))</f>
        <v>0</v>
      </c>
      <c r="EI23" s="42" t="n">
        <f aca="false">IF(OR(NOT(Tasks[[#This Row],[_IsLeaf]]=1),Tasks[[#This Row],[_Res1Row]]=0),0,N(Tasks[[#This Row],[_Days]])*HoursPerDay*IF(Tasks[[#This Row],[_Units1]]="",DefaultUnits,Tasks[[#This Row],[_Units1]]))</f>
        <v>0</v>
      </c>
      <c r="EJ23" s="42" t="n">
        <f aca="false">Tasks[[#This Row],[_LeafWork]]+Tasks[[#This Row],[_Res2Work]]+Tasks[[#This Row],[_Res3Work]]+Tasks[[#This Row],[_Res4Work]]</f>
        <v>0</v>
      </c>
      <c r="EK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3" s="42" t="n">
        <f aca="false">IF(NOT(Tasks[[#This Row],[_IsLeaf]]=1),0,MAX(_xlfn.MAXIFS(Tasks[_Row],Tasks[_Pred1UID],Tasks[[#This Row],[UID]]),_xlfn.MAXIFS(Tasks[_Row],Tasks[_Pred2UID],Tasks[[#This Row],[UID]]),_xlfn.MAXIFS(Tasks[_Row],Tasks[_Pred3UID],Tasks[[#This Row],[UID]]),_xlfn.MAXIFS(Tasks[_Row],Tasks[_Pred4UID],Tasks[[#This Row],[UID]])))</f>
        <v>0</v>
      </c>
      <c r="ET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3" s="89" t="str">
        <f aca="false">IF(NOT(Tasks[[#This Row],[_IsLeaf]]=1),"",IF(N(Tasks[[#This Row],[_Days]])&lt;=0,Tasks[[#This Row],[_LeafLateFinish]],WORKDAY.INTL(Tasks[[#This Row],[_LeafLateFinish]],-(Tasks[[#This Row],[_Days]]-1),WorkWeek,Holidays)))</f>
        <v/>
      </c>
      <c r="EW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3" s="88" t="b">
        <f aca="false">AND(Tasks[[#This Row],[_IsLeaf]]=1,Tasks[[#This Row],[_LeafProgress]]&lt;1,N(Tasks[[#This Row],[_LeafTotalSlack]])&lt;=CriticalSlackDays)</f>
        <v>0</v>
      </c>
      <c r="EY23" s="42" t="n">
        <f aca="false">IF(AND(Tasks[[#This Row],[_IsLeaf]]=1,Tasks[[#This Row],[_ConstraintCode]]=1,Tasks[[#This Row],[Mode]]&lt;&gt;"Manual",N(Tasks[[#This Row],[Actual Start]])=0),MAX(0,N(Tasks[[#This Row],[Free Slack]])),0)</f>
        <v>0</v>
      </c>
      <c r="EZ23" s="89" t="str">
        <f aca="false">IF(NOT(Tasks[[#This Row],[_IsLeaf]]=1),"",IF(Tasks[[#This Row],[_AlapShift]]=0,Tasks[[#This Row],[_LeafCalcStart]],WORKDAY.INTL(Tasks[[#This Row],[_LeafCalcStart]],Tasks[[#This Row],[_AlapShift]],WorkWeek,Holidays)))</f>
        <v/>
      </c>
      <c r="FA23" s="89" t="str">
        <f aca="false">IF(NOT(Tasks[[#This Row],[_IsLeaf]]=1),"",IF(Tasks[[#This Row],[_AlapShift]]=0,Tasks[[#This Row],[_LeafCalcFinish]],WORKDAY.INTL(Tasks[[#This Row],[_LeafCalcFinish]],Tasks[[#This Row],[_AlapShift]],WorkWeek,Holidays)))</f>
        <v/>
      </c>
      <c r="FB23" s="89" t="str">
        <f aca="false">IF(NOT(Tasks[[#This Row],[_IsLeaf]]=1),"",IF(Tasks[[#This Row],[_AlapShift]]=0,Tasks[[#This Row],[_LeafFcstStart]],WORKDAY.INTL(Tasks[[#This Row],[_LeafFcstStart]],Tasks[[#This Row],[_AlapShift]],WorkWeek,Holidays)))</f>
        <v/>
      </c>
      <c r="FC23" s="89" t="str">
        <f aca="false">IF(NOT(Tasks[[#This Row],[_IsLeaf]]=1),"",IF(Tasks[[#This Row],[_AlapShift]]=0,Tasks[[#This Row],[_LeafFcstFinish]],WORKDAY.INTL(Tasks[[#This Row],[_LeafFcstFinish]],Tasks[[#This Row],[_AlapShift]],WorkWeek,Holidays)))</f>
        <v/>
      </c>
      <c r="FD23" s="89" t="str">
        <f aca="false">IF(Tasks[[#This Row],[Task Name]]="","",IF(Tasks[[#This Row],[_IsSummary]],MIN(INDEX(Tasks[_ShownCalcStart],Tasks[[#This Row],[_Row]]+1):INDEX(Tasks[_ShownCalcStart],Tasks[[#This Row],[_Row]]+Tasks[[#This Row],[_Descendants]])),Tasks[[#This Row],[_ShownCalcStart]]))</f>
        <v/>
      </c>
      <c r="FE23" s="89" t="str">
        <f aca="false">IF(Tasks[[#This Row],[Task Name]]="","",IF(Tasks[[#This Row],[_IsSummary]],MAX(INDEX(Tasks[_ShownCalcFinish],Tasks[[#This Row],[_Row]]+1):INDEX(Tasks[_ShownCalcFinish],Tasks[[#This Row],[_Row]]+Tasks[[#This Row],[_Descendants]])),Tasks[[#This Row],[_ShownCalcFinish]]))</f>
        <v/>
      </c>
      <c r="FF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3" s="42" t="n">
        <f aca="false">IF(AND(Tasks[[#This Row],[_IsLeaf]]=1,Tasks[[#This Row],[_LeafTotalWork]]&gt;0),NETWORKDAYS.INTL(ProjectStart,Tasks[[#This Row],[_ShownFcstStart]],WorkWeek,Holidays),0)</f>
        <v>0</v>
      </c>
      <c r="FS23" s="42" t="n">
        <f aca="false">IF(AND(Tasks[[#This Row],[_IsLeaf]]=1,Tasks[[#This Row],[_LeafTotalWork]]&gt;0),MAX(Tasks[[#This Row],[_StartWorkday]],NETWORKDAYS.INTL(ProjectStart,Tasks[[#This Row],[_ShownFcstFinish]],WorkWeek,Holidays)),0)</f>
        <v>0</v>
      </c>
      <c r="FT23" s="42" t="n">
        <f aca="false">IF(AND(Tasks[[#This Row],[_IsLeaf]]=1,Tasks[[#This Row],[_LeafTotalWork]]&gt;0),Tasks[[#This Row],[_LeafWork]]/(Tasks[[#This Row],[_FinishWorkday]]-Tasks[[#This Row],[_StartWorkday]]+1),0)</f>
        <v>0</v>
      </c>
      <c r="FU23" s="42" t="n">
        <f aca="false">Tasks[[#This Row],[_WorkPerWorkday]]*(Tasks[[#This Row],[_StartWorkday]]-1)</f>
        <v>-0</v>
      </c>
      <c r="FV23" s="42" t="n">
        <f aca="false">IF(Tasks[[#This Row],[_IsLeaf]]=1,MAX(N(Tasks[[#This Row],[_Days]]),0.1),0)</f>
        <v>0</v>
      </c>
      <c r="FW23" s="42" t="n">
        <f aca="false">Tasks[[#This Row],[_WeightDur]]*Tasks[[#This Row],[_LeafProgress]]</f>
        <v>0</v>
      </c>
      <c r="FX23" s="42" t="n">
        <f aca="false">Tasks[[#This Row],[_WeightDur]]*Tasks[[#This Row],[_PlannedPct]]</f>
        <v>0</v>
      </c>
      <c r="FY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3" s="42" t="str">
        <f aca="false">IF(AND(Tasks[[#This Row],[_IsLeaf]]=1,N(Tasks[[#This Row],[_Days]])=0,Tasks[[#This Row],[_LeafProgress]]&lt;1),Tasks[[#This Row],[_ShownFcstFinish]]+Tasks[[#This Row],[_Row]]/100000,"")</f>
        <v/>
      </c>
      <c r="GA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3" s="42" t="str">
        <f aca="false">IF(Tasks[[#This Row],[Task Name]]="","",LEFT(Tasks[[#This Row],[WBS]],FIND(".",Tasks[[#This Row],[WBS]]&amp;".")-1))</f>
        <v/>
      </c>
      <c r="GC23" s="42" t="str">
        <f aca="false">IF(AND(Tasks[[#This Row],[Task Name]]&lt;&gt;"",Tasks[[#This Row],[_Level]]=1),Tasks[[#This Row],[_Row]],"")</f>
        <v/>
      </c>
      <c r="GD23" s="42" t="str">
        <f aca="false">IF(AND(Tasks[[#This Row],[_IsLeaf]]=1,N(Tasks[[#This Row],[_Days]])=0),Tasks[[#This Row],[Planned Finish]]+Tasks[[#This Row],[_Row]]/100000,"")</f>
        <v/>
      </c>
      <c r="GE23" s="42" t="str">
        <f aca="false">IF(AND(Tasks[[#This Row],[_IsLeaf]]=1,Tasks[[#This Row],[_LeafProgress]]&lt;1,OR(N(Tasks[[#This Row],[Finish Var]])&gt;0,Tasks[[#This Row],[Status]]="Late Start")),MAX(0,Tasks[[#This Row],[Finish Var]])+1-Tasks[[#This Row],[_Row]]/1000000,"")</f>
        <v/>
      </c>
      <c r="GF23" s="42" t="str">
        <f aca="false">IF(AND(Tasks[[#This Row],[_IsLeaf]]=1,N(Tasks[[#This Row],[Actual Start]])=0,Tasks[[#This Row],[_ShownFcstStart]]&gt;=StatusDate,Tasks[[#This Row],[_ShownFcstStart]]&lt;=LookaheadEnd),Tasks[[#This Row],[_ShownFcstStart]]+Tasks[[#This Row],[_Row]]/100000,"")</f>
        <v/>
      </c>
      <c r="GG23" s="42" t="str">
        <f aca="false">IF(AND(Tasks[[#This Row],[_IsLeaf]]=1,Tasks[[#This Row],[_LeafProgress]]&lt;1,Tasks[[#This Row],[_ShownFcstFinish]]&gt;=StatusDate,Tasks[[#This Row],[_ShownFcstFinish]]&lt;=LookaheadEnd),Tasks[[#This Row],[_ShownFcstFinish]]+Tasks[[#This Row],[_Row]]/100000,"")</f>
        <v/>
      </c>
      <c r="GH23" s="42" t="str">
        <f aca="false">IF(Tasks[[#This Row],[_LeafCritical]],Tasks[[#This Row],[_ShownFcstStart]]+Tasks[[#This Row],[_Row]]/100000,"")</f>
        <v/>
      </c>
      <c r="GI23" s="42" t="n">
        <f aca="false">Tasks[[#This Row],[_LeafWork]]*Tasks[[#This Row],[_LeafProgress]]</f>
        <v>0</v>
      </c>
      <c r="GJ23" s="89" t="str">
        <f aca="false">IF(AND(Tasks[[#This Row],[_IsLeaf]]=1,Tasks[[#This Row],[_LeafProgress]]&gt;=1),IF(N(Tasks[[#This Row],[Actual Finish]])&gt;0,Tasks[[#This Row],[Actual Finish]],Tasks[[#This Row],[_ShownFcstFinish]]),"")</f>
        <v/>
      </c>
      <c r="GK23" s="42" t="n">
        <f aca="false">IF(Tasks[[#This Row],[_IsLeaf]]=1,N(Tasks[[#This Row],[Story Points]]),0)</f>
        <v>0</v>
      </c>
      <c r="GL23" s="42" t="str">
        <f aca="false">""</f>
        <v/>
      </c>
      <c r="GM23" s="88" t="b">
        <f aca="false">IF(Tasks[[#This Row],[Task Name]]="",FALSE(),AND(Tasks[[#This Row],[_IsLeaf]]=1,N(Tasks[[#This Row],[_Days]])=0))</f>
        <v>0</v>
      </c>
      <c r="GN23" s="89" t="n">
        <f aca="false">IF(Tasks[[#This Row],[Task Name]]="",0,IF(AND(Tasks[[#This Row],[_IsLeaf]]=1,NOT(Tasks[[#This Row],[_IsMilestone]]),N(Tasks[[#This Row],[Progress]])&gt;0),Tasks[[#This Row],[Start]],0))</f>
        <v>0</v>
      </c>
      <c r="GO23" s="89" t="n">
        <f aca="false">IF(Tasks[[#This Row],[_DoneFrom]]=0,0,IF(Tasks[[#This Row],[Progress]]&gt;=1,Tasks[[#This Row],[Finish]],MAX(Tasks[[#This Row],[_DoneFrom]],Tasks[[#This Row],[Start]]+ROUND((Tasks[[#This Row],[Finish]]-Tasks[[#This Row],[Start]]+1)*Tasks[[#This Row],[Progress]],0)-1)))</f>
        <v>0</v>
      </c>
      <c r="GP23" s="89" t="n">
        <f aca="false">IF(Tasks[[#This Row],[Task Name]]="",0,IF(OR(NOT(Tasks[[#This Row],[_IsLeaf]]=1),Tasks[[#This Row],[_IsMilestone]],N(Tasks[[#This Row],[Progress]])&gt;=1),0,IF(Tasks[[#This Row],[_DoneTo]]&gt;0,Tasks[[#This Row],[_DoneTo]]+1,Tasks[[#This Row],[Start]])))</f>
        <v>0</v>
      </c>
      <c r="GQ23" s="89" t="n">
        <f aca="false">IF(Tasks[[#This Row],[_RemFrom]]=0,0,Tasks[[#This Row],[Finish]])</f>
        <v>0</v>
      </c>
      <c r="GR23" s="88" t="b">
        <f aca="false">IF(Tasks[[#This Row],[Task Name]]="",FALSE(),OR(NOT(BaselineSet),N(Tasks[[#This Row],[Baseline Start]])&gt;0))</f>
        <v>0</v>
      </c>
      <c r="GS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3" s="90" t="str">
        <f aca="false">IF(Tasks[[#This Row],[_IsLeaf]]=1,Tasks[[#This Row],[_Row]],"")</f>
        <v/>
      </c>
      <c r="GW23" s="90" t="str">
        <f aca="false">IFERROR(INDEX(Tasks[UID],SMALL(Tasks[_PickKey],Tasks[[#This Row],[_Row]]))&amp;" "&amp;INDEX(Tasks[Task Name],SMALL(Tasks[_PickKey],Tasks[[#This Row],[_Row]])),"")</f>
        <v/>
      </c>
      <c r="GX23" s="42" t="str">
        <f aca="false">IF(Tasks[[#This Row],[Task Name]]="","",IF(Tasks[[#This Row],[_IsSummary]],NETWORKDAYS.INTL(Tasks[[#This Row],[Start]],Tasks[[#This Row],[Finish]],WorkWeek,Holidays),N(Tasks[[#This Row],[_Days]])))</f>
        <v/>
      </c>
    </row>
    <row r="24" customFormat="false" ht="15" hidden="false" customHeight="false" outlineLevel="0" collapsed="false">
      <c r="A24" s="21" t="str">
        <f aca="false">IF(Tasks[[#This Row],[Task Name]]="","",COUNTA(Tasks[[#Headers],[Task Name]]:Tasks[[#This Row],[Task Name]])-1)</f>
        <v/>
      </c>
      <c r="B24" s="22" t="n">
        <v>32</v>
      </c>
      <c r="C24" s="22"/>
      <c r="D24" s="23"/>
      <c r="E24" s="22"/>
      <c r="F24" s="23"/>
      <c r="G24" s="22"/>
      <c r="H24" s="22"/>
      <c r="I24" s="23"/>
      <c r="J24" s="22"/>
      <c r="K24" s="22"/>
      <c r="L24" s="23"/>
      <c r="M24" s="22"/>
      <c r="N24" s="22"/>
      <c r="O24" s="23"/>
      <c r="P24" s="22"/>
      <c r="Q24" s="22"/>
      <c r="R24" s="23"/>
      <c r="S24" s="23"/>
      <c r="T24" s="83"/>
      <c r="U24" s="23"/>
      <c r="V24" s="83"/>
      <c r="W24" s="23"/>
      <c r="X24" s="83"/>
      <c r="Y24" s="23"/>
      <c r="Z24" s="83"/>
      <c r="AA24" s="23"/>
      <c r="AB24" s="23"/>
      <c r="AC24" s="7"/>
      <c r="AD24" s="7"/>
      <c r="AE24" s="62" t="str">
        <f aca="false">IF(Tasks[[#This Row],[Task Name]]="","",IF(Tasks[[#This Row],[_IsSummary]],MIN(INDEX(Tasks[_ShownFcstStart],Tasks[[#This Row],[_Row]]+1):INDEX(Tasks[_ShownFcstStart],Tasks[[#This Row],[_Row]]+Tasks[[#This Row],[_Descendants]])),Tasks[[#This Row],[_ShownFcstStart]]))</f>
        <v/>
      </c>
      <c r="AF24" s="62" t="str">
        <f aca="false">IF(Tasks[[#This Row],[Task Name]]="","",IF(Tasks[[#This Row],[_IsSummary]],MAX(INDEX(Tasks[_ShownFcstFinish],Tasks[[#This Row],[_Row]]+1):INDEX(Tasks[_ShownFcstFinish],Tasks[[#This Row],[_Row]]+Tasks[[#This Row],[_Descendants]])),Tasks[[#This Row],[_ShownFcstFinish]]))</f>
        <v/>
      </c>
      <c r="AG24" s="21" t="str">
        <f aca="false">""</f>
        <v/>
      </c>
      <c r="AH24" s="23"/>
      <c r="AI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4" s="7"/>
      <c r="AK24" s="22"/>
      <c r="AL24" s="23"/>
      <c r="AM24" s="7"/>
      <c r="AN24" s="46" t="str">
        <f aca="false">IF(Tasks[[#This Row],[Task Name]]="","",IF(Tasks[[#This Row],[Finish]]&gt;=Tasks[[#This Row],[Planned Finish]],NETWORKDAYS.INTL(Tasks[[#This Row],[Planned Finish]],Tasks[[#This Row],[Finish]],WorkWeek,Holidays)-1,1-NETWORKDAYS.INTL(Tasks[[#This Row],[Finish]],Tasks[[#This Row],[Planned Finish]],WorkWeek,Holidays)))</f>
        <v/>
      </c>
      <c r="AO24" s="21" t="str">
        <f aca="false">IF(Tasks[[#This Row],[Task Name]]="","",IF(Tasks[[#This Row],[Progress]]&gt;=1,"Complete",IF(OR(N(Tasks[[#This Row],[Actual Start]])&gt;0,Tasks[[#This Row],[Progress]]&gt;0),IF(Tasks[[#This Row],[Finish Var]]&gt;0,"Behind","In Progress"),IF(Tasks[[#This Row],[Planned Start]]&lt;StatusDate,"Late Start","Not Started"))))</f>
        <v/>
      </c>
      <c r="AP24" s="21" t="str">
        <f aca="false">IF(Tasks[[#This Row],[Task Name]]="","",IF(IF(Tasks[[#This Row],[_IsSummary]],COUNTIF(INDEX(Tasks[_LeafCritical],Tasks[[#This Row],[_Row]]+1):INDEX(Tasks[_LeafCritical],Tasks[[#This Row],[_Row]]+Tasks[[#This Row],[_Descendants]]),TRUE())&gt;0,Tasks[[#This Row],[_LeafCritical]]),"Yes",""))</f>
        <v/>
      </c>
      <c r="AQ24" s="62" t="str">
        <f aca="false">IF(Tasks[[#This Row],[Task Name]]="","",IF(N(Tasks[[#This Row],[Baseline Start]])&gt;0,Tasks[[#This Row],[Baseline Start]],Tasks[[#This Row],[_CalcStart]]))</f>
        <v/>
      </c>
      <c r="AR24" s="62" t="str">
        <f aca="false">IF(Tasks[[#This Row],[Task Name]]="","",IF(N(Tasks[[#This Row],[Baseline Finish]])&gt;0,Tasks[[#This Row],[Baseline Finish]],Tasks[[#This Row],[_CalcFinish]]))</f>
        <v/>
      </c>
      <c r="AS24" s="46" t="str">
        <f aca="false">IF(Tasks[[#This Row],[Task Name]]="","",IF(Tasks[[#This Row],[Start]]&gt;=Tasks[[#This Row],[Planned Start]],NETWORKDAYS.INTL(Tasks[[#This Row],[Planned Start]],Tasks[[#This Row],[Start]],WorkWeek,Holidays)-1,1-NETWORKDAYS.INTL(Tasks[[#This Row],[Start]],Tasks[[#This Row],[Planned Start]],WorkWeek,Holidays)))</f>
        <v/>
      </c>
      <c r="AT24" s="62" t="str">
        <f aca="false">IF(Tasks[[#This Row],[Task Name]]="","",IF(Tasks[[#This Row],[_IsSummary]],MIN(INDEX(Tasks[_LeafLateStart],Tasks[[#This Row],[_Row]]+1):INDEX(Tasks[_LeafLateStart],Tasks[[#This Row],[_Row]]+Tasks[[#This Row],[_Descendants]])),Tasks[[#This Row],[_LeafLateStart]]))</f>
        <v/>
      </c>
      <c r="AU24" s="62" t="str">
        <f aca="false">IF(Tasks[[#This Row],[Task Name]]="","",IF(Tasks[[#This Row],[_IsSummary]],MAX(INDEX(Tasks[_LeafLateFinish],Tasks[[#This Row],[_Row]]+1):INDEX(Tasks[_LeafLateFinish],Tasks[[#This Row],[_Row]]+Tasks[[#This Row],[_Descendants]])),Tasks[[#This Row],[_LeafLateFinish]]))</f>
        <v/>
      </c>
      <c r="AV24" s="46" t="str">
        <f aca="false">IF(Tasks[[#This Row],[Task Name]]="","",IF(Tasks[[#This Row],[_IsSummary]],MIN(INDEX(Tasks[_LeafTotalSlack],Tasks[[#This Row],[_Row]]+1):INDEX(Tasks[_LeafTotalSlack],Tasks[[#This Row],[_Row]]+Tasks[[#This Row],[_Descendants]])),Tasks[[#This Row],[_LeafTotalSlack]]))</f>
        <v/>
      </c>
      <c r="AW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4"/>
      <c r="BA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t="str">
        <f aca="false">IF(Tasks[[#This Row],[Task Name]]="","",IF(Tasks[[#This Row],[_Level]]&lt;=OutlineShowLevel,"Yes","No"))</f>
        <v/>
      </c>
      <c r="BE24" s="85" t="str">
        <f aca="false">IF(Tasks[[#This Row],[Task Name]]="","",IF(Tasks[[#This Row],[_IsSummary]],SUM(INDEX(Tasks[_LeafTotalWork],Tasks[[#This Row],[_Row]]+1):INDEX(Tasks[_LeafTotalWork],Tasks[[#This Row],[_Row]]+Tasks[[#This Row],[_Descendants]])),Tasks[[#This Row],[_LeafTotalWork]]))</f>
        <v/>
      </c>
      <c r="BF24" s="23"/>
      <c r="BG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t="str">
        <f aca="false">""</f>
        <v/>
      </c>
      <c r="BI24" s="86"/>
      <c r="BJ24" s="22"/>
      <c r="BK24" s="46" t="str">
        <f aca="false">IF(OR(Tasks[[#This Row],[Task Name]]="",Tasks[[#This Row],[Baseline Duration]]=""),"",Tasks[[#This Row],[_SpanDays]]-N(Tasks[[#This Row],[Baseline Duration]]))</f>
        <v/>
      </c>
      <c r="BL24" s="85" t="str">
        <f aca="false">IF(OR(Tasks[[#This Row],[Task Name]]="",Tasks[[#This Row],[Baseline Work]]=""),"",Tasks[[#This Row],[Work]]-N(Tasks[[#This Row],[Baseline Work]]))</f>
        <v/>
      </c>
      <c r="BM24" s="62" t="str">
        <f aca="false">IF(Tasks[[#This Row],[Task Name]]="","",IF(OR(TakeBaseline="Yes",N(Tasks[[#This Row],[Baseline Start]])=0),Tasks[[#This Row],[Start]],Tasks[[#This Row],[Baseline Start]]))</f>
        <v/>
      </c>
      <c r="BN24" s="62" t="str">
        <f aca="false">IF(Tasks[[#This Row],[Task Name]]="","",IF(OR(TakeBaseline="Yes",N(Tasks[[#This Row],[Baseline Finish]])=0),Tasks[[#This Row],[Finish]],Tasks[[#This Row],[Baseline Finish]]))</f>
        <v/>
      </c>
      <c r="BO24" s="21" t="str">
        <f aca="false">IF(Tasks[[#This Row],[Task Name]]="","",IF(OR(TakeBaseline="Yes",N(Tasks[[#This Row],[Baseline Duration]])=0),Tasks[[#This Row],[_SpanDays]],Tasks[[#This Row],[Baseline Duration]]))</f>
        <v/>
      </c>
      <c r="BP24" s="85" t="str">
        <f aca="false">IF(Tasks[[#This Row],[Task Name]]="","",IF(OR(TakeBaseline="Yes",N(Tasks[[#This Row],[Baseline Work]])=0),Tasks[[#This Row],[Work]],Tasks[[#This Row],[Baseline Work]]))</f>
        <v/>
      </c>
      <c r="BQ24" s="7"/>
      <c r="BR24" s="7"/>
      <c r="BS24" s="22"/>
      <c r="BT24" s="87"/>
      <c r="BU24" s="42" t="str">
        <f aca="false">IF(Tasks[[#This Row],[Task Name]]="","",MAX(1,N(Tasks[[#This Row],[Level]])))</f>
        <v/>
      </c>
      <c r="BV24" s="42" t="n">
        <f aca="false">ROW()-ROW(Tasks[[#Headers],[ID]])</f>
        <v>19</v>
      </c>
      <c r="BW24" s="42" t="n">
        <f aca="false">IF(OR(Tasks[[#This Row],[Task Name]]="",Tasks[[#This Row],[_Level]]&lt;=1),0,IFERROR(LOOKUP(2,1/(Tasks[[#Headers],[_Level]]:Tasks[[#This Row],[_Level]]=Tasks[[#This Row],[_Level]]-1),ROW(Tasks[[#Headers],[_Level]]:Tasks[[#This Row],[_Level]])),0))</f>
        <v>0</v>
      </c>
      <c r="BX24" s="42" t="n">
        <f aca="false">IFERROR(N(INDEX(Tasks[_Level],Tasks[[#This Row],[_Row]]+1)),0)</f>
        <v>0</v>
      </c>
      <c r="BY24" s="88" t="b">
        <f aca="false">AND(Tasks[[#This Row],[Task Name]]&lt;&gt;"",Tasks[[#This Row],[_NextLevel]]&gt;Tasks[[#This Row],[_Level]])</f>
        <v>0</v>
      </c>
      <c r="BZ24" s="42" t="n">
        <f aca="false">IF(Tasks[[#This Row],[_IsSummary]],COUNTIF(Tasks[WBS],Tasks[[#This Row],[WBS]]&amp;".*"),0)</f>
        <v>0</v>
      </c>
      <c r="CA24" s="42" t="n">
        <f aca="false">IF(AND(Tasks[[#This Row],[Task Name]]&lt;&gt;"",NOT(Tasks[[#This Row],[_IsSummary]])),1,0)</f>
        <v>0</v>
      </c>
      <c r="CB24" s="42" t="n">
        <f aca="false">IF(N(Tasks[[#This Row],[_Pred1UID]])=0,0,IFERROR(MATCH(Tasks[[#This Row],[_Pred1UID]],Tasks[UID],0),-1))</f>
        <v>0</v>
      </c>
      <c r="CC24" s="42" t="n">
        <f aca="false">IF(N(Tasks[[#This Row],[_Pred2UID]])=0,0,IFERROR(MATCH(Tasks[[#This Row],[_Pred2UID]],Tasks[UID],0),-1))</f>
        <v>0</v>
      </c>
      <c r="CD24" s="42" t="n">
        <f aca="false">IF(N(Tasks[[#This Row],[_Pred3UID]])=0,0,IFERROR(MATCH(Tasks[[#This Row],[_Pred3UID]],Tasks[UID],0),-1))</f>
        <v>0</v>
      </c>
      <c r="CE24" s="42" t="n">
        <f aca="false">IF(N(Tasks[[#This Row],[_Pred4UID]])=0,0,IFERROR(MATCH(Tasks[[#This Row],[_Pred4UID]],Tasks[UID],0),-1))</f>
        <v>0</v>
      </c>
      <c r="CF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4" s="89" t="n">
        <f aca="false">IF(OR(Tasks[[#This Row],[_ConstraintCode]]=2,Tasks[[#This Row],[_ConstraintCode]]=3,Tasks[[#This Row],[_ConstraintCode]]=4,Tasks[[#This Row],[_ConstraintCode]]=6),Tasks[[#This Row],[_ConstraintStart]],0)</f>
        <v>0</v>
      </c>
      <c r="CI24" s="89" t="n">
        <f aca="false">IF(OR(Tasks[[#This Row],[_ConstraintCode]]=2,Tasks[[#This Row],[_ConstraintCode]]=3,Tasks[[#This Row],[_ConstraintCode]]=5,Tasks[[#This Row],[_ConstraintCode]]=7),Tasks[[#This Row],[_ConstraintStart]],2958465)</f>
        <v>2958465</v>
      </c>
      <c r="CJ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4" s="89" t="str">
        <f aca="false">IF(NOT(Tasks[[#This Row],[_IsLeaf]]=1),"",IF(N(Tasks[[#This Row],[_Days]])&lt;=0,Tasks[[#This Row],[_LeafCalcStart]],WORKDAY.INTL(Tasks[[#This Row],[_LeafCalcStart]],Tasks[[#This Row],[_Days]]-1,WorkWeek,Holidays)))</f>
        <v/>
      </c>
      <c r="CL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4" s="42" t="str">
        <f aca="false">IF(Tasks[[#This Row],[_Predecessors]]="","",TRIM(MID(SUBSTITUTE(SUBSTITUTE(SUBSTITUTE(UPPER(Tasks[[#This Row],[_Predecessors]]),";",",")," ",""),",",REPT(" ",99)),1,99)))</f>
        <v/>
      </c>
      <c r="CO24" s="42" t="str">
        <f aca="false">IF(Tasks[[#This Row],[_Pred1Text]]="","",IFERROR(VALUE(LEFT(Tasks[[#This Row],[_Pred1Text]],MIN(FIND("F",Tasks[[#This Row],[_Pred1Text]]&amp;"F"),FIND("S",Tasks[[#This Row],[_Pred1Text]]&amp;"S"),FIND("+",Tasks[[#This Row],[_Pred1Text]]&amp;"+"),FIND("-",Tasks[[#This Row],[_Pred1Text]]&amp;"-"))-1)),""))</f>
        <v/>
      </c>
      <c r="CP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4" s="42" t="str">
        <f aca="false">IF(Tasks[[#This Row],[_Pred1Text]]="","",TRIM(MID(SUBSTITUTE(SUBSTITUTE(SUBSTITUTE(UPPER(Tasks[[#This Row],[_Predecessors]]),";",",")," ",""),",",REPT(" ",99)),100,99)))</f>
        <v/>
      </c>
      <c r="CS24" s="42" t="str">
        <f aca="false">IF(Tasks[[#This Row],[_Pred2Text]]="","",IFERROR(VALUE(LEFT(Tasks[[#This Row],[_Pred2Text]],MIN(FIND("F",Tasks[[#This Row],[_Pred2Text]]&amp;"F"),FIND("S",Tasks[[#This Row],[_Pred2Text]]&amp;"S"),FIND("+",Tasks[[#This Row],[_Pred2Text]]&amp;"+"),FIND("-",Tasks[[#This Row],[_Pred2Text]]&amp;"-"))-1)),""))</f>
        <v/>
      </c>
      <c r="CT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4" s="42" t="str">
        <f aca="false">IF(Tasks[[#This Row],[_Pred2Text]]="","",TRIM(MID(SUBSTITUTE(SUBSTITUTE(SUBSTITUTE(UPPER(Tasks[[#This Row],[_Predecessors]]),";",",")," ",""),",",REPT(" ",99)),199,99)))</f>
        <v/>
      </c>
      <c r="CW24" s="42" t="str">
        <f aca="false">IF(Tasks[[#This Row],[_Pred3Text]]="","",IFERROR(VALUE(LEFT(Tasks[[#This Row],[_Pred3Text]],MIN(FIND("F",Tasks[[#This Row],[_Pred3Text]]&amp;"F"),FIND("S",Tasks[[#This Row],[_Pred3Text]]&amp;"S"),FIND("+",Tasks[[#This Row],[_Pred3Text]]&amp;"+"),FIND("-",Tasks[[#This Row],[_Pred3Text]]&amp;"-"))-1)),""))</f>
        <v/>
      </c>
      <c r="CX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4" s="42" t="str">
        <f aca="false">IF(Tasks[[#This Row],[_Pred3Text]]="","",TRIM(MID(SUBSTITUTE(SUBSTITUTE(SUBSTITUTE(UPPER(Tasks[[#This Row],[_Predecessors]]),";",",")," ",""),",",REPT(" ",99)),298,99)))</f>
        <v/>
      </c>
      <c r="DA24" s="42" t="str">
        <f aca="false">IF(Tasks[[#This Row],[_Pred4Text]]="","",IFERROR(VALUE(LEFT(Tasks[[#This Row],[_Pred4Text]],MIN(FIND("F",Tasks[[#This Row],[_Pred4Text]]&amp;"F"),FIND("S",Tasks[[#This Row],[_Pred4Text]]&amp;"S"),FIND("+",Tasks[[#This Row],[_Pred4Text]]&amp;"+"),FIND("-",Tasks[[#This Row],[_Pred4Text]]&amp;"-"))-1)),""))</f>
        <v/>
      </c>
      <c r="DB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4" s="42" t="str">
        <f aca="false">IF(OR(Tasks[[#This Row],[Task Name]]="",Tasks[[#This Row],[_Resources]]=""),"",TRIM(MID(SUBSTITUTE(Tasks[[#This Row],[_Resources]],",",REPT(" ",99)),1,99)))</f>
        <v/>
      </c>
      <c r="DE24" s="42" t="str">
        <f aca="false">IF(Tasks[[#This Row],[_Res1Text]]="","",TRIM(MID(SUBSTITUTE(Tasks[[#This Row],[_Resources]],",",REPT(" ",99)),100,99)))</f>
        <v/>
      </c>
      <c r="DF24" s="42" t="str">
        <f aca="false">IF(Tasks[[#This Row],[_Res2Text]]="","",TRIM(MID(SUBSTITUTE(Tasks[[#This Row],[_Resources]],",",REPT(" ",99)),199,99)))</f>
        <v/>
      </c>
      <c r="DG24" s="42" t="str">
        <f aca="false">IF(Tasks[[#This Row],[_Res3Text]]="","",TRIM(MID(SUBSTITUTE(Tasks[[#This Row],[_Resources]],",",REPT(" ",99)),298,99)))</f>
        <v/>
      </c>
      <c r="DH24" s="42" t="n">
        <f aca="false">IF(Tasks[[#This Row],[_Res1Text]]="",0,IFERROR(MATCH(TRIM(LEFT(Tasks[[#This Row],[_Res1Text]],FIND("[",Tasks[[#This Row],[_Res1Text]]&amp;"[")-1)),res_Name,0),IFERROR(MATCH(TRIM(LEFT(Tasks[[#This Row],[_Res1Text]],FIND("[",Tasks[[#This Row],[_Res1Text]]&amp;"[")-1)),res_Initials,0),0)))</f>
        <v>0</v>
      </c>
      <c r="DI24" s="42" t="n">
        <f aca="false">IF(Tasks[[#This Row],[_Res2Text]]="",0,IFERROR(MATCH(TRIM(LEFT(Tasks[[#This Row],[_Res2Text]],FIND("[",Tasks[[#This Row],[_Res2Text]]&amp;"[")-1)),res_Name,0),IFERROR(MATCH(TRIM(LEFT(Tasks[[#This Row],[_Res2Text]],FIND("[",Tasks[[#This Row],[_Res2Text]]&amp;"[")-1)),res_Initials,0),0)))</f>
        <v>0</v>
      </c>
      <c r="DJ24" s="42" t="n">
        <f aca="false">IF(Tasks[[#This Row],[_Res3Text]]="",0,IFERROR(MATCH(TRIM(LEFT(Tasks[[#This Row],[_Res3Text]],FIND("[",Tasks[[#This Row],[_Res3Text]]&amp;"[")-1)),res_Name,0),IFERROR(MATCH(TRIM(LEFT(Tasks[[#This Row],[_Res3Text]],FIND("[",Tasks[[#This Row],[_Res3Text]]&amp;"[")-1)),res_Initials,0),0)))</f>
        <v>0</v>
      </c>
      <c r="DK24" s="42" t="n">
        <f aca="false">IF(Tasks[[#This Row],[_Res4Text]]="",0,IFERROR(MATCH(TRIM(LEFT(Tasks[[#This Row],[_Res4Text]],FIND("[",Tasks[[#This Row],[_Res4Text]]&amp;"[")-1)),res_Name,0),IFERROR(MATCH(TRIM(LEFT(Tasks[[#This Row],[_Res4Text]],FIND("[",Tasks[[#This Row],[_Res4Text]]&amp;"[")-1)),res_Initials,0),0)))</f>
        <v>0</v>
      </c>
      <c r="DL24" s="42" t="str">
        <f aca="false">IF(Tasks[[#This Row],[_Res1Text]]="","",IF(Tasks[[#This Row],[_Res1Row]]&gt;0,INDEX(res_Name,Tasks[[#This Row],[_Res1Row]]),TRIM(LEFT(Tasks[[#This Row],[_Res1Text]],FIND("[",Tasks[[#This Row],[_Res1Text]]&amp;"[")-1))))</f>
        <v/>
      </c>
      <c r="DM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4" s="42" t="n">
        <f aca="false">IF(NOT(Tasks[[#This Row],[_IsLeaf]]=1),0,(Tasks[[#This Row],[_Resource1]]&lt;&gt;"")+(Tasks[[#This Row],[_Res2]]&lt;&gt;"")+(Tasks[[#This Row],[_Res3]]&lt;&gt;"")+(Tasks[[#This Row],[_Res4]]&lt;&gt;""))</f>
        <v>0</v>
      </c>
      <c r="DO24" s="42" t="str">
        <f aca="false">IF(Tasks[[#This Row],[_Res2Text]]="","",IF(Tasks[[#This Row],[_Res2Row]]&gt;0,INDEX(res_Name,Tasks[[#This Row],[_Res2Row]]),TRIM(LEFT(Tasks[[#This Row],[_Res2Text]],FIND("[",Tasks[[#This Row],[_Res2Text]]&amp;"[")-1))))</f>
        <v/>
      </c>
      <c r="DP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4" s="42" t="n">
        <f aca="false">IF(OR(NOT(Tasks[[#This Row],[_IsLeaf]]=1),Tasks[[#This Row],[_Res2Row]]=0),0,N(Tasks[[#This Row],[_Days]])*HoursPerDay*IF(Tasks[[#This Row],[_Res2Units]]="",DefaultUnits,Tasks[[#This Row],[_Res2Units]]))</f>
        <v>0</v>
      </c>
      <c r="DR24" s="42" t="n">
        <f aca="false">IF(AND(AND(Tasks[[#This Row],[_IsLeaf]]=1,Tasks[[#This Row],[_LeafTotalWork]]&gt;0),Tasks[[#This Row],[_Res2Work]]&gt;0),Tasks[[#This Row],[_Res2Work]]/(Tasks[[#This Row],[_FinishWorkday]]-Tasks[[#This Row],[_StartWorkday]]+1),0)</f>
        <v>0</v>
      </c>
      <c r="DS24" s="42" t="n">
        <f aca="false">Tasks[[#This Row],[_Res2WorkPerWD]]*MAX(0,Tasks[[#This Row],[_StartWorkday]]-1)</f>
        <v>0</v>
      </c>
      <c r="DT24" s="42" t="n">
        <f aca="false">Tasks[[#This Row],[_Res2Work]]*Tasks[[#This Row],[_LeafProgress]]</f>
        <v>0</v>
      </c>
      <c r="DU24" s="42" t="str">
        <f aca="false">IF(Tasks[[#This Row],[_Res3Text]]="","",IF(Tasks[[#This Row],[_Res3Row]]&gt;0,INDEX(res_Name,Tasks[[#This Row],[_Res3Row]]),TRIM(LEFT(Tasks[[#This Row],[_Res3Text]],FIND("[",Tasks[[#This Row],[_Res3Text]]&amp;"[")-1))))</f>
        <v/>
      </c>
      <c r="DV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4" s="42" t="n">
        <f aca="false">IF(OR(NOT(Tasks[[#This Row],[_IsLeaf]]=1),Tasks[[#This Row],[_Res3Row]]=0),0,N(Tasks[[#This Row],[_Days]])*HoursPerDay*IF(Tasks[[#This Row],[_Res3Units]]="",DefaultUnits,Tasks[[#This Row],[_Res3Units]]))</f>
        <v>0</v>
      </c>
      <c r="DX24" s="42" t="n">
        <f aca="false">IF(AND(AND(Tasks[[#This Row],[_IsLeaf]]=1,Tasks[[#This Row],[_LeafTotalWork]]&gt;0),Tasks[[#This Row],[_Res3Work]]&gt;0),Tasks[[#This Row],[_Res3Work]]/(Tasks[[#This Row],[_FinishWorkday]]-Tasks[[#This Row],[_StartWorkday]]+1),0)</f>
        <v>0</v>
      </c>
      <c r="DY24" s="42" t="n">
        <f aca="false">Tasks[[#This Row],[_Res3WorkPerWD]]*MAX(0,Tasks[[#This Row],[_StartWorkday]]-1)</f>
        <v>0</v>
      </c>
      <c r="DZ24" s="42" t="n">
        <f aca="false">Tasks[[#This Row],[_Res3Work]]*Tasks[[#This Row],[_LeafProgress]]</f>
        <v>0</v>
      </c>
      <c r="EA24" s="42" t="str">
        <f aca="false">IF(Tasks[[#This Row],[_Res4Text]]="","",IF(Tasks[[#This Row],[_Res4Row]]&gt;0,INDEX(res_Name,Tasks[[#This Row],[_Res4Row]]),TRIM(LEFT(Tasks[[#This Row],[_Res4Text]],FIND("[",Tasks[[#This Row],[_Res4Text]]&amp;"[")-1))))</f>
        <v/>
      </c>
      <c r="EB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4" s="42" t="n">
        <f aca="false">IF(OR(NOT(Tasks[[#This Row],[_IsLeaf]]=1),Tasks[[#This Row],[_Res4Row]]=0),0,N(Tasks[[#This Row],[_Days]])*HoursPerDay*IF(Tasks[[#This Row],[_Res4Units]]="",DefaultUnits,Tasks[[#This Row],[_Res4Units]]))</f>
        <v>0</v>
      </c>
      <c r="ED24" s="42" t="n">
        <f aca="false">IF(AND(AND(Tasks[[#This Row],[_IsLeaf]]=1,Tasks[[#This Row],[_LeafTotalWork]]&gt;0),Tasks[[#This Row],[_Res4Work]]&gt;0),Tasks[[#This Row],[_Res4Work]]/(Tasks[[#This Row],[_FinishWorkday]]-Tasks[[#This Row],[_StartWorkday]]+1),0)</f>
        <v>0</v>
      </c>
      <c r="EE24" s="42" t="n">
        <f aca="false">Tasks[[#This Row],[_Res4WorkPerWD]]*MAX(0,Tasks[[#This Row],[_StartWorkday]]-1)</f>
        <v>0</v>
      </c>
      <c r="EF24" s="42" t="n">
        <f aca="false">Tasks[[#This Row],[_Res4Work]]*Tasks[[#This Row],[_LeafProgress]]</f>
        <v>0</v>
      </c>
      <c r="EG24" s="42" t="n">
        <f aca="false">IF(ISNUMBER(Tasks[[#This Row],[% Complete]]),Tasks[[#This Row],[% Complete]],IF(Tasks[[#This Row],[Stage]]="",0,IFERROR(INDEX(stg_Pct,MATCH(Tasks[[#This Row],[Stage]],stg_Name,0)),0)))</f>
        <v>0</v>
      </c>
      <c r="EH24" s="42" t="n">
        <f aca="false">IF(NOT(Tasks[[#This Row],[_IsLeaf]]=1),0,IF(N(Tasks[[#This Row],[Actual Finish]])&gt;0,1,MIN(1,Tasks[[#This Row],[_Pct]])))</f>
        <v>0</v>
      </c>
      <c r="EI24" s="42" t="n">
        <f aca="false">IF(OR(NOT(Tasks[[#This Row],[_IsLeaf]]=1),Tasks[[#This Row],[_Res1Row]]=0),0,N(Tasks[[#This Row],[_Days]])*HoursPerDay*IF(Tasks[[#This Row],[_Units1]]="",DefaultUnits,Tasks[[#This Row],[_Units1]]))</f>
        <v>0</v>
      </c>
      <c r="EJ24" s="42" t="n">
        <f aca="false">Tasks[[#This Row],[_LeafWork]]+Tasks[[#This Row],[_Res2Work]]+Tasks[[#This Row],[_Res3Work]]+Tasks[[#This Row],[_Res4Work]]</f>
        <v>0</v>
      </c>
      <c r="EK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4" s="42" t="n">
        <f aca="false">IF(NOT(Tasks[[#This Row],[_IsLeaf]]=1),0,MAX(_xlfn.MAXIFS(Tasks[_Row],Tasks[_Pred1UID],Tasks[[#This Row],[UID]]),_xlfn.MAXIFS(Tasks[_Row],Tasks[_Pred2UID],Tasks[[#This Row],[UID]]),_xlfn.MAXIFS(Tasks[_Row],Tasks[_Pred3UID],Tasks[[#This Row],[UID]]),_xlfn.MAXIFS(Tasks[_Row],Tasks[_Pred4UID],Tasks[[#This Row],[UID]])))</f>
        <v>0</v>
      </c>
      <c r="ET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4" s="89" t="str">
        <f aca="false">IF(NOT(Tasks[[#This Row],[_IsLeaf]]=1),"",IF(N(Tasks[[#This Row],[_Days]])&lt;=0,Tasks[[#This Row],[_LeafLateFinish]],WORKDAY.INTL(Tasks[[#This Row],[_LeafLateFinish]],-(Tasks[[#This Row],[_Days]]-1),WorkWeek,Holidays)))</f>
        <v/>
      </c>
      <c r="EW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4" s="88" t="b">
        <f aca="false">AND(Tasks[[#This Row],[_IsLeaf]]=1,Tasks[[#This Row],[_LeafProgress]]&lt;1,N(Tasks[[#This Row],[_LeafTotalSlack]])&lt;=CriticalSlackDays)</f>
        <v>0</v>
      </c>
      <c r="EY24" s="42" t="n">
        <f aca="false">IF(AND(Tasks[[#This Row],[_IsLeaf]]=1,Tasks[[#This Row],[_ConstraintCode]]=1,Tasks[[#This Row],[Mode]]&lt;&gt;"Manual",N(Tasks[[#This Row],[Actual Start]])=0),MAX(0,N(Tasks[[#This Row],[Free Slack]])),0)</f>
        <v>0</v>
      </c>
      <c r="EZ24" s="89" t="str">
        <f aca="false">IF(NOT(Tasks[[#This Row],[_IsLeaf]]=1),"",IF(Tasks[[#This Row],[_AlapShift]]=0,Tasks[[#This Row],[_LeafCalcStart]],WORKDAY.INTL(Tasks[[#This Row],[_LeafCalcStart]],Tasks[[#This Row],[_AlapShift]],WorkWeek,Holidays)))</f>
        <v/>
      </c>
      <c r="FA24" s="89" t="str">
        <f aca="false">IF(NOT(Tasks[[#This Row],[_IsLeaf]]=1),"",IF(Tasks[[#This Row],[_AlapShift]]=0,Tasks[[#This Row],[_LeafCalcFinish]],WORKDAY.INTL(Tasks[[#This Row],[_LeafCalcFinish]],Tasks[[#This Row],[_AlapShift]],WorkWeek,Holidays)))</f>
        <v/>
      </c>
      <c r="FB24" s="89" t="str">
        <f aca="false">IF(NOT(Tasks[[#This Row],[_IsLeaf]]=1),"",IF(Tasks[[#This Row],[_AlapShift]]=0,Tasks[[#This Row],[_LeafFcstStart]],WORKDAY.INTL(Tasks[[#This Row],[_LeafFcstStart]],Tasks[[#This Row],[_AlapShift]],WorkWeek,Holidays)))</f>
        <v/>
      </c>
      <c r="FC24" s="89" t="str">
        <f aca="false">IF(NOT(Tasks[[#This Row],[_IsLeaf]]=1),"",IF(Tasks[[#This Row],[_AlapShift]]=0,Tasks[[#This Row],[_LeafFcstFinish]],WORKDAY.INTL(Tasks[[#This Row],[_LeafFcstFinish]],Tasks[[#This Row],[_AlapShift]],WorkWeek,Holidays)))</f>
        <v/>
      </c>
      <c r="FD24" s="89" t="str">
        <f aca="false">IF(Tasks[[#This Row],[Task Name]]="","",IF(Tasks[[#This Row],[_IsSummary]],MIN(INDEX(Tasks[_ShownCalcStart],Tasks[[#This Row],[_Row]]+1):INDEX(Tasks[_ShownCalcStart],Tasks[[#This Row],[_Row]]+Tasks[[#This Row],[_Descendants]])),Tasks[[#This Row],[_ShownCalcStart]]))</f>
        <v/>
      </c>
      <c r="FE24" s="89" t="str">
        <f aca="false">IF(Tasks[[#This Row],[Task Name]]="","",IF(Tasks[[#This Row],[_IsSummary]],MAX(INDEX(Tasks[_ShownCalcFinish],Tasks[[#This Row],[_Row]]+1):INDEX(Tasks[_ShownCalcFinish],Tasks[[#This Row],[_Row]]+Tasks[[#This Row],[_Descendants]])),Tasks[[#This Row],[_ShownCalcFinish]]))</f>
        <v/>
      </c>
      <c r="FF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4" s="42" t="n">
        <f aca="false">IF(AND(Tasks[[#This Row],[_IsLeaf]]=1,Tasks[[#This Row],[_LeafTotalWork]]&gt;0),NETWORKDAYS.INTL(ProjectStart,Tasks[[#This Row],[_ShownFcstStart]],WorkWeek,Holidays),0)</f>
        <v>0</v>
      </c>
      <c r="FS24" s="42" t="n">
        <f aca="false">IF(AND(Tasks[[#This Row],[_IsLeaf]]=1,Tasks[[#This Row],[_LeafTotalWork]]&gt;0),MAX(Tasks[[#This Row],[_StartWorkday]],NETWORKDAYS.INTL(ProjectStart,Tasks[[#This Row],[_ShownFcstFinish]],WorkWeek,Holidays)),0)</f>
        <v>0</v>
      </c>
      <c r="FT24" s="42" t="n">
        <f aca="false">IF(AND(Tasks[[#This Row],[_IsLeaf]]=1,Tasks[[#This Row],[_LeafTotalWork]]&gt;0),Tasks[[#This Row],[_LeafWork]]/(Tasks[[#This Row],[_FinishWorkday]]-Tasks[[#This Row],[_StartWorkday]]+1),0)</f>
        <v>0</v>
      </c>
      <c r="FU24" s="42" t="n">
        <f aca="false">Tasks[[#This Row],[_WorkPerWorkday]]*(Tasks[[#This Row],[_StartWorkday]]-1)</f>
        <v>-0</v>
      </c>
      <c r="FV24" s="42" t="n">
        <f aca="false">IF(Tasks[[#This Row],[_IsLeaf]]=1,MAX(N(Tasks[[#This Row],[_Days]]),0.1),0)</f>
        <v>0</v>
      </c>
      <c r="FW24" s="42" t="n">
        <f aca="false">Tasks[[#This Row],[_WeightDur]]*Tasks[[#This Row],[_LeafProgress]]</f>
        <v>0</v>
      </c>
      <c r="FX24" s="42" t="n">
        <f aca="false">Tasks[[#This Row],[_WeightDur]]*Tasks[[#This Row],[_PlannedPct]]</f>
        <v>0</v>
      </c>
      <c r="FY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4" s="42" t="str">
        <f aca="false">IF(AND(Tasks[[#This Row],[_IsLeaf]]=1,N(Tasks[[#This Row],[_Days]])=0,Tasks[[#This Row],[_LeafProgress]]&lt;1),Tasks[[#This Row],[_ShownFcstFinish]]+Tasks[[#This Row],[_Row]]/100000,"")</f>
        <v/>
      </c>
      <c r="GA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4" s="42" t="str">
        <f aca="false">IF(Tasks[[#This Row],[Task Name]]="","",LEFT(Tasks[[#This Row],[WBS]],FIND(".",Tasks[[#This Row],[WBS]]&amp;".")-1))</f>
        <v/>
      </c>
      <c r="GC24" s="42" t="str">
        <f aca="false">IF(AND(Tasks[[#This Row],[Task Name]]&lt;&gt;"",Tasks[[#This Row],[_Level]]=1),Tasks[[#This Row],[_Row]],"")</f>
        <v/>
      </c>
      <c r="GD24" s="42" t="str">
        <f aca="false">IF(AND(Tasks[[#This Row],[_IsLeaf]]=1,N(Tasks[[#This Row],[_Days]])=0),Tasks[[#This Row],[Planned Finish]]+Tasks[[#This Row],[_Row]]/100000,"")</f>
        <v/>
      </c>
      <c r="GE24" s="42" t="str">
        <f aca="false">IF(AND(Tasks[[#This Row],[_IsLeaf]]=1,Tasks[[#This Row],[_LeafProgress]]&lt;1,OR(N(Tasks[[#This Row],[Finish Var]])&gt;0,Tasks[[#This Row],[Status]]="Late Start")),MAX(0,Tasks[[#This Row],[Finish Var]])+1-Tasks[[#This Row],[_Row]]/1000000,"")</f>
        <v/>
      </c>
      <c r="GF24" s="42" t="str">
        <f aca="false">IF(AND(Tasks[[#This Row],[_IsLeaf]]=1,N(Tasks[[#This Row],[Actual Start]])=0,Tasks[[#This Row],[_ShownFcstStart]]&gt;=StatusDate,Tasks[[#This Row],[_ShownFcstStart]]&lt;=LookaheadEnd),Tasks[[#This Row],[_ShownFcstStart]]+Tasks[[#This Row],[_Row]]/100000,"")</f>
        <v/>
      </c>
      <c r="GG24" s="42" t="str">
        <f aca="false">IF(AND(Tasks[[#This Row],[_IsLeaf]]=1,Tasks[[#This Row],[_LeafProgress]]&lt;1,Tasks[[#This Row],[_ShownFcstFinish]]&gt;=StatusDate,Tasks[[#This Row],[_ShownFcstFinish]]&lt;=LookaheadEnd),Tasks[[#This Row],[_ShownFcstFinish]]+Tasks[[#This Row],[_Row]]/100000,"")</f>
        <v/>
      </c>
      <c r="GH24" s="42" t="str">
        <f aca="false">IF(Tasks[[#This Row],[_LeafCritical]],Tasks[[#This Row],[_ShownFcstStart]]+Tasks[[#This Row],[_Row]]/100000,"")</f>
        <v/>
      </c>
      <c r="GI24" s="42" t="n">
        <f aca="false">Tasks[[#This Row],[_LeafWork]]*Tasks[[#This Row],[_LeafProgress]]</f>
        <v>0</v>
      </c>
      <c r="GJ24" s="89" t="str">
        <f aca="false">IF(AND(Tasks[[#This Row],[_IsLeaf]]=1,Tasks[[#This Row],[_LeafProgress]]&gt;=1),IF(N(Tasks[[#This Row],[Actual Finish]])&gt;0,Tasks[[#This Row],[Actual Finish]],Tasks[[#This Row],[_ShownFcstFinish]]),"")</f>
        <v/>
      </c>
      <c r="GK24" s="42" t="n">
        <f aca="false">IF(Tasks[[#This Row],[_IsLeaf]]=1,N(Tasks[[#This Row],[Story Points]]),0)</f>
        <v>0</v>
      </c>
      <c r="GL24" s="42" t="str">
        <f aca="false">""</f>
        <v/>
      </c>
      <c r="GM24" s="88" t="b">
        <f aca="false">IF(Tasks[[#This Row],[Task Name]]="",FALSE(),AND(Tasks[[#This Row],[_IsLeaf]]=1,N(Tasks[[#This Row],[_Days]])=0))</f>
        <v>0</v>
      </c>
      <c r="GN24" s="89" t="n">
        <f aca="false">IF(Tasks[[#This Row],[Task Name]]="",0,IF(AND(Tasks[[#This Row],[_IsLeaf]]=1,NOT(Tasks[[#This Row],[_IsMilestone]]),N(Tasks[[#This Row],[Progress]])&gt;0),Tasks[[#This Row],[Start]],0))</f>
        <v>0</v>
      </c>
      <c r="GO24" s="89" t="n">
        <f aca="false">IF(Tasks[[#This Row],[_DoneFrom]]=0,0,IF(Tasks[[#This Row],[Progress]]&gt;=1,Tasks[[#This Row],[Finish]],MAX(Tasks[[#This Row],[_DoneFrom]],Tasks[[#This Row],[Start]]+ROUND((Tasks[[#This Row],[Finish]]-Tasks[[#This Row],[Start]]+1)*Tasks[[#This Row],[Progress]],0)-1)))</f>
        <v>0</v>
      </c>
      <c r="GP24" s="89" t="n">
        <f aca="false">IF(Tasks[[#This Row],[Task Name]]="",0,IF(OR(NOT(Tasks[[#This Row],[_IsLeaf]]=1),Tasks[[#This Row],[_IsMilestone]],N(Tasks[[#This Row],[Progress]])&gt;=1),0,IF(Tasks[[#This Row],[_DoneTo]]&gt;0,Tasks[[#This Row],[_DoneTo]]+1,Tasks[[#This Row],[Start]])))</f>
        <v>0</v>
      </c>
      <c r="GQ24" s="89" t="n">
        <f aca="false">IF(Tasks[[#This Row],[_RemFrom]]=0,0,Tasks[[#This Row],[Finish]])</f>
        <v>0</v>
      </c>
      <c r="GR24" s="88" t="b">
        <f aca="false">IF(Tasks[[#This Row],[Task Name]]="",FALSE(),OR(NOT(BaselineSet),N(Tasks[[#This Row],[Baseline Start]])&gt;0))</f>
        <v>0</v>
      </c>
      <c r="GS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4" s="90" t="str">
        <f aca="false">IF(Tasks[[#This Row],[_IsLeaf]]=1,Tasks[[#This Row],[_Row]],"")</f>
        <v/>
      </c>
      <c r="GW24" s="90" t="str">
        <f aca="false">IFERROR(INDEX(Tasks[UID],SMALL(Tasks[_PickKey],Tasks[[#This Row],[_Row]]))&amp;" "&amp;INDEX(Tasks[Task Name],SMALL(Tasks[_PickKey],Tasks[[#This Row],[_Row]])),"")</f>
        <v/>
      </c>
      <c r="GX24" s="42" t="str">
        <f aca="false">IF(Tasks[[#This Row],[Task Name]]="","",IF(Tasks[[#This Row],[_IsSummary]],NETWORKDAYS.INTL(Tasks[[#This Row],[Start]],Tasks[[#This Row],[Finish]],WorkWeek,Holidays),N(Tasks[[#This Row],[_Days]])))</f>
        <v/>
      </c>
    </row>
    <row r="25" customFormat="false" ht="15" hidden="false" customHeight="false" outlineLevel="0" collapsed="false">
      <c r="A25" s="21" t="str">
        <f aca="false">IF(Tasks[[#This Row],[Task Name]]="","",COUNTA(Tasks[[#Headers],[Task Name]]:Tasks[[#This Row],[Task Name]])-1)</f>
        <v/>
      </c>
      <c r="B25" s="22" t="n">
        <v>33</v>
      </c>
      <c r="C25" s="22"/>
      <c r="D25" s="23"/>
      <c r="E25" s="22"/>
      <c r="F25" s="23"/>
      <c r="G25" s="22"/>
      <c r="H25" s="22"/>
      <c r="I25" s="23"/>
      <c r="J25" s="22"/>
      <c r="K25" s="22"/>
      <c r="L25" s="23"/>
      <c r="M25" s="22"/>
      <c r="N25" s="22"/>
      <c r="O25" s="23"/>
      <c r="P25" s="22"/>
      <c r="Q25" s="22"/>
      <c r="R25" s="23"/>
      <c r="S25" s="23"/>
      <c r="T25" s="83"/>
      <c r="U25" s="23"/>
      <c r="V25" s="83"/>
      <c r="W25" s="23"/>
      <c r="X25" s="83"/>
      <c r="Y25" s="23"/>
      <c r="Z25" s="83"/>
      <c r="AA25" s="23"/>
      <c r="AB25" s="23"/>
      <c r="AC25" s="7"/>
      <c r="AD25" s="7"/>
      <c r="AE25" s="62" t="str">
        <f aca="false">IF(Tasks[[#This Row],[Task Name]]="","",IF(Tasks[[#This Row],[_IsSummary]],MIN(INDEX(Tasks[_ShownFcstStart],Tasks[[#This Row],[_Row]]+1):INDEX(Tasks[_ShownFcstStart],Tasks[[#This Row],[_Row]]+Tasks[[#This Row],[_Descendants]])),Tasks[[#This Row],[_ShownFcstStart]]))</f>
        <v/>
      </c>
      <c r="AF25" s="62" t="str">
        <f aca="false">IF(Tasks[[#This Row],[Task Name]]="","",IF(Tasks[[#This Row],[_IsSummary]],MAX(INDEX(Tasks[_ShownFcstFinish],Tasks[[#This Row],[_Row]]+1):INDEX(Tasks[_ShownFcstFinish],Tasks[[#This Row],[_Row]]+Tasks[[#This Row],[_Descendants]])),Tasks[[#This Row],[_ShownFcstFinish]]))</f>
        <v/>
      </c>
      <c r="AG25" s="21" t="str">
        <f aca="false">""</f>
        <v/>
      </c>
      <c r="AH25" s="23"/>
      <c r="AI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5" s="7"/>
      <c r="AK25" s="22"/>
      <c r="AL25" s="23"/>
      <c r="AM25" s="7"/>
      <c r="AN25" s="46" t="str">
        <f aca="false">IF(Tasks[[#This Row],[Task Name]]="","",IF(Tasks[[#This Row],[Finish]]&gt;=Tasks[[#This Row],[Planned Finish]],NETWORKDAYS.INTL(Tasks[[#This Row],[Planned Finish]],Tasks[[#This Row],[Finish]],WorkWeek,Holidays)-1,1-NETWORKDAYS.INTL(Tasks[[#This Row],[Finish]],Tasks[[#This Row],[Planned Finish]],WorkWeek,Holidays)))</f>
        <v/>
      </c>
      <c r="AO25" s="21" t="str">
        <f aca="false">IF(Tasks[[#This Row],[Task Name]]="","",IF(Tasks[[#This Row],[Progress]]&gt;=1,"Complete",IF(OR(N(Tasks[[#This Row],[Actual Start]])&gt;0,Tasks[[#This Row],[Progress]]&gt;0),IF(Tasks[[#This Row],[Finish Var]]&gt;0,"Behind","In Progress"),IF(Tasks[[#This Row],[Planned Start]]&lt;StatusDate,"Late Start","Not Started"))))</f>
        <v/>
      </c>
      <c r="AP25" s="21" t="str">
        <f aca="false">IF(Tasks[[#This Row],[Task Name]]="","",IF(IF(Tasks[[#This Row],[_IsSummary]],COUNTIF(INDEX(Tasks[_LeafCritical],Tasks[[#This Row],[_Row]]+1):INDEX(Tasks[_LeafCritical],Tasks[[#This Row],[_Row]]+Tasks[[#This Row],[_Descendants]]),TRUE())&gt;0,Tasks[[#This Row],[_LeafCritical]]),"Yes",""))</f>
        <v/>
      </c>
      <c r="AQ25" s="62" t="str">
        <f aca="false">IF(Tasks[[#This Row],[Task Name]]="","",IF(N(Tasks[[#This Row],[Baseline Start]])&gt;0,Tasks[[#This Row],[Baseline Start]],Tasks[[#This Row],[_CalcStart]]))</f>
        <v/>
      </c>
      <c r="AR25" s="62" t="str">
        <f aca="false">IF(Tasks[[#This Row],[Task Name]]="","",IF(N(Tasks[[#This Row],[Baseline Finish]])&gt;0,Tasks[[#This Row],[Baseline Finish]],Tasks[[#This Row],[_CalcFinish]]))</f>
        <v/>
      </c>
      <c r="AS25" s="46" t="str">
        <f aca="false">IF(Tasks[[#This Row],[Task Name]]="","",IF(Tasks[[#This Row],[Start]]&gt;=Tasks[[#This Row],[Planned Start]],NETWORKDAYS.INTL(Tasks[[#This Row],[Planned Start]],Tasks[[#This Row],[Start]],WorkWeek,Holidays)-1,1-NETWORKDAYS.INTL(Tasks[[#This Row],[Start]],Tasks[[#This Row],[Planned Start]],WorkWeek,Holidays)))</f>
        <v/>
      </c>
      <c r="AT25" s="62" t="str">
        <f aca="false">IF(Tasks[[#This Row],[Task Name]]="","",IF(Tasks[[#This Row],[_IsSummary]],MIN(INDEX(Tasks[_LeafLateStart],Tasks[[#This Row],[_Row]]+1):INDEX(Tasks[_LeafLateStart],Tasks[[#This Row],[_Row]]+Tasks[[#This Row],[_Descendants]])),Tasks[[#This Row],[_LeafLateStart]]))</f>
        <v/>
      </c>
      <c r="AU25" s="62" t="str">
        <f aca="false">IF(Tasks[[#This Row],[Task Name]]="","",IF(Tasks[[#This Row],[_IsSummary]],MAX(INDEX(Tasks[_LeafLateFinish],Tasks[[#This Row],[_Row]]+1):INDEX(Tasks[_LeafLateFinish],Tasks[[#This Row],[_Row]]+Tasks[[#This Row],[_Descendants]])),Tasks[[#This Row],[_LeafLateFinish]]))</f>
        <v/>
      </c>
      <c r="AV25" s="46" t="str">
        <f aca="false">IF(Tasks[[#This Row],[Task Name]]="","",IF(Tasks[[#This Row],[_IsSummary]],MIN(INDEX(Tasks[_LeafTotalSlack],Tasks[[#This Row],[_Row]]+1):INDEX(Tasks[_LeafTotalSlack],Tasks[[#This Row],[_Row]]+Tasks[[#This Row],[_Descendants]])),Tasks[[#This Row],[_LeafTotalSlack]]))</f>
        <v/>
      </c>
      <c r="AW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4"/>
      <c r="BA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t="str">
        <f aca="false">IF(Tasks[[#This Row],[Task Name]]="","",IF(Tasks[[#This Row],[_Level]]&lt;=OutlineShowLevel,"Yes","No"))</f>
        <v/>
      </c>
      <c r="BE25" s="85" t="str">
        <f aca="false">IF(Tasks[[#This Row],[Task Name]]="","",IF(Tasks[[#This Row],[_IsSummary]],SUM(INDEX(Tasks[_LeafTotalWork],Tasks[[#This Row],[_Row]]+1):INDEX(Tasks[_LeafTotalWork],Tasks[[#This Row],[_Row]]+Tasks[[#This Row],[_Descendants]])),Tasks[[#This Row],[_LeafTotalWork]]))</f>
        <v/>
      </c>
      <c r="BF25" s="23"/>
      <c r="BG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t="str">
        <f aca="false">""</f>
        <v/>
      </c>
      <c r="BI25" s="86"/>
      <c r="BJ25" s="22"/>
      <c r="BK25" s="46" t="str">
        <f aca="false">IF(OR(Tasks[[#This Row],[Task Name]]="",Tasks[[#This Row],[Baseline Duration]]=""),"",Tasks[[#This Row],[_SpanDays]]-N(Tasks[[#This Row],[Baseline Duration]]))</f>
        <v/>
      </c>
      <c r="BL25" s="85" t="str">
        <f aca="false">IF(OR(Tasks[[#This Row],[Task Name]]="",Tasks[[#This Row],[Baseline Work]]=""),"",Tasks[[#This Row],[Work]]-N(Tasks[[#This Row],[Baseline Work]]))</f>
        <v/>
      </c>
      <c r="BM25" s="62" t="str">
        <f aca="false">IF(Tasks[[#This Row],[Task Name]]="","",IF(OR(TakeBaseline="Yes",N(Tasks[[#This Row],[Baseline Start]])=0),Tasks[[#This Row],[Start]],Tasks[[#This Row],[Baseline Start]]))</f>
        <v/>
      </c>
      <c r="BN25" s="62" t="str">
        <f aca="false">IF(Tasks[[#This Row],[Task Name]]="","",IF(OR(TakeBaseline="Yes",N(Tasks[[#This Row],[Baseline Finish]])=0),Tasks[[#This Row],[Finish]],Tasks[[#This Row],[Baseline Finish]]))</f>
        <v/>
      </c>
      <c r="BO25" s="21" t="str">
        <f aca="false">IF(Tasks[[#This Row],[Task Name]]="","",IF(OR(TakeBaseline="Yes",N(Tasks[[#This Row],[Baseline Duration]])=0),Tasks[[#This Row],[_SpanDays]],Tasks[[#This Row],[Baseline Duration]]))</f>
        <v/>
      </c>
      <c r="BP25" s="85" t="str">
        <f aca="false">IF(Tasks[[#This Row],[Task Name]]="","",IF(OR(TakeBaseline="Yes",N(Tasks[[#This Row],[Baseline Work]])=0),Tasks[[#This Row],[Work]],Tasks[[#This Row],[Baseline Work]]))</f>
        <v/>
      </c>
      <c r="BQ25" s="7"/>
      <c r="BR25" s="7"/>
      <c r="BS25" s="22"/>
      <c r="BT25" s="87"/>
      <c r="BU25" s="42" t="str">
        <f aca="false">IF(Tasks[[#This Row],[Task Name]]="","",MAX(1,N(Tasks[[#This Row],[Level]])))</f>
        <v/>
      </c>
      <c r="BV25" s="42" t="n">
        <f aca="false">ROW()-ROW(Tasks[[#Headers],[ID]])</f>
        <v>20</v>
      </c>
      <c r="BW25" s="42" t="n">
        <f aca="false">IF(OR(Tasks[[#This Row],[Task Name]]="",Tasks[[#This Row],[_Level]]&lt;=1),0,IFERROR(LOOKUP(2,1/(Tasks[[#Headers],[_Level]]:Tasks[[#This Row],[_Level]]=Tasks[[#This Row],[_Level]]-1),ROW(Tasks[[#Headers],[_Level]]:Tasks[[#This Row],[_Level]])),0))</f>
        <v>0</v>
      </c>
      <c r="BX25" s="42" t="n">
        <f aca="false">IFERROR(N(INDEX(Tasks[_Level],Tasks[[#This Row],[_Row]]+1)),0)</f>
        <v>0</v>
      </c>
      <c r="BY25" s="88" t="b">
        <f aca="false">AND(Tasks[[#This Row],[Task Name]]&lt;&gt;"",Tasks[[#This Row],[_NextLevel]]&gt;Tasks[[#This Row],[_Level]])</f>
        <v>0</v>
      </c>
      <c r="BZ25" s="42" t="n">
        <f aca="false">IF(Tasks[[#This Row],[_IsSummary]],COUNTIF(Tasks[WBS],Tasks[[#This Row],[WBS]]&amp;".*"),0)</f>
        <v>0</v>
      </c>
      <c r="CA25" s="42" t="n">
        <f aca="false">IF(AND(Tasks[[#This Row],[Task Name]]&lt;&gt;"",NOT(Tasks[[#This Row],[_IsSummary]])),1,0)</f>
        <v>0</v>
      </c>
      <c r="CB25" s="42" t="n">
        <f aca="false">IF(N(Tasks[[#This Row],[_Pred1UID]])=0,0,IFERROR(MATCH(Tasks[[#This Row],[_Pred1UID]],Tasks[UID],0),-1))</f>
        <v>0</v>
      </c>
      <c r="CC25" s="42" t="n">
        <f aca="false">IF(N(Tasks[[#This Row],[_Pred2UID]])=0,0,IFERROR(MATCH(Tasks[[#This Row],[_Pred2UID]],Tasks[UID],0),-1))</f>
        <v>0</v>
      </c>
      <c r="CD25" s="42" t="n">
        <f aca="false">IF(N(Tasks[[#This Row],[_Pred3UID]])=0,0,IFERROR(MATCH(Tasks[[#This Row],[_Pred3UID]],Tasks[UID],0),-1))</f>
        <v>0</v>
      </c>
      <c r="CE25" s="42" t="n">
        <f aca="false">IF(N(Tasks[[#This Row],[_Pred4UID]])=0,0,IFERROR(MATCH(Tasks[[#This Row],[_Pred4UID]],Tasks[UID],0),-1))</f>
        <v>0</v>
      </c>
      <c r="CF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5" s="89" t="n">
        <f aca="false">IF(OR(Tasks[[#This Row],[_ConstraintCode]]=2,Tasks[[#This Row],[_ConstraintCode]]=3,Tasks[[#This Row],[_ConstraintCode]]=4,Tasks[[#This Row],[_ConstraintCode]]=6),Tasks[[#This Row],[_ConstraintStart]],0)</f>
        <v>0</v>
      </c>
      <c r="CI25" s="89" t="n">
        <f aca="false">IF(OR(Tasks[[#This Row],[_ConstraintCode]]=2,Tasks[[#This Row],[_ConstraintCode]]=3,Tasks[[#This Row],[_ConstraintCode]]=5,Tasks[[#This Row],[_ConstraintCode]]=7),Tasks[[#This Row],[_ConstraintStart]],2958465)</f>
        <v>2958465</v>
      </c>
      <c r="CJ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5" s="89" t="str">
        <f aca="false">IF(NOT(Tasks[[#This Row],[_IsLeaf]]=1),"",IF(N(Tasks[[#This Row],[_Days]])&lt;=0,Tasks[[#This Row],[_LeafCalcStart]],WORKDAY.INTL(Tasks[[#This Row],[_LeafCalcStart]],Tasks[[#This Row],[_Days]]-1,WorkWeek,Holidays)))</f>
        <v/>
      </c>
      <c r="CL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5" s="42" t="str">
        <f aca="false">IF(Tasks[[#This Row],[_Predecessors]]="","",TRIM(MID(SUBSTITUTE(SUBSTITUTE(SUBSTITUTE(UPPER(Tasks[[#This Row],[_Predecessors]]),";",",")," ",""),",",REPT(" ",99)),1,99)))</f>
        <v/>
      </c>
      <c r="CO25" s="42" t="str">
        <f aca="false">IF(Tasks[[#This Row],[_Pred1Text]]="","",IFERROR(VALUE(LEFT(Tasks[[#This Row],[_Pred1Text]],MIN(FIND("F",Tasks[[#This Row],[_Pred1Text]]&amp;"F"),FIND("S",Tasks[[#This Row],[_Pred1Text]]&amp;"S"),FIND("+",Tasks[[#This Row],[_Pred1Text]]&amp;"+"),FIND("-",Tasks[[#This Row],[_Pred1Text]]&amp;"-"))-1)),""))</f>
        <v/>
      </c>
      <c r="CP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5" s="42" t="str">
        <f aca="false">IF(Tasks[[#This Row],[_Pred1Text]]="","",TRIM(MID(SUBSTITUTE(SUBSTITUTE(SUBSTITUTE(UPPER(Tasks[[#This Row],[_Predecessors]]),";",",")," ",""),",",REPT(" ",99)),100,99)))</f>
        <v/>
      </c>
      <c r="CS25" s="42" t="str">
        <f aca="false">IF(Tasks[[#This Row],[_Pred2Text]]="","",IFERROR(VALUE(LEFT(Tasks[[#This Row],[_Pred2Text]],MIN(FIND("F",Tasks[[#This Row],[_Pred2Text]]&amp;"F"),FIND("S",Tasks[[#This Row],[_Pred2Text]]&amp;"S"),FIND("+",Tasks[[#This Row],[_Pred2Text]]&amp;"+"),FIND("-",Tasks[[#This Row],[_Pred2Text]]&amp;"-"))-1)),""))</f>
        <v/>
      </c>
      <c r="CT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5" s="42" t="str">
        <f aca="false">IF(Tasks[[#This Row],[_Pred2Text]]="","",TRIM(MID(SUBSTITUTE(SUBSTITUTE(SUBSTITUTE(UPPER(Tasks[[#This Row],[_Predecessors]]),";",",")," ",""),",",REPT(" ",99)),199,99)))</f>
        <v/>
      </c>
      <c r="CW25" s="42" t="str">
        <f aca="false">IF(Tasks[[#This Row],[_Pred3Text]]="","",IFERROR(VALUE(LEFT(Tasks[[#This Row],[_Pred3Text]],MIN(FIND("F",Tasks[[#This Row],[_Pred3Text]]&amp;"F"),FIND("S",Tasks[[#This Row],[_Pred3Text]]&amp;"S"),FIND("+",Tasks[[#This Row],[_Pred3Text]]&amp;"+"),FIND("-",Tasks[[#This Row],[_Pred3Text]]&amp;"-"))-1)),""))</f>
        <v/>
      </c>
      <c r="CX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5" s="42" t="str">
        <f aca="false">IF(Tasks[[#This Row],[_Pred3Text]]="","",TRIM(MID(SUBSTITUTE(SUBSTITUTE(SUBSTITUTE(UPPER(Tasks[[#This Row],[_Predecessors]]),";",",")," ",""),",",REPT(" ",99)),298,99)))</f>
        <v/>
      </c>
      <c r="DA25" s="42" t="str">
        <f aca="false">IF(Tasks[[#This Row],[_Pred4Text]]="","",IFERROR(VALUE(LEFT(Tasks[[#This Row],[_Pred4Text]],MIN(FIND("F",Tasks[[#This Row],[_Pred4Text]]&amp;"F"),FIND("S",Tasks[[#This Row],[_Pred4Text]]&amp;"S"),FIND("+",Tasks[[#This Row],[_Pred4Text]]&amp;"+"),FIND("-",Tasks[[#This Row],[_Pred4Text]]&amp;"-"))-1)),""))</f>
        <v/>
      </c>
      <c r="DB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5" s="42" t="str">
        <f aca="false">IF(OR(Tasks[[#This Row],[Task Name]]="",Tasks[[#This Row],[_Resources]]=""),"",TRIM(MID(SUBSTITUTE(Tasks[[#This Row],[_Resources]],",",REPT(" ",99)),1,99)))</f>
        <v/>
      </c>
      <c r="DE25" s="42" t="str">
        <f aca="false">IF(Tasks[[#This Row],[_Res1Text]]="","",TRIM(MID(SUBSTITUTE(Tasks[[#This Row],[_Resources]],",",REPT(" ",99)),100,99)))</f>
        <v/>
      </c>
      <c r="DF25" s="42" t="str">
        <f aca="false">IF(Tasks[[#This Row],[_Res2Text]]="","",TRIM(MID(SUBSTITUTE(Tasks[[#This Row],[_Resources]],",",REPT(" ",99)),199,99)))</f>
        <v/>
      </c>
      <c r="DG25" s="42" t="str">
        <f aca="false">IF(Tasks[[#This Row],[_Res3Text]]="","",TRIM(MID(SUBSTITUTE(Tasks[[#This Row],[_Resources]],",",REPT(" ",99)),298,99)))</f>
        <v/>
      </c>
      <c r="DH25" s="42" t="n">
        <f aca="false">IF(Tasks[[#This Row],[_Res1Text]]="",0,IFERROR(MATCH(TRIM(LEFT(Tasks[[#This Row],[_Res1Text]],FIND("[",Tasks[[#This Row],[_Res1Text]]&amp;"[")-1)),res_Name,0),IFERROR(MATCH(TRIM(LEFT(Tasks[[#This Row],[_Res1Text]],FIND("[",Tasks[[#This Row],[_Res1Text]]&amp;"[")-1)),res_Initials,0),0)))</f>
        <v>0</v>
      </c>
      <c r="DI25" s="42" t="n">
        <f aca="false">IF(Tasks[[#This Row],[_Res2Text]]="",0,IFERROR(MATCH(TRIM(LEFT(Tasks[[#This Row],[_Res2Text]],FIND("[",Tasks[[#This Row],[_Res2Text]]&amp;"[")-1)),res_Name,0),IFERROR(MATCH(TRIM(LEFT(Tasks[[#This Row],[_Res2Text]],FIND("[",Tasks[[#This Row],[_Res2Text]]&amp;"[")-1)),res_Initials,0),0)))</f>
        <v>0</v>
      </c>
      <c r="DJ25" s="42" t="n">
        <f aca="false">IF(Tasks[[#This Row],[_Res3Text]]="",0,IFERROR(MATCH(TRIM(LEFT(Tasks[[#This Row],[_Res3Text]],FIND("[",Tasks[[#This Row],[_Res3Text]]&amp;"[")-1)),res_Name,0),IFERROR(MATCH(TRIM(LEFT(Tasks[[#This Row],[_Res3Text]],FIND("[",Tasks[[#This Row],[_Res3Text]]&amp;"[")-1)),res_Initials,0),0)))</f>
        <v>0</v>
      </c>
      <c r="DK25" s="42" t="n">
        <f aca="false">IF(Tasks[[#This Row],[_Res4Text]]="",0,IFERROR(MATCH(TRIM(LEFT(Tasks[[#This Row],[_Res4Text]],FIND("[",Tasks[[#This Row],[_Res4Text]]&amp;"[")-1)),res_Name,0),IFERROR(MATCH(TRIM(LEFT(Tasks[[#This Row],[_Res4Text]],FIND("[",Tasks[[#This Row],[_Res4Text]]&amp;"[")-1)),res_Initials,0),0)))</f>
        <v>0</v>
      </c>
      <c r="DL25" s="42" t="str">
        <f aca="false">IF(Tasks[[#This Row],[_Res1Text]]="","",IF(Tasks[[#This Row],[_Res1Row]]&gt;0,INDEX(res_Name,Tasks[[#This Row],[_Res1Row]]),TRIM(LEFT(Tasks[[#This Row],[_Res1Text]],FIND("[",Tasks[[#This Row],[_Res1Text]]&amp;"[")-1))))</f>
        <v/>
      </c>
      <c r="DM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5" s="42" t="n">
        <f aca="false">IF(NOT(Tasks[[#This Row],[_IsLeaf]]=1),0,(Tasks[[#This Row],[_Resource1]]&lt;&gt;"")+(Tasks[[#This Row],[_Res2]]&lt;&gt;"")+(Tasks[[#This Row],[_Res3]]&lt;&gt;"")+(Tasks[[#This Row],[_Res4]]&lt;&gt;""))</f>
        <v>0</v>
      </c>
      <c r="DO25" s="42" t="str">
        <f aca="false">IF(Tasks[[#This Row],[_Res2Text]]="","",IF(Tasks[[#This Row],[_Res2Row]]&gt;0,INDEX(res_Name,Tasks[[#This Row],[_Res2Row]]),TRIM(LEFT(Tasks[[#This Row],[_Res2Text]],FIND("[",Tasks[[#This Row],[_Res2Text]]&amp;"[")-1))))</f>
        <v/>
      </c>
      <c r="DP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5" s="42" t="n">
        <f aca="false">IF(OR(NOT(Tasks[[#This Row],[_IsLeaf]]=1),Tasks[[#This Row],[_Res2Row]]=0),0,N(Tasks[[#This Row],[_Days]])*HoursPerDay*IF(Tasks[[#This Row],[_Res2Units]]="",DefaultUnits,Tasks[[#This Row],[_Res2Units]]))</f>
        <v>0</v>
      </c>
      <c r="DR25" s="42" t="n">
        <f aca="false">IF(AND(AND(Tasks[[#This Row],[_IsLeaf]]=1,Tasks[[#This Row],[_LeafTotalWork]]&gt;0),Tasks[[#This Row],[_Res2Work]]&gt;0),Tasks[[#This Row],[_Res2Work]]/(Tasks[[#This Row],[_FinishWorkday]]-Tasks[[#This Row],[_StartWorkday]]+1),0)</f>
        <v>0</v>
      </c>
      <c r="DS25" s="42" t="n">
        <f aca="false">Tasks[[#This Row],[_Res2WorkPerWD]]*MAX(0,Tasks[[#This Row],[_StartWorkday]]-1)</f>
        <v>0</v>
      </c>
      <c r="DT25" s="42" t="n">
        <f aca="false">Tasks[[#This Row],[_Res2Work]]*Tasks[[#This Row],[_LeafProgress]]</f>
        <v>0</v>
      </c>
      <c r="DU25" s="42" t="str">
        <f aca="false">IF(Tasks[[#This Row],[_Res3Text]]="","",IF(Tasks[[#This Row],[_Res3Row]]&gt;0,INDEX(res_Name,Tasks[[#This Row],[_Res3Row]]),TRIM(LEFT(Tasks[[#This Row],[_Res3Text]],FIND("[",Tasks[[#This Row],[_Res3Text]]&amp;"[")-1))))</f>
        <v/>
      </c>
      <c r="DV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5" s="42" t="n">
        <f aca="false">IF(OR(NOT(Tasks[[#This Row],[_IsLeaf]]=1),Tasks[[#This Row],[_Res3Row]]=0),0,N(Tasks[[#This Row],[_Days]])*HoursPerDay*IF(Tasks[[#This Row],[_Res3Units]]="",DefaultUnits,Tasks[[#This Row],[_Res3Units]]))</f>
        <v>0</v>
      </c>
      <c r="DX25" s="42" t="n">
        <f aca="false">IF(AND(AND(Tasks[[#This Row],[_IsLeaf]]=1,Tasks[[#This Row],[_LeafTotalWork]]&gt;0),Tasks[[#This Row],[_Res3Work]]&gt;0),Tasks[[#This Row],[_Res3Work]]/(Tasks[[#This Row],[_FinishWorkday]]-Tasks[[#This Row],[_StartWorkday]]+1),0)</f>
        <v>0</v>
      </c>
      <c r="DY25" s="42" t="n">
        <f aca="false">Tasks[[#This Row],[_Res3WorkPerWD]]*MAX(0,Tasks[[#This Row],[_StartWorkday]]-1)</f>
        <v>0</v>
      </c>
      <c r="DZ25" s="42" t="n">
        <f aca="false">Tasks[[#This Row],[_Res3Work]]*Tasks[[#This Row],[_LeafProgress]]</f>
        <v>0</v>
      </c>
      <c r="EA25" s="42" t="str">
        <f aca="false">IF(Tasks[[#This Row],[_Res4Text]]="","",IF(Tasks[[#This Row],[_Res4Row]]&gt;0,INDEX(res_Name,Tasks[[#This Row],[_Res4Row]]),TRIM(LEFT(Tasks[[#This Row],[_Res4Text]],FIND("[",Tasks[[#This Row],[_Res4Text]]&amp;"[")-1))))</f>
        <v/>
      </c>
      <c r="EB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5" s="42" t="n">
        <f aca="false">IF(OR(NOT(Tasks[[#This Row],[_IsLeaf]]=1),Tasks[[#This Row],[_Res4Row]]=0),0,N(Tasks[[#This Row],[_Days]])*HoursPerDay*IF(Tasks[[#This Row],[_Res4Units]]="",DefaultUnits,Tasks[[#This Row],[_Res4Units]]))</f>
        <v>0</v>
      </c>
      <c r="ED25" s="42" t="n">
        <f aca="false">IF(AND(AND(Tasks[[#This Row],[_IsLeaf]]=1,Tasks[[#This Row],[_LeafTotalWork]]&gt;0),Tasks[[#This Row],[_Res4Work]]&gt;0),Tasks[[#This Row],[_Res4Work]]/(Tasks[[#This Row],[_FinishWorkday]]-Tasks[[#This Row],[_StartWorkday]]+1),0)</f>
        <v>0</v>
      </c>
      <c r="EE25" s="42" t="n">
        <f aca="false">Tasks[[#This Row],[_Res4WorkPerWD]]*MAX(0,Tasks[[#This Row],[_StartWorkday]]-1)</f>
        <v>0</v>
      </c>
      <c r="EF25" s="42" t="n">
        <f aca="false">Tasks[[#This Row],[_Res4Work]]*Tasks[[#This Row],[_LeafProgress]]</f>
        <v>0</v>
      </c>
      <c r="EG25" s="42" t="n">
        <f aca="false">IF(ISNUMBER(Tasks[[#This Row],[% Complete]]),Tasks[[#This Row],[% Complete]],IF(Tasks[[#This Row],[Stage]]="",0,IFERROR(INDEX(stg_Pct,MATCH(Tasks[[#This Row],[Stage]],stg_Name,0)),0)))</f>
        <v>0</v>
      </c>
      <c r="EH25" s="42" t="n">
        <f aca="false">IF(NOT(Tasks[[#This Row],[_IsLeaf]]=1),0,IF(N(Tasks[[#This Row],[Actual Finish]])&gt;0,1,MIN(1,Tasks[[#This Row],[_Pct]])))</f>
        <v>0</v>
      </c>
      <c r="EI25" s="42" t="n">
        <f aca="false">IF(OR(NOT(Tasks[[#This Row],[_IsLeaf]]=1),Tasks[[#This Row],[_Res1Row]]=0),0,N(Tasks[[#This Row],[_Days]])*HoursPerDay*IF(Tasks[[#This Row],[_Units1]]="",DefaultUnits,Tasks[[#This Row],[_Units1]]))</f>
        <v>0</v>
      </c>
      <c r="EJ25" s="42" t="n">
        <f aca="false">Tasks[[#This Row],[_LeafWork]]+Tasks[[#This Row],[_Res2Work]]+Tasks[[#This Row],[_Res3Work]]+Tasks[[#This Row],[_Res4Work]]</f>
        <v>0</v>
      </c>
      <c r="EK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5" s="42" t="n">
        <f aca="false">IF(NOT(Tasks[[#This Row],[_IsLeaf]]=1),0,MAX(_xlfn.MAXIFS(Tasks[_Row],Tasks[_Pred1UID],Tasks[[#This Row],[UID]]),_xlfn.MAXIFS(Tasks[_Row],Tasks[_Pred2UID],Tasks[[#This Row],[UID]]),_xlfn.MAXIFS(Tasks[_Row],Tasks[_Pred3UID],Tasks[[#This Row],[UID]]),_xlfn.MAXIFS(Tasks[_Row],Tasks[_Pred4UID],Tasks[[#This Row],[UID]])))</f>
        <v>0</v>
      </c>
      <c r="ET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5" s="89" t="str">
        <f aca="false">IF(NOT(Tasks[[#This Row],[_IsLeaf]]=1),"",IF(N(Tasks[[#This Row],[_Days]])&lt;=0,Tasks[[#This Row],[_LeafLateFinish]],WORKDAY.INTL(Tasks[[#This Row],[_LeafLateFinish]],-(Tasks[[#This Row],[_Days]]-1),WorkWeek,Holidays)))</f>
        <v/>
      </c>
      <c r="EW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5" s="88" t="b">
        <f aca="false">AND(Tasks[[#This Row],[_IsLeaf]]=1,Tasks[[#This Row],[_LeafProgress]]&lt;1,N(Tasks[[#This Row],[_LeafTotalSlack]])&lt;=CriticalSlackDays)</f>
        <v>0</v>
      </c>
      <c r="EY25" s="42" t="n">
        <f aca="false">IF(AND(Tasks[[#This Row],[_IsLeaf]]=1,Tasks[[#This Row],[_ConstraintCode]]=1,Tasks[[#This Row],[Mode]]&lt;&gt;"Manual",N(Tasks[[#This Row],[Actual Start]])=0),MAX(0,N(Tasks[[#This Row],[Free Slack]])),0)</f>
        <v>0</v>
      </c>
      <c r="EZ25" s="89" t="str">
        <f aca="false">IF(NOT(Tasks[[#This Row],[_IsLeaf]]=1),"",IF(Tasks[[#This Row],[_AlapShift]]=0,Tasks[[#This Row],[_LeafCalcStart]],WORKDAY.INTL(Tasks[[#This Row],[_LeafCalcStart]],Tasks[[#This Row],[_AlapShift]],WorkWeek,Holidays)))</f>
        <v/>
      </c>
      <c r="FA25" s="89" t="str">
        <f aca="false">IF(NOT(Tasks[[#This Row],[_IsLeaf]]=1),"",IF(Tasks[[#This Row],[_AlapShift]]=0,Tasks[[#This Row],[_LeafCalcFinish]],WORKDAY.INTL(Tasks[[#This Row],[_LeafCalcFinish]],Tasks[[#This Row],[_AlapShift]],WorkWeek,Holidays)))</f>
        <v/>
      </c>
      <c r="FB25" s="89" t="str">
        <f aca="false">IF(NOT(Tasks[[#This Row],[_IsLeaf]]=1),"",IF(Tasks[[#This Row],[_AlapShift]]=0,Tasks[[#This Row],[_LeafFcstStart]],WORKDAY.INTL(Tasks[[#This Row],[_LeafFcstStart]],Tasks[[#This Row],[_AlapShift]],WorkWeek,Holidays)))</f>
        <v/>
      </c>
      <c r="FC25" s="89" t="str">
        <f aca="false">IF(NOT(Tasks[[#This Row],[_IsLeaf]]=1),"",IF(Tasks[[#This Row],[_AlapShift]]=0,Tasks[[#This Row],[_LeafFcstFinish]],WORKDAY.INTL(Tasks[[#This Row],[_LeafFcstFinish]],Tasks[[#This Row],[_AlapShift]],WorkWeek,Holidays)))</f>
        <v/>
      </c>
      <c r="FD25" s="89" t="str">
        <f aca="false">IF(Tasks[[#This Row],[Task Name]]="","",IF(Tasks[[#This Row],[_IsSummary]],MIN(INDEX(Tasks[_ShownCalcStart],Tasks[[#This Row],[_Row]]+1):INDEX(Tasks[_ShownCalcStart],Tasks[[#This Row],[_Row]]+Tasks[[#This Row],[_Descendants]])),Tasks[[#This Row],[_ShownCalcStart]]))</f>
        <v/>
      </c>
      <c r="FE25" s="89" t="str">
        <f aca="false">IF(Tasks[[#This Row],[Task Name]]="","",IF(Tasks[[#This Row],[_IsSummary]],MAX(INDEX(Tasks[_ShownCalcFinish],Tasks[[#This Row],[_Row]]+1):INDEX(Tasks[_ShownCalcFinish],Tasks[[#This Row],[_Row]]+Tasks[[#This Row],[_Descendants]])),Tasks[[#This Row],[_ShownCalcFinish]]))</f>
        <v/>
      </c>
      <c r="FF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5" s="42" t="n">
        <f aca="false">IF(AND(Tasks[[#This Row],[_IsLeaf]]=1,Tasks[[#This Row],[_LeafTotalWork]]&gt;0),NETWORKDAYS.INTL(ProjectStart,Tasks[[#This Row],[_ShownFcstStart]],WorkWeek,Holidays),0)</f>
        <v>0</v>
      </c>
      <c r="FS25" s="42" t="n">
        <f aca="false">IF(AND(Tasks[[#This Row],[_IsLeaf]]=1,Tasks[[#This Row],[_LeafTotalWork]]&gt;0),MAX(Tasks[[#This Row],[_StartWorkday]],NETWORKDAYS.INTL(ProjectStart,Tasks[[#This Row],[_ShownFcstFinish]],WorkWeek,Holidays)),0)</f>
        <v>0</v>
      </c>
      <c r="FT25" s="42" t="n">
        <f aca="false">IF(AND(Tasks[[#This Row],[_IsLeaf]]=1,Tasks[[#This Row],[_LeafTotalWork]]&gt;0),Tasks[[#This Row],[_LeafWork]]/(Tasks[[#This Row],[_FinishWorkday]]-Tasks[[#This Row],[_StartWorkday]]+1),0)</f>
        <v>0</v>
      </c>
      <c r="FU25" s="42" t="n">
        <f aca="false">Tasks[[#This Row],[_WorkPerWorkday]]*(Tasks[[#This Row],[_StartWorkday]]-1)</f>
        <v>-0</v>
      </c>
      <c r="FV25" s="42" t="n">
        <f aca="false">IF(Tasks[[#This Row],[_IsLeaf]]=1,MAX(N(Tasks[[#This Row],[_Days]]),0.1),0)</f>
        <v>0</v>
      </c>
      <c r="FW25" s="42" t="n">
        <f aca="false">Tasks[[#This Row],[_WeightDur]]*Tasks[[#This Row],[_LeafProgress]]</f>
        <v>0</v>
      </c>
      <c r="FX25" s="42" t="n">
        <f aca="false">Tasks[[#This Row],[_WeightDur]]*Tasks[[#This Row],[_PlannedPct]]</f>
        <v>0</v>
      </c>
      <c r="FY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5" s="42" t="str">
        <f aca="false">IF(AND(Tasks[[#This Row],[_IsLeaf]]=1,N(Tasks[[#This Row],[_Days]])=0,Tasks[[#This Row],[_LeafProgress]]&lt;1),Tasks[[#This Row],[_ShownFcstFinish]]+Tasks[[#This Row],[_Row]]/100000,"")</f>
        <v/>
      </c>
      <c r="GA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5" s="42" t="str">
        <f aca="false">IF(Tasks[[#This Row],[Task Name]]="","",LEFT(Tasks[[#This Row],[WBS]],FIND(".",Tasks[[#This Row],[WBS]]&amp;".")-1))</f>
        <v/>
      </c>
      <c r="GC25" s="42" t="str">
        <f aca="false">IF(AND(Tasks[[#This Row],[Task Name]]&lt;&gt;"",Tasks[[#This Row],[_Level]]=1),Tasks[[#This Row],[_Row]],"")</f>
        <v/>
      </c>
      <c r="GD25" s="42" t="str">
        <f aca="false">IF(AND(Tasks[[#This Row],[_IsLeaf]]=1,N(Tasks[[#This Row],[_Days]])=0),Tasks[[#This Row],[Planned Finish]]+Tasks[[#This Row],[_Row]]/100000,"")</f>
        <v/>
      </c>
      <c r="GE25" s="42" t="str">
        <f aca="false">IF(AND(Tasks[[#This Row],[_IsLeaf]]=1,Tasks[[#This Row],[_LeafProgress]]&lt;1,OR(N(Tasks[[#This Row],[Finish Var]])&gt;0,Tasks[[#This Row],[Status]]="Late Start")),MAX(0,Tasks[[#This Row],[Finish Var]])+1-Tasks[[#This Row],[_Row]]/1000000,"")</f>
        <v/>
      </c>
      <c r="GF25" s="42" t="str">
        <f aca="false">IF(AND(Tasks[[#This Row],[_IsLeaf]]=1,N(Tasks[[#This Row],[Actual Start]])=0,Tasks[[#This Row],[_ShownFcstStart]]&gt;=StatusDate,Tasks[[#This Row],[_ShownFcstStart]]&lt;=LookaheadEnd),Tasks[[#This Row],[_ShownFcstStart]]+Tasks[[#This Row],[_Row]]/100000,"")</f>
        <v/>
      </c>
      <c r="GG25" s="42" t="str">
        <f aca="false">IF(AND(Tasks[[#This Row],[_IsLeaf]]=1,Tasks[[#This Row],[_LeafProgress]]&lt;1,Tasks[[#This Row],[_ShownFcstFinish]]&gt;=StatusDate,Tasks[[#This Row],[_ShownFcstFinish]]&lt;=LookaheadEnd),Tasks[[#This Row],[_ShownFcstFinish]]+Tasks[[#This Row],[_Row]]/100000,"")</f>
        <v/>
      </c>
      <c r="GH25" s="42" t="str">
        <f aca="false">IF(Tasks[[#This Row],[_LeafCritical]],Tasks[[#This Row],[_ShownFcstStart]]+Tasks[[#This Row],[_Row]]/100000,"")</f>
        <v/>
      </c>
      <c r="GI25" s="42" t="n">
        <f aca="false">Tasks[[#This Row],[_LeafWork]]*Tasks[[#This Row],[_LeafProgress]]</f>
        <v>0</v>
      </c>
      <c r="GJ25" s="89" t="str">
        <f aca="false">IF(AND(Tasks[[#This Row],[_IsLeaf]]=1,Tasks[[#This Row],[_LeafProgress]]&gt;=1),IF(N(Tasks[[#This Row],[Actual Finish]])&gt;0,Tasks[[#This Row],[Actual Finish]],Tasks[[#This Row],[_ShownFcstFinish]]),"")</f>
        <v/>
      </c>
      <c r="GK25" s="42" t="n">
        <f aca="false">IF(Tasks[[#This Row],[_IsLeaf]]=1,N(Tasks[[#This Row],[Story Points]]),0)</f>
        <v>0</v>
      </c>
      <c r="GL25" s="42" t="str">
        <f aca="false">""</f>
        <v/>
      </c>
      <c r="GM25" s="88" t="b">
        <f aca="false">IF(Tasks[[#This Row],[Task Name]]="",FALSE(),AND(Tasks[[#This Row],[_IsLeaf]]=1,N(Tasks[[#This Row],[_Days]])=0))</f>
        <v>0</v>
      </c>
      <c r="GN25" s="89" t="n">
        <f aca="false">IF(Tasks[[#This Row],[Task Name]]="",0,IF(AND(Tasks[[#This Row],[_IsLeaf]]=1,NOT(Tasks[[#This Row],[_IsMilestone]]),N(Tasks[[#This Row],[Progress]])&gt;0),Tasks[[#This Row],[Start]],0))</f>
        <v>0</v>
      </c>
      <c r="GO25" s="89" t="n">
        <f aca="false">IF(Tasks[[#This Row],[_DoneFrom]]=0,0,IF(Tasks[[#This Row],[Progress]]&gt;=1,Tasks[[#This Row],[Finish]],MAX(Tasks[[#This Row],[_DoneFrom]],Tasks[[#This Row],[Start]]+ROUND((Tasks[[#This Row],[Finish]]-Tasks[[#This Row],[Start]]+1)*Tasks[[#This Row],[Progress]],0)-1)))</f>
        <v>0</v>
      </c>
      <c r="GP25" s="89" t="n">
        <f aca="false">IF(Tasks[[#This Row],[Task Name]]="",0,IF(OR(NOT(Tasks[[#This Row],[_IsLeaf]]=1),Tasks[[#This Row],[_IsMilestone]],N(Tasks[[#This Row],[Progress]])&gt;=1),0,IF(Tasks[[#This Row],[_DoneTo]]&gt;0,Tasks[[#This Row],[_DoneTo]]+1,Tasks[[#This Row],[Start]])))</f>
        <v>0</v>
      </c>
      <c r="GQ25" s="89" t="n">
        <f aca="false">IF(Tasks[[#This Row],[_RemFrom]]=0,0,Tasks[[#This Row],[Finish]])</f>
        <v>0</v>
      </c>
      <c r="GR25" s="88" t="b">
        <f aca="false">IF(Tasks[[#This Row],[Task Name]]="",FALSE(),OR(NOT(BaselineSet),N(Tasks[[#This Row],[Baseline Start]])&gt;0))</f>
        <v>0</v>
      </c>
      <c r="GS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5" s="90" t="str">
        <f aca="false">IF(Tasks[[#This Row],[_IsLeaf]]=1,Tasks[[#This Row],[_Row]],"")</f>
        <v/>
      </c>
      <c r="GW25" s="90" t="str">
        <f aca="false">IFERROR(INDEX(Tasks[UID],SMALL(Tasks[_PickKey],Tasks[[#This Row],[_Row]]))&amp;" "&amp;INDEX(Tasks[Task Name],SMALL(Tasks[_PickKey],Tasks[[#This Row],[_Row]])),"")</f>
        <v/>
      </c>
      <c r="GX25" s="42" t="str">
        <f aca="false">IF(Tasks[[#This Row],[Task Name]]="","",IF(Tasks[[#This Row],[_IsSummary]],NETWORKDAYS.INTL(Tasks[[#This Row],[Start]],Tasks[[#This Row],[Finish]],WorkWeek,Holidays),N(Tasks[[#This Row],[_Days]])))</f>
        <v/>
      </c>
    </row>
    <row r="26" customFormat="false" ht="15" hidden="false" customHeight="false" outlineLevel="0" collapsed="false">
      <c r="A26" s="21" t="str">
        <f aca="false">IF(Tasks[[#This Row],[Task Name]]="","",COUNTA(Tasks[[#Headers],[Task Name]]:Tasks[[#This Row],[Task Name]])-1)</f>
        <v/>
      </c>
      <c r="B26" s="22" t="n">
        <v>34</v>
      </c>
      <c r="C26" s="22"/>
      <c r="D26" s="23"/>
      <c r="E26" s="22"/>
      <c r="F26" s="23"/>
      <c r="G26" s="22"/>
      <c r="H26" s="22"/>
      <c r="I26" s="23"/>
      <c r="J26" s="22"/>
      <c r="K26" s="22"/>
      <c r="L26" s="23"/>
      <c r="M26" s="22"/>
      <c r="N26" s="22"/>
      <c r="O26" s="23"/>
      <c r="P26" s="22"/>
      <c r="Q26" s="22"/>
      <c r="R26" s="23"/>
      <c r="S26" s="23"/>
      <c r="T26" s="83"/>
      <c r="U26" s="23"/>
      <c r="V26" s="83"/>
      <c r="W26" s="23"/>
      <c r="X26" s="83"/>
      <c r="Y26" s="23"/>
      <c r="Z26" s="83"/>
      <c r="AA26" s="23"/>
      <c r="AB26" s="23"/>
      <c r="AC26" s="7"/>
      <c r="AD26" s="7"/>
      <c r="AE26" s="62" t="str">
        <f aca="false">IF(Tasks[[#This Row],[Task Name]]="","",IF(Tasks[[#This Row],[_IsSummary]],MIN(INDEX(Tasks[_ShownFcstStart],Tasks[[#This Row],[_Row]]+1):INDEX(Tasks[_ShownFcstStart],Tasks[[#This Row],[_Row]]+Tasks[[#This Row],[_Descendants]])),Tasks[[#This Row],[_ShownFcstStart]]))</f>
        <v/>
      </c>
      <c r="AF26" s="62" t="str">
        <f aca="false">IF(Tasks[[#This Row],[Task Name]]="","",IF(Tasks[[#This Row],[_IsSummary]],MAX(INDEX(Tasks[_ShownFcstFinish],Tasks[[#This Row],[_Row]]+1):INDEX(Tasks[_ShownFcstFinish],Tasks[[#This Row],[_Row]]+Tasks[[#This Row],[_Descendants]])),Tasks[[#This Row],[_ShownFcstFinish]]))</f>
        <v/>
      </c>
      <c r="AG26" s="21" t="str">
        <f aca="false">""</f>
        <v/>
      </c>
      <c r="AH26" s="23"/>
      <c r="AI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6" s="7"/>
      <c r="AK26" s="22"/>
      <c r="AL26" s="23"/>
      <c r="AM26" s="7"/>
      <c r="AN26" s="46" t="str">
        <f aca="false">IF(Tasks[[#This Row],[Task Name]]="","",IF(Tasks[[#This Row],[Finish]]&gt;=Tasks[[#This Row],[Planned Finish]],NETWORKDAYS.INTL(Tasks[[#This Row],[Planned Finish]],Tasks[[#This Row],[Finish]],WorkWeek,Holidays)-1,1-NETWORKDAYS.INTL(Tasks[[#This Row],[Finish]],Tasks[[#This Row],[Planned Finish]],WorkWeek,Holidays)))</f>
        <v/>
      </c>
      <c r="AO26" s="21" t="str">
        <f aca="false">IF(Tasks[[#This Row],[Task Name]]="","",IF(Tasks[[#This Row],[Progress]]&gt;=1,"Complete",IF(OR(N(Tasks[[#This Row],[Actual Start]])&gt;0,Tasks[[#This Row],[Progress]]&gt;0),IF(Tasks[[#This Row],[Finish Var]]&gt;0,"Behind","In Progress"),IF(Tasks[[#This Row],[Planned Start]]&lt;StatusDate,"Late Start","Not Started"))))</f>
        <v/>
      </c>
      <c r="AP26" s="21" t="str">
        <f aca="false">IF(Tasks[[#This Row],[Task Name]]="","",IF(IF(Tasks[[#This Row],[_IsSummary]],COUNTIF(INDEX(Tasks[_LeafCritical],Tasks[[#This Row],[_Row]]+1):INDEX(Tasks[_LeafCritical],Tasks[[#This Row],[_Row]]+Tasks[[#This Row],[_Descendants]]),TRUE())&gt;0,Tasks[[#This Row],[_LeafCritical]]),"Yes",""))</f>
        <v/>
      </c>
      <c r="AQ26" s="62" t="str">
        <f aca="false">IF(Tasks[[#This Row],[Task Name]]="","",IF(N(Tasks[[#This Row],[Baseline Start]])&gt;0,Tasks[[#This Row],[Baseline Start]],Tasks[[#This Row],[_CalcStart]]))</f>
        <v/>
      </c>
      <c r="AR26" s="62" t="str">
        <f aca="false">IF(Tasks[[#This Row],[Task Name]]="","",IF(N(Tasks[[#This Row],[Baseline Finish]])&gt;0,Tasks[[#This Row],[Baseline Finish]],Tasks[[#This Row],[_CalcFinish]]))</f>
        <v/>
      </c>
      <c r="AS26" s="46" t="str">
        <f aca="false">IF(Tasks[[#This Row],[Task Name]]="","",IF(Tasks[[#This Row],[Start]]&gt;=Tasks[[#This Row],[Planned Start]],NETWORKDAYS.INTL(Tasks[[#This Row],[Planned Start]],Tasks[[#This Row],[Start]],WorkWeek,Holidays)-1,1-NETWORKDAYS.INTL(Tasks[[#This Row],[Start]],Tasks[[#This Row],[Planned Start]],WorkWeek,Holidays)))</f>
        <v/>
      </c>
      <c r="AT26" s="62" t="str">
        <f aca="false">IF(Tasks[[#This Row],[Task Name]]="","",IF(Tasks[[#This Row],[_IsSummary]],MIN(INDEX(Tasks[_LeafLateStart],Tasks[[#This Row],[_Row]]+1):INDEX(Tasks[_LeafLateStart],Tasks[[#This Row],[_Row]]+Tasks[[#This Row],[_Descendants]])),Tasks[[#This Row],[_LeafLateStart]]))</f>
        <v/>
      </c>
      <c r="AU26" s="62" t="str">
        <f aca="false">IF(Tasks[[#This Row],[Task Name]]="","",IF(Tasks[[#This Row],[_IsSummary]],MAX(INDEX(Tasks[_LeafLateFinish],Tasks[[#This Row],[_Row]]+1):INDEX(Tasks[_LeafLateFinish],Tasks[[#This Row],[_Row]]+Tasks[[#This Row],[_Descendants]])),Tasks[[#This Row],[_LeafLateFinish]]))</f>
        <v/>
      </c>
      <c r="AV26" s="46" t="str">
        <f aca="false">IF(Tasks[[#This Row],[Task Name]]="","",IF(Tasks[[#This Row],[_IsSummary]],MIN(INDEX(Tasks[_LeafTotalSlack],Tasks[[#This Row],[_Row]]+1):INDEX(Tasks[_LeafTotalSlack],Tasks[[#This Row],[_Row]]+Tasks[[#This Row],[_Descendants]])),Tasks[[#This Row],[_LeafTotalSlack]]))</f>
        <v/>
      </c>
      <c r="AW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4"/>
      <c r="BA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t="str">
        <f aca="false">IF(Tasks[[#This Row],[Task Name]]="","",IF(Tasks[[#This Row],[_Level]]&lt;=OutlineShowLevel,"Yes","No"))</f>
        <v/>
      </c>
      <c r="BE26" s="85" t="str">
        <f aca="false">IF(Tasks[[#This Row],[Task Name]]="","",IF(Tasks[[#This Row],[_IsSummary]],SUM(INDEX(Tasks[_LeafTotalWork],Tasks[[#This Row],[_Row]]+1):INDEX(Tasks[_LeafTotalWork],Tasks[[#This Row],[_Row]]+Tasks[[#This Row],[_Descendants]])),Tasks[[#This Row],[_LeafTotalWork]]))</f>
        <v/>
      </c>
      <c r="BF26" s="23"/>
      <c r="BG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t="str">
        <f aca="false">""</f>
        <v/>
      </c>
      <c r="BI26" s="86"/>
      <c r="BJ26" s="22"/>
      <c r="BK26" s="46" t="str">
        <f aca="false">IF(OR(Tasks[[#This Row],[Task Name]]="",Tasks[[#This Row],[Baseline Duration]]=""),"",Tasks[[#This Row],[_SpanDays]]-N(Tasks[[#This Row],[Baseline Duration]]))</f>
        <v/>
      </c>
      <c r="BL26" s="85" t="str">
        <f aca="false">IF(OR(Tasks[[#This Row],[Task Name]]="",Tasks[[#This Row],[Baseline Work]]=""),"",Tasks[[#This Row],[Work]]-N(Tasks[[#This Row],[Baseline Work]]))</f>
        <v/>
      </c>
      <c r="BM26" s="62" t="str">
        <f aca="false">IF(Tasks[[#This Row],[Task Name]]="","",IF(OR(TakeBaseline="Yes",N(Tasks[[#This Row],[Baseline Start]])=0),Tasks[[#This Row],[Start]],Tasks[[#This Row],[Baseline Start]]))</f>
        <v/>
      </c>
      <c r="BN26" s="62" t="str">
        <f aca="false">IF(Tasks[[#This Row],[Task Name]]="","",IF(OR(TakeBaseline="Yes",N(Tasks[[#This Row],[Baseline Finish]])=0),Tasks[[#This Row],[Finish]],Tasks[[#This Row],[Baseline Finish]]))</f>
        <v/>
      </c>
      <c r="BO26" s="21" t="str">
        <f aca="false">IF(Tasks[[#This Row],[Task Name]]="","",IF(OR(TakeBaseline="Yes",N(Tasks[[#This Row],[Baseline Duration]])=0),Tasks[[#This Row],[_SpanDays]],Tasks[[#This Row],[Baseline Duration]]))</f>
        <v/>
      </c>
      <c r="BP26" s="85" t="str">
        <f aca="false">IF(Tasks[[#This Row],[Task Name]]="","",IF(OR(TakeBaseline="Yes",N(Tasks[[#This Row],[Baseline Work]])=0),Tasks[[#This Row],[Work]],Tasks[[#This Row],[Baseline Work]]))</f>
        <v/>
      </c>
      <c r="BQ26" s="7"/>
      <c r="BR26" s="7"/>
      <c r="BS26" s="22"/>
      <c r="BT26" s="87"/>
      <c r="BU26" s="42" t="str">
        <f aca="false">IF(Tasks[[#This Row],[Task Name]]="","",MAX(1,N(Tasks[[#This Row],[Level]])))</f>
        <v/>
      </c>
      <c r="BV26" s="42" t="n">
        <f aca="false">ROW()-ROW(Tasks[[#Headers],[ID]])</f>
        <v>21</v>
      </c>
      <c r="BW26" s="42" t="n">
        <f aca="false">IF(OR(Tasks[[#This Row],[Task Name]]="",Tasks[[#This Row],[_Level]]&lt;=1),0,IFERROR(LOOKUP(2,1/(Tasks[[#Headers],[_Level]]:Tasks[[#This Row],[_Level]]=Tasks[[#This Row],[_Level]]-1),ROW(Tasks[[#Headers],[_Level]]:Tasks[[#This Row],[_Level]])),0))</f>
        <v>0</v>
      </c>
      <c r="BX26" s="42" t="n">
        <f aca="false">IFERROR(N(INDEX(Tasks[_Level],Tasks[[#This Row],[_Row]]+1)),0)</f>
        <v>0</v>
      </c>
      <c r="BY26" s="88" t="b">
        <f aca="false">AND(Tasks[[#This Row],[Task Name]]&lt;&gt;"",Tasks[[#This Row],[_NextLevel]]&gt;Tasks[[#This Row],[_Level]])</f>
        <v>0</v>
      </c>
      <c r="BZ26" s="42" t="n">
        <f aca="false">IF(Tasks[[#This Row],[_IsSummary]],COUNTIF(Tasks[WBS],Tasks[[#This Row],[WBS]]&amp;".*"),0)</f>
        <v>0</v>
      </c>
      <c r="CA26" s="42" t="n">
        <f aca="false">IF(AND(Tasks[[#This Row],[Task Name]]&lt;&gt;"",NOT(Tasks[[#This Row],[_IsSummary]])),1,0)</f>
        <v>0</v>
      </c>
      <c r="CB26" s="42" t="n">
        <f aca="false">IF(N(Tasks[[#This Row],[_Pred1UID]])=0,0,IFERROR(MATCH(Tasks[[#This Row],[_Pred1UID]],Tasks[UID],0),-1))</f>
        <v>0</v>
      </c>
      <c r="CC26" s="42" t="n">
        <f aca="false">IF(N(Tasks[[#This Row],[_Pred2UID]])=0,0,IFERROR(MATCH(Tasks[[#This Row],[_Pred2UID]],Tasks[UID],0),-1))</f>
        <v>0</v>
      </c>
      <c r="CD26" s="42" t="n">
        <f aca="false">IF(N(Tasks[[#This Row],[_Pred3UID]])=0,0,IFERROR(MATCH(Tasks[[#This Row],[_Pred3UID]],Tasks[UID],0),-1))</f>
        <v>0</v>
      </c>
      <c r="CE26" s="42" t="n">
        <f aca="false">IF(N(Tasks[[#This Row],[_Pred4UID]])=0,0,IFERROR(MATCH(Tasks[[#This Row],[_Pred4UID]],Tasks[UID],0),-1))</f>
        <v>0</v>
      </c>
      <c r="CF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6" s="89" t="n">
        <f aca="false">IF(OR(Tasks[[#This Row],[_ConstraintCode]]=2,Tasks[[#This Row],[_ConstraintCode]]=3,Tasks[[#This Row],[_ConstraintCode]]=4,Tasks[[#This Row],[_ConstraintCode]]=6),Tasks[[#This Row],[_ConstraintStart]],0)</f>
        <v>0</v>
      </c>
      <c r="CI26" s="89" t="n">
        <f aca="false">IF(OR(Tasks[[#This Row],[_ConstraintCode]]=2,Tasks[[#This Row],[_ConstraintCode]]=3,Tasks[[#This Row],[_ConstraintCode]]=5,Tasks[[#This Row],[_ConstraintCode]]=7),Tasks[[#This Row],[_ConstraintStart]],2958465)</f>
        <v>2958465</v>
      </c>
      <c r="CJ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6" s="89" t="str">
        <f aca="false">IF(NOT(Tasks[[#This Row],[_IsLeaf]]=1),"",IF(N(Tasks[[#This Row],[_Days]])&lt;=0,Tasks[[#This Row],[_LeafCalcStart]],WORKDAY.INTL(Tasks[[#This Row],[_LeafCalcStart]],Tasks[[#This Row],[_Days]]-1,WorkWeek,Holidays)))</f>
        <v/>
      </c>
      <c r="CL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6" s="42" t="str">
        <f aca="false">IF(Tasks[[#This Row],[_Predecessors]]="","",TRIM(MID(SUBSTITUTE(SUBSTITUTE(SUBSTITUTE(UPPER(Tasks[[#This Row],[_Predecessors]]),";",",")," ",""),",",REPT(" ",99)),1,99)))</f>
        <v/>
      </c>
      <c r="CO26" s="42" t="str">
        <f aca="false">IF(Tasks[[#This Row],[_Pred1Text]]="","",IFERROR(VALUE(LEFT(Tasks[[#This Row],[_Pred1Text]],MIN(FIND("F",Tasks[[#This Row],[_Pred1Text]]&amp;"F"),FIND("S",Tasks[[#This Row],[_Pred1Text]]&amp;"S"),FIND("+",Tasks[[#This Row],[_Pred1Text]]&amp;"+"),FIND("-",Tasks[[#This Row],[_Pred1Text]]&amp;"-"))-1)),""))</f>
        <v/>
      </c>
      <c r="CP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6" s="42" t="str">
        <f aca="false">IF(Tasks[[#This Row],[_Pred1Text]]="","",TRIM(MID(SUBSTITUTE(SUBSTITUTE(SUBSTITUTE(UPPER(Tasks[[#This Row],[_Predecessors]]),";",",")," ",""),",",REPT(" ",99)),100,99)))</f>
        <v/>
      </c>
      <c r="CS26" s="42" t="str">
        <f aca="false">IF(Tasks[[#This Row],[_Pred2Text]]="","",IFERROR(VALUE(LEFT(Tasks[[#This Row],[_Pred2Text]],MIN(FIND("F",Tasks[[#This Row],[_Pred2Text]]&amp;"F"),FIND("S",Tasks[[#This Row],[_Pred2Text]]&amp;"S"),FIND("+",Tasks[[#This Row],[_Pred2Text]]&amp;"+"),FIND("-",Tasks[[#This Row],[_Pred2Text]]&amp;"-"))-1)),""))</f>
        <v/>
      </c>
      <c r="CT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6" s="42" t="str">
        <f aca="false">IF(Tasks[[#This Row],[_Pred2Text]]="","",TRIM(MID(SUBSTITUTE(SUBSTITUTE(SUBSTITUTE(UPPER(Tasks[[#This Row],[_Predecessors]]),";",",")," ",""),",",REPT(" ",99)),199,99)))</f>
        <v/>
      </c>
      <c r="CW26" s="42" t="str">
        <f aca="false">IF(Tasks[[#This Row],[_Pred3Text]]="","",IFERROR(VALUE(LEFT(Tasks[[#This Row],[_Pred3Text]],MIN(FIND("F",Tasks[[#This Row],[_Pred3Text]]&amp;"F"),FIND("S",Tasks[[#This Row],[_Pred3Text]]&amp;"S"),FIND("+",Tasks[[#This Row],[_Pred3Text]]&amp;"+"),FIND("-",Tasks[[#This Row],[_Pred3Text]]&amp;"-"))-1)),""))</f>
        <v/>
      </c>
      <c r="CX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6" s="42" t="str">
        <f aca="false">IF(Tasks[[#This Row],[_Pred3Text]]="","",TRIM(MID(SUBSTITUTE(SUBSTITUTE(SUBSTITUTE(UPPER(Tasks[[#This Row],[_Predecessors]]),";",",")," ",""),",",REPT(" ",99)),298,99)))</f>
        <v/>
      </c>
      <c r="DA26" s="42" t="str">
        <f aca="false">IF(Tasks[[#This Row],[_Pred4Text]]="","",IFERROR(VALUE(LEFT(Tasks[[#This Row],[_Pred4Text]],MIN(FIND("F",Tasks[[#This Row],[_Pred4Text]]&amp;"F"),FIND("S",Tasks[[#This Row],[_Pred4Text]]&amp;"S"),FIND("+",Tasks[[#This Row],[_Pred4Text]]&amp;"+"),FIND("-",Tasks[[#This Row],[_Pred4Text]]&amp;"-"))-1)),""))</f>
        <v/>
      </c>
      <c r="DB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6" s="42" t="str">
        <f aca="false">IF(OR(Tasks[[#This Row],[Task Name]]="",Tasks[[#This Row],[_Resources]]=""),"",TRIM(MID(SUBSTITUTE(Tasks[[#This Row],[_Resources]],",",REPT(" ",99)),1,99)))</f>
        <v/>
      </c>
      <c r="DE26" s="42" t="str">
        <f aca="false">IF(Tasks[[#This Row],[_Res1Text]]="","",TRIM(MID(SUBSTITUTE(Tasks[[#This Row],[_Resources]],",",REPT(" ",99)),100,99)))</f>
        <v/>
      </c>
      <c r="DF26" s="42" t="str">
        <f aca="false">IF(Tasks[[#This Row],[_Res2Text]]="","",TRIM(MID(SUBSTITUTE(Tasks[[#This Row],[_Resources]],",",REPT(" ",99)),199,99)))</f>
        <v/>
      </c>
      <c r="DG26" s="42" t="str">
        <f aca="false">IF(Tasks[[#This Row],[_Res3Text]]="","",TRIM(MID(SUBSTITUTE(Tasks[[#This Row],[_Resources]],",",REPT(" ",99)),298,99)))</f>
        <v/>
      </c>
      <c r="DH26" s="42" t="n">
        <f aca="false">IF(Tasks[[#This Row],[_Res1Text]]="",0,IFERROR(MATCH(TRIM(LEFT(Tasks[[#This Row],[_Res1Text]],FIND("[",Tasks[[#This Row],[_Res1Text]]&amp;"[")-1)),res_Name,0),IFERROR(MATCH(TRIM(LEFT(Tasks[[#This Row],[_Res1Text]],FIND("[",Tasks[[#This Row],[_Res1Text]]&amp;"[")-1)),res_Initials,0),0)))</f>
        <v>0</v>
      </c>
      <c r="DI26" s="42" t="n">
        <f aca="false">IF(Tasks[[#This Row],[_Res2Text]]="",0,IFERROR(MATCH(TRIM(LEFT(Tasks[[#This Row],[_Res2Text]],FIND("[",Tasks[[#This Row],[_Res2Text]]&amp;"[")-1)),res_Name,0),IFERROR(MATCH(TRIM(LEFT(Tasks[[#This Row],[_Res2Text]],FIND("[",Tasks[[#This Row],[_Res2Text]]&amp;"[")-1)),res_Initials,0),0)))</f>
        <v>0</v>
      </c>
      <c r="DJ26" s="42" t="n">
        <f aca="false">IF(Tasks[[#This Row],[_Res3Text]]="",0,IFERROR(MATCH(TRIM(LEFT(Tasks[[#This Row],[_Res3Text]],FIND("[",Tasks[[#This Row],[_Res3Text]]&amp;"[")-1)),res_Name,0),IFERROR(MATCH(TRIM(LEFT(Tasks[[#This Row],[_Res3Text]],FIND("[",Tasks[[#This Row],[_Res3Text]]&amp;"[")-1)),res_Initials,0),0)))</f>
        <v>0</v>
      </c>
      <c r="DK26" s="42" t="n">
        <f aca="false">IF(Tasks[[#This Row],[_Res4Text]]="",0,IFERROR(MATCH(TRIM(LEFT(Tasks[[#This Row],[_Res4Text]],FIND("[",Tasks[[#This Row],[_Res4Text]]&amp;"[")-1)),res_Name,0),IFERROR(MATCH(TRIM(LEFT(Tasks[[#This Row],[_Res4Text]],FIND("[",Tasks[[#This Row],[_Res4Text]]&amp;"[")-1)),res_Initials,0),0)))</f>
        <v>0</v>
      </c>
      <c r="DL26" s="42" t="str">
        <f aca="false">IF(Tasks[[#This Row],[_Res1Text]]="","",IF(Tasks[[#This Row],[_Res1Row]]&gt;0,INDEX(res_Name,Tasks[[#This Row],[_Res1Row]]),TRIM(LEFT(Tasks[[#This Row],[_Res1Text]],FIND("[",Tasks[[#This Row],[_Res1Text]]&amp;"[")-1))))</f>
        <v/>
      </c>
      <c r="DM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6" s="42" t="n">
        <f aca="false">IF(NOT(Tasks[[#This Row],[_IsLeaf]]=1),0,(Tasks[[#This Row],[_Resource1]]&lt;&gt;"")+(Tasks[[#This Row],[_Res2]]&lt;&gt;"")+(Tasks[[#This Row],[_Res3]]&lt;&gt;"")+(Tasks[[#This Row],[_Res4]]&lt;&gt;""))</f>
        <v>0</v>
      </c>
      <c r="DO26" s="42" t="str">
        <f aca="false">IF(Tasks[[#This Row],[_Res2Text]]="","",IF(Tasks[[#This Row],[_Res2Row]]&gt;0,INDEX(res_Name,Tasks[[#This Row],[_Res2Row]]),TRIM(LEFT(Tasks[[#This Row],[_Res2Text]],FIND("[",Tasks[[#This Row],[_Res2Text]]&amp;"[")-1))))</f>
        <v/>
      </c>
      <c r="DP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6" s="42" t="n">
        <f aca="false">IF(OR(NOT(Tasks[[#This Row],[_IsLeaf]]=1),Tasks[[#This Row],[_Res2Row]]=0),0,N(Tasks[[#This Row],[_Days]])*HoursPerDay*IF(Tasks[[#This Row],[_Res2Units]]="",DefaultUnits,Tasks[[#This Row],[_Res2Units]]))</f>
        <v>0</v>
      </c>
      <c r="DR26" s="42" t="n">
        <f aca="false">IF(AND(AND(Tasks[[#This Row],[_IsLeaf]]=1,Tasks[[#This Row],[_LeafTotalWork]]&gt;0),Tasks[[#This Row],[_Res2Work]]&gt;0),Tasks[[#This Row],[_Res2Work]]/(Tasks[[#This Row],[_FinishWorkday]]-Tasks[[#This Row],[_StartWorkday]]+1),0)</f>
        <v>0</v>
      </c>
      <c r="DS26" s="42" t="n">
        <f aca="false">Tasks[[#This Row],[_Res2WorkPerWD]]*MAX(0,Tasks[[#This Row],[_StartWorkday]]-1)</f>
        <v>0</v>
      </c>
      <c r="DT26" s="42" t="n">
        <f aca="false">Tasks[[#This Row],[_Res2Work]]*Tasks[[#This Row],[_LeafProgress]]</f>
        <v>0</v>
      </c>
      <c r="DU26" s="42" t="str">
        <f aca="false">IF(Tasks[[#This Row],[_Res3Text]]="","",IF(Tasks[[#This Row],[_Res3Row]]&gt;0,INDEX(res_Name,Tasks[[#This Row],[_Res3Row]]),TRIM(LEFT(Tasks[[#This Row],[_Res3Text]],FIND("[",Tasks[[#This Row],[_Res3Text]]&amp;"[")-1))))</f>
        <v/>
      </c>
      <c r="DV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6" s="42" t="n">
        <f aca="false">IF(OR(NOT(Tasks[[#This Row],[_IsLeaf]]=1),Tasks[[#This Row],[_Res3Row]]=0),0,N(Tasks[[#This Row],[_Days]])*HoursPerDay*IF(Tasks[[#This Row],[_Res3Units]]="",DefaultUnits,Tasks[[#This Row],[_Res3Units]]))</f>
        <v>0</v>
      </c>
      <c r="DX26" s="42" t="n">
        <f aca="false">IF(AND(AND(Tasks[[#This Row],[_IsLeaf]]=1,Tasks[[#This Row],[_LeafTotalWork]]&gt;0),Tasks[[#This Row],[_Res3Work]]&gt;0),Tasks[[#This Row],[_Res3Work]]/(Tasks[[#This Row],[_FinishWorkday]]-Tasks[[#This Row],[_StartWorkday]]+1),0)</f>
        <v>0</v>
      </c>
      <c r="DY26" s="42" t="n">
        <f aca="false">Tasks[[#This Row],[_Res3WorkPerWD]]*MAX(0,Tasks[[#This Row],[_StartWorkday]]-1)</f>
        <v>0</v>
      </c>
      <c r="DZ26" s="42" t="n">
        <f aca="false">Tasks[[#This Row],[_Res3Work]]*Tasks[[#This Row],[_LeafProgress]]</f>
        <v>0</v>
      </c>
      <c r="EA26" s="42" t="str">
        <f aca="false">IF(Tasks[[#This Row],[_Res4Text]]="","",IF(Tasks[[#This Row],[_Res4Row]]&gt;0,INDEX(res_Name,Tasks[[#This Row],[_Res4Row]]),TRIM(LEFT(Tasks[[#This Row],[_Res4Text]],FIND("[",Tasks[[#This Row],[_Res4Text]]&amp;"[")-1))))</f>
        <v/>
      </c>
      <c r="EB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6" s="42" t="n">
        <f aca="false">IF(OR(NOT(Tasks[[#This Row],[_IsLeaf]]=1),Tasks[[#This Row],[_Res4Row]]=0),0,N(Tasks[[#This Row],[_Days]])*HoursPerDay*IF(Tasks[[#This Row],[_Res4Units]]="",DefaultUnits,Tasks[[#This Row],[_Res4Units]]))</f>
        <v>0</v>
      </c>
      <c r="ED26" s="42" t="n">
        <f aca="false">IF(AND(AND(Tasks[[#This Row],[_IsLeaf]]=1,Tasks[[#This Row],[_LeafTotalWork]]&gt;0),Tasks[[#This Row],[_Res4Work]]&gt;0),Tasks[[#This Row],[_Res4Work]]/(Tasks[[#This Row],[_FinishWorkday]]-Tasks[[#This Row],[_StartWorkday]]+1),0)</f>
        <v>0</v>
      </c>
      <c r="EE26" s="42" t="n">
        <f aca="false">Tasks[[#This Row],[_Res4WorkPerWD]]*MAX(0,Tasks[[#This Row],[_StartWorkday]]-1)</f>
        <v>0</v>
      </c>
      <c r="EF26" s="42" t="n">
        <f aca="false">Tasks[[#This Row],[_Res4Work]]*Tasks[[#This Row],[_LeafProgress]]</f>
        <v>0</v>
      </c>
      <c r="EG26" s="42" t="n">
        <f aca="false">IF(ISNUMBER(Tasks[[#This Row],[% Complete]]),Tasks[[#This Row],[% Complete]],IF(Tasks[[#This Row],[Stage]]="",0,IFERROR(INDEX(stg_Pct,MATCH(Tasks[[#This Row],[Stage]],stg_Name,0)),0)))</f>
        <v>0</v>
      </c>
      <c r="EH26" s="42" t="n">
        <f aca="false">IF(NOT(Tasks[[#This Row],[_IsLeaf]]=1),0,IF(N(Tasks[[#This Row],[Actual Finish]])&gt;0,1,MIN(1,Tasks[[#This Row],[_Pct]])))</f>
        <v>0</v>
      </c>
      <c r="EI26" s="42" t="n">
        <f aca="false">IF(OR(NOT(Tasks[[#This Row],[_IsLeaf]]=1),Tasks[[#This Row],[_Res1Row]]=0),0,N(Tasks[[#This Row],[_Days]])*HoursPerDay*IF(Tasks[[#This Row],[_Units1]]="",DefaultUnits,Tasks[[#This Row],[_Units1]]))</f>
        <v>0</v>
      </c>
      <c r="EJ26" s="42" t="n">
        <f aca="false">Tasks[[#This Row],[_LeafWork]]+Tasks[[#This Row],[_Res2Work]]+Tasks[[#This Row],[_Res3Work]]+Tasks[[#This Row],[_Res4Work]]</f>
        <v>0</v>
      </c>
      <c r="EK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6" s="42" t="n">
        <f aca="false">IF(NOT(Tasks[[#This Row],[_IsLeaf]]=1),0,MAX(_xlfn.MAXIFS(Tasks[_Row],Tasks[_Pred1UID],Tasks[[#This Row],[UID]]),_xlfn.MAXIFS(Tasks[_Row],Tasks[_Pred2UID],Tasks[[#This Row],[UID]]),_xlfn.MAXIFS(Tasks[_Row],Tasks[_Pred3UID],Tasks[[#This Row],[UID]]),_xlfn.MAXIFS(Tasks[_Row],Tasks[_Pred4UID],Tasks[[#This Row],[UID]])))</f>
        <v>0</v>
      </c>
      <c r="ET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6" s="89" t="str">
        <f aca="false">IF(NOT(Tasks[[#This Row],[_IsLeaf]]=1),"",IF(N(Tasks[[#This Row],[_Days]])&lt;=0,Tasks[[#This Row],[_LeafLateFinish]],WORKDAY.INTL(Tasks[[#This Row],[_LeafLateFinish]],-(Tasks[[#This Row],[_Days]]-1),WorkWeek,Holidays)))</f>
        <v/>
      </c>
      <c r="EW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6" s="88" t="b">
        <f aca="false">AND(Tasks[[#This Row],[_IsLeaf]]=1,Tasks[[#This Row],[_LeafProgress]]&lt;1,N(Tasks[[#This Row],[_LeafTotalSlack]])&lt;=CriticalSlackDays)</f>
        <v>0</v>
      </c>
      <c r="EY26" s="42" t="n">
        <f aca="false">IF(AND(Tasks[[#This Row],[_IsLeaf]]=1,Tasks[[#This Row],[_ConstraintCode]]=1,Tasks[[#This Row],[Mode]]&lt;&gt;"Manual",N(Tasks[[#This Row],[Actual Start]])=0),MAX(0,N(Tasks[[#This Row],[Free Slack]])),0)</f>
        <v>0</v>
      </c>
      <c r="EZ26" s="89" t="str">
        <f aca="false">IF(NOT(Tasks[[#This Row],[_IsLeaf]]=1),"",IF(Tasks[[#This Row],[_AlapShift]]=0,Tasks[[#This Row],[_LeafCalcStart]],WORKDAY.INTL(Tasks[[#This Row],[_LeafCalcStart]],Tasks[[#This Row],[_AlapShift]],WorkWeek,Holidays)))</f>
        <v/>
      </c>
      <c r="FA26" s="89" t="str">
        <f aca="false">IF(NOT(Tasks[[#This Row],[_IsLeaf]]=1),"",IF(Tasks[[#This Row],[_AlapShift]]=0,Tasks[[#This Row],[_LeafCalcFinish]],WORKDAY.INTL(Tasks[[#This Row],[_LeafCalcFinish]],Tasks[[#This Row],[_AlapShift]],WorkWeek,Holidays)))</f>
        <v/>
      </c>
      <c r="FB26" s="89" t="str">
        <f aca="false">IF(NOT(Tasks[[#This Row],[_IsLeaf]]=1),"",IF(Tasks[[#This Row],[_AlapShift]]=0,Tasks[[#This Row],[_LeafFcstStart]],WORKDAY.INTL(Tasks[[#This Row],[_LeafFcstStart]],Tasks[[#This Row],[_AlapShift]],WorkWeek,Holidays)))</f>
        <v/>
      </c>
      <c r="FC26" s="89" t="str">
        <f aca="false">IF(NOT(Tasks[[#This Row],[_IsLeaf]]=1),"",IF(Tasks[[#This Row],[_AlapShift]]=0,Tasks[[#This Row],[_LeafFcstFinish]],WORKDAY.INTL(Tasks[[#This Row],[_LeafFcstFinish]],Tasks[[#This Row],[_AlapShift]],WorkWeek,Holidays)))</f>
        <v/>
      </c>
      <c r="FD26" s="89" t="str">
        <f aca="false">IF(Tasks[[#This Row],[Task Name]]="","",IF(Tasks[[#This Row],[_IsSummary]],MIN(INDEX(Tasks[_ShownCalcStart],Tasks[[#This Row],[_Row]]+1):INDEX(Tasks[_ShownCalcStart],Tasks[[#This Row],[_Row]]+Tasks[[#This Row],[_Descendants]])),Tasks[[#This Row],[_ShownCalcStart]]))</f>
        <v/>
      </c>
      <c r="FE26" s="89" t="str">
        <f aca="false">IF(Tasks[[#This Row],[Task Name]]="","",IF(Tasks[[#This Row],[_IsSummary]],MAX(INDEX(Tasks[_ShownCalcFinish],Tasks[[#This Row],[_Row]]+1):INDEX(Tasks[_ShownCalcFinish],Tasks[[#This Row],[_Row]]+Tasks[[#This Row],[_Descendants]])),Tasks[[#This Row],[_ShownCalcFinish]]))</f>
        <v/>
      </c>
      <c r="FF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6" s="42" t="n">
        <f aca="false">IF(AND(Tasks[[#This Row],[_IsLeaf]]=1,Tasks[[#This Row],[_LeafTotalWork]]&gt;0),NETWORKDAYS.INTL(ProjectStart,Tasks[[#This Row],[_ShownFcstStart]],WorkWeek,Holidays),0)</f>
        <v>0</v>
      </c>
      <c r="FS26" s="42" t="n">
        <f aca="false">IF(AND(Tasks[[#This Row],[_IsLeaf]]=1,Tasks[[#This Row],[_LeafTotalWork]]&gt;0),MAX(Tasks[[#This Row],[_StartWorkday]],NETWORKDAYS.INTL(ProjectStart,Tasks[[#This Row],[_ShownFcstFinish]],WorkWeek,Holidays)),0)</f>
        <v>0</v>
      </c>
      <c r="FT26" s="42" t="n">
        <f aca="false">IF(AND(Tasks[[#This Row],[_IsLeaf]]=1,Tasks[[#This Row],[_LeafTotalWork]]&gt;0),Tasks[[#This Row],[_LeafWork]]/(Tasks[[#This Row],[_FinishWorkday]]-Tasks[[#This Row],[_StartWorkday]]+1),0)</f>
        <v>0</v>
      </c>
      <c r="FU26" s="42" t="n">
        <f aca="false">Tasks[[#This Row],[_WorkPerWorkday]]*(Tasks[[#This Row],[_StartWorkday]]-1)</f>
        <v>-0</v>
      </c>
      <c r="FV26" s="42" t="n">
        <f aca="false">IF(Tasks[[#This Row],[_IsLeaf]]=1,MAX(N(Tasks[[#This Row],[_Days]]),0.1),0)</f>
        <v>0</v>
      </c>
      <c r="FW26" s="42" t="n">
        <f aca="false">Tasks[[#This Row],[_WeightDur]]*Tasks[[#This Row],[_LeafProgress]]</f>
        <v>0</v>
      </c>
      <c r="FX26" s="42" t="n">
        <f aca="false">Tasks[[#This Row],[_WeightDur]]*Tasks[[#This Row],[_PlannedPct]]</f>
        <v>0</v>
      </c>
      <c r="FY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6" s="42" t="str">
        <f aca="false">IF(AND(Tasks[[#This Row],[_IsLeaf]]=1,N(Tasks[[#This Row],[_Days]])=0,Tasks[[#This Row],[_LeafProgress]]&lt;1),Tasks[[#This Row],[_ShownFcstFinish]]+Tasks[[#This Row],[_Row]]/100000,"")</f>
        <v/>
      </c>
      <c r="GA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6" s="42" t="str">
        <f aca="false">IF(Tasks[[#This Row],[Task Name]]="","",LEFT(Tasks[[#This Row],[WBS]],FIND(".",Tasks[[#This Row],[WBS]]&amp;".")-1))</f>
        <v/>
      </c>
      <c r="GC26" s="42" t="str">
        <f aca="false">IF(AND(Tasks[[#This Row],[Task Name]]&lt;&gt;"",Tasks[[#This Row],[_Level]]=1),Tasks[[#This Row],[_Row]],"")</f>
        <v/>
      </c>
      <c r="GD26" s="42" t="str">
        <f aca="false">IF(AND(Tasks[[#This Row],[_IsLeaf]]=1,N(Tasks[[#This Row],[_Days]])=0),Tasks[[#This Row],[Planned Finish]]+Tasks[[#This Row],[_Row]]/100000,"")</f>
        <v/>
      </c>
      <c r="GE26" s="42" t="str">
        <f aca="false">IF(AND(Tasks[[#This Row],[_IsLeaf]]=1,Tasks[[#This Row],[_LeafProgress]]&lt;1,OR(N(Tasks[[#This Row],[Finish Var]])&gt;0,Tasks[[#This Row],[Status]]="Late Start")),MAX(0,Tasks[[#This Row],[Finish Var]])+1-Tasks[[#This Row],[_Row]]/1000000,"")</f>
        <v/>
      </c>
      <c r="GF26" s="42" t="str">
        <f aca="false">IF(AND(Tasks[[#This Row],[_IsLeaf]]=1,N(Tasks[[#This Row],[Actual Start]])=0,Tasks[[#This Row],[_ShownFcstStart]]&gt;=StatusDate,Tasks[[#This Row],[_ShownFcstStart]]&lt;=LookaheadEnd),Tasks[[#This Row],[_ShownFcstStart]]+Tasks[[#This Row],[_Row]]/100000,"")</f>
        <v/>
      </c>
      <c r="GG26" s="42" t="str">
        <f aca="false">IF(AND(Tasks[[#This Row],[_IsLeaf]]=1,Tasks[[#This Row],[_LeafProgress]]&lt;1,Tasks[[#This Row],[_ShownFcstFinish]]&gt;=StatusDate,Tasks[[#This Row],[_ShownFcstFinish]]&lt;=LookaheadEnd),Tasks[[#This Row],[_ShownFcstFinish]]+Tasks[[#This Row],[_Row]]/100000,"")</f>
        <v/>
      </c>
      <c r="GH26" s="42" t="str">
        <f aca="false">IF(Tasks[[#This Row],[_LeafCritical]],Tasks[[#This Row],[_ShownFcstStart]]+Tasks[[#This Row],[_Row]]/100000,"")</f>
        <v/>
      </c>
      <c r="GI26" s="42" t="n">
        <f aca="false">Tasks[[#This Row],[_LeafWork]]*Tasks[[#This Row],[_LeafProgress]]</f>
        <v>0</v>
      </c>
      <c r="GJ26" s="89" t="str">
        <f aca="false">IF(AND(Tasks[[#This Row],[_IsLeaf]]=1,Tasks[[#This Row],[_LeafProgress]]&gt;=1),IF(N(Tasks[[#This Row],[Actual Finish]])&gt;0,Tasks[[#This Row],[Actual Finish]],Tasks[[#This Row],[_ShownFcstFinish]]),"")</f>
        <v/>
      </c>
      <c r="GK26" s="42" t="n">
        <f aca="false">IF(Tasks[[#This Row],[_IsLeaf]]=1,N(Tasks[[#This Row],[Story Points]]),0)</f>
        <v>0</v>
      </c>
      <c r="GL26" s="42" t="str">
        <f aca="false">""</f>
        <v/>
      </c>
      <c r="GM26" s="88" t="b">
        <f aca="false">IF(Tasks[[#This Row],[Task Name]]="",FALSE(),AND(Tasks[[#This Row],[_IsLeaf]]=1,N(Tasks[[#This Row],[_Days]])=0))</f>
        <v>0</v>
      </c>
      <c r="GN26" s="89" t="n">
        <f aca="false">IF(Tasks[[#This Row],[Task Name]]="",0,IF(AND(Tasks[[#This Row],[_IsLeaf]]=1,NOT(Tasks[[#This Row],[_IsMilestone]]),N(Tasks[[#This Row],[Progress]])&gt;0),Tasks[[#This Row],[Start]],0))</f>
        <v>0</v>
      </c>
      <c r="GO26" s="89" t="n">
        <f aca="false">IF(Tasks[[#This Row],[_DoneFrom]]=0,0,IF(Tasks[[#This Row],[Progress]]&gt;=1,Tasks[[#This Row],[Finish]],MAX(Tasks[[#This Row],[_DoneFrom]],Tasks[[#This Row],[Start]]+ROUND((Tasks[[#This Row],[Finish]]-Tasks[[#This Row],[Start]]+1)*Tasks[[#This Row],[Progress]],0)-1)))</f>
        <v>0</v>
      </c>
      <c r="GP26" s="89" t="n">
        <f aca="false">IF(Tasks[[#This Row],[Task Name]]="",0,IF(OR(NOT(Tasks[[#This Row],[_IsLeaf]]=1),Tasks[[#This Row],[_IsMilestone]],N(Tasks[[#This Row],[Progress]])&gt;=1),0,IF(Tasks[[#This Row],[_DoneTo]]&gt;0,Tasks[[#This Row],[_DoneTo]]+1,Tasks[[#This Row],[Start]])))</f>
        <v>0</v>
      </c>
      <c r="GQ26" s="89" t="n">
        <f aca="false">IF(Tasks[[#This Row],[_RemFrom]]=0,0,Tasks[[#This Row],[Finish]])</f>
        <v>0</v>
      </c>
      <c r="GR26" s="88" t="b">
        <f aca="false">IF(Tasks[[#This Row],[Task Name]]="",FALSE(),OR(NOT(BaselineSet),N(Tasks[[#This Row],[Baseline Start]])&gt;0))</f>
        <v>0</v>
      </c>
      <c r="GS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6" s="90" t="str">
        <f aca="false">IF(Tasks[[#This Row],[_IsLeaf]]=1,Tasks[[#This Row],[_Row]],"")</f>
        <v/>
      </c>
      <c r="GW26" s="90" t="str">
        <f aca="false">IFERROR(INDEX(Tasks[UID],SMALL(Tasks[_PickKey],Tasks[[#This Row],[_Row]]))&amp;" "&amp;INDEX(Tasks[Task Name],SMALL(Tasks[_PickKey],Tasks[[#This Row],[_Row]])),"")</f>
        <v/>
      </c>
      <c r="GX26" s="42" t="str">
        <f aca="false">IF(Tasks[[#This Row],[Task Name]]="","",IF(Tasks[[#This Row],[_IsSummary]],NETWORKDAYS.INTL(Tasks[[#This Row],[Start]],Tasks[[#This Row],[Finish]],WorkWeek,Holidays),N(Tasks[[#This Row],[_Days]])))</f>
        <v/>
      </c>
    </row>
    <row r="27" customFormat="false" ht="15" hidden="false" customHeight="false" outlineLevel="0" collapsed="false">
      <c r="A27" s="21" t="str">
        <f aca="false">IF(Tasks[[#This Row],[Task Name]]="","",COUNTA(Tasks[[#Headers],[Task Name]]:Tasks[[#This Row],[Task Name]])-1)</f>
        <v/>
      </c>
      <c r="B27" s="22" t="n">
        <v>35</v>
      </c>
      <c r="C27" s="22"/>
      <c r="D27" s="23"/>
      <c r="E27" s="22"/>
      <c r="F27" s="23"/>
      <c r="G27" s="22"/>
      <c r="H27" s="22"/>
      <c r="I27" s="23"/>
      <c r="J27" s="22"/>
      <c r="K27" s="22"/>
      <c r="L27" s="23"/>
      <c r="M27" s="22"/>
      <c r="N27" s="22"/>
      <c r="O27" s="23"/>
      <c r="P27" s="22"/>
      <c r="Q27" s="22"/>
      <c r="R27" s="23"/>
      <c r="S27" s="23"/>
      <c r="T27" s="83"/>
      <c r="U27" s="23"/>
      <c r="V27" s="83"/>
      <c r="W27" s="23"/>
      <c r="X27" s="83"/>
      <c r="Y27" s="23"/>
      <c r="Z27" s="83"/>
      <c r="AA27" s="23"/>
      <c r="AB27" s="23"/>
      <c r="AC27" s="7"/>
      <c r="AD27" s="7"/>
      <c r="AE27" s="62" t="str">
        <f aca="false">IF(Tasks[[#This Row],[Task Name]]="","",IF(Tasks[[#This Row],[_IsSummary]],MIN(INDEX(Tasks[_ShownFcstStart],Tasks[[#This Row],[_Row]]+1):INDEX(Tasks[_ShownFcstStart],Tasks[[#This Row],[_Row]]+Tasks[[#This Row],[_Descendants]])),Tasks[[#This Row],[_ShownFcstStart]]))</f>
        <v/>
      </c>
      <c r="AF27" s="62" t="str">
        <f aca="false">IF(Tasks[[#This Row],[Task Name]]="","",IF(Tasks[[#This Row],[_IsSummary]],MAX(INDEX(Tasks[_ShownFcstFinish],Tasks[[#This Row],[_Row]]+1):INDEX(Tasks[_ShownFcstFinish],Tasks[[#This Row],[_Row]]+Tasks[[#This Row],[_Descendants]])),Tasks[[#This Row],[_ShownFcstFinish]]))</f>
        <v/>
      </c>
      <c r="AG27" s="21" t="str">
        <f aca="false">""</f>
        <v/>
      </c>
      <c r="AH27" s="23"/>
      <c r="AI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7" s="7"/>
      <c r="AK27" s="22"/>
      <c r="AL27" s="23"/>
      <c r="AM27" s="7"/>
      <c r="AN27" s="46" t="str">
        <f aca="false">IF(Tasks[[#This Row],[Task Name]]="","",IF(Tasks[[#This Row],[Finish]]&gt;=Tasks[[#This Row],[Planned Finish]],NETWORKDAYS.INTL(Tasks[[#This Row],[Planned Finish]],Tasks[[#This Row],[Finish]],WorkWeek,Holidays)-1,1-NETWORKDAYS.INTL(Tasks[[#This Row],[Finish]],Tasks[[#This Row],[Planned Finish]],WorkWeek,Holidays)))</f>
        <v/>
      </c>
      <c r="AO27" s="21" t="str">
        <f aca="false">IF(Tasks[[#This Row],[Task Name]]="","",IF(Tasks[[#This Row],[Progress]]&gt;=1,"Complete",IF(OR(N(Tasks[[#This Row],[Actual Start]])&gt;0,Tasks[[#This Row],[Progress]]&gt;0),IF(Tasks[[#This Row],[Finish Var]]&gt;0,"Behind","In Progress"),IF(Tasks[[#This Row],[Planned Start]]&lt;StatusDate,"Late Start","Not Started"))))</f>
        <v/>
      </c>
      <c r="AP27" s="21" t="str">
        <f aca="false">IF(Tasks[[#This Row],[Task Name]]="","",IF(IF(Tasks[[#This Row],[_IsSummary]],COUNTIF(INDEX(Tasks[_LeafCritical],Tasks[[#This Row],[_Row]]+1):INDEX(Tasks[_LeafCritical],Tasks[[#This Row],[_Row]]+Tasks[[#This Row],[_Descendants]]),TRUE())&gt;0,Tasks[[#This Row],[_LeafCritical]]),"Yes",""))</f>
        <v/>
      </c>
      <c r="AQ27" s="62" t="str">
        <f aca="false">IF(Tasks[[#This Row],[Task Name]]="","",IF(N(Tasks[[#This Row],[Baseline Start]])&gt;0,Tasks[[#This Row],[Baseline Start]],Tasks[[#This Row],[_CalcStart]]))</f>
        <v/>
      </c>
      <c r="AR27" s="62" t="str">
        <f aca="false">IF(Tasks[[#This Row],[Task Name]]="","",IF(N(Tasks[[#This Row],[Baseline Finish]])&gt;0,Tasks[[#This Row],[Baseline Finish]],Tasks[[#This Row],[_CalcFinish]]))</f>
        <v/>
      </c>
      <c r="AS27" s="46" t="str">
        <f aca="false">IF(Tasks[[#This Row],[Task Name]]="","",IF(Tasks[[#This Row],[Start]]&gt;=Tasks[[#This Row],[Planned Start]],NETWORKDAYS.INTL(Tasks[[#This Row],[Planned Start]],Tasks[[#This Row],[Start]],WorkWeek,Holidays)-1,1-NETWORKDAYS.INTL(Tasks[[#This Row],[Start]],Tasks[[#This Row],[Planned Start]],WorkWeek,Holidays)))</f>
        <v/>
      </c>
      <c r="AT27" s="62" t="str">
        <f aca="false">IF(Tasks[[#This Row],[Task Name]]="","",IF(Tasks[[#This Row],[_IsSummary]],MIN(INDEX(Tasks[_LeafLateStart],Tasks[[#This Row],[_Row]]+1):INDEX(Tasks[_LeafLateStart],Tasks[[#This Row],[_Row]]+Tasks[[#This Row],[_Descendants]])),Tasks[[#This Row],[_LeafLateStart]]))</f>
        <v/>
      </c>
      <c r="AU27" s="62" t="str">
        <f aca="false">IF(Tasks[[#This Row],[Task Name]]="","",IF(Tasks[[#This Row],[_IsSummary]],MAX(INDEX(Tasks[_LeafLateFinish],Tasks[[#This Row],[_Row]]+1):INDEX(Tasks[_LeafLateFinish],Tasks[[#This Row],[_Row]]+Tasks[[#This Row],[_Descendants]])),Tasks[[#This Row],[_LeafLateFinish]]))</f>
        <v/>
      </c>
      <c r="AV27" s="46" t="str">
        <f aca="false">IF(Tasks[[#This Row],[Task Name]]="","",IF(Tasks[[#This Row],[_IsSummary]],MIN(INDEX(Tasks[_LeafTotalSlack],Tasks[[#This Row],[_Row]]+1):INDEX(Tasks[_LeafTotalSlack],Tasks[[#This Row],[_Row]]+Tasks[[#This Row],[_Descendants]])),Tasks[[#This Row],[_LeafTotalSlack]]))</f>
        <v/>
      </c>
      <c r="AW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4"/>
      <c r="BA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t="str">
        <f aca="false">IF(Tasks[[#This Row],[Task Name]]="","",IF(Tasks[[#This Row],[_Level]]&lt;=OutlineShowLevel,"Yes","No"))</f>
        <v/>
      </c>
      <c r="BE27" s="85" t="str">
        <f aca="false">IF(Tasks[[#This Row],[Task Name]]="","",IF(Tasks[[#This Row],[_IsSummary]],SUM(INDEX(Tasks[_LeafTotalWork],Tasks[[#This Row],[_Row]]+1):INDEX(Tasks[_LeafTotalWork],Tasks[[#This Row],[_Row]]+Tasks[[#This Row],[_Descendants]])),Tasks[[#This Row],[_LeafTotalWork]]))</f>
        <v/>
      </c>
      <c r="BF27" s="23"/>
      <c r="BG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t="str">
        <f aca="false">""</f>
        <v/>
      </c>
      <c r="BI27" s="86"/>
      <c r="BJ27" s="22"/>
      <c r="BK27" s="46" t="str">
        <f aca="false">IF(OR(Tasks[[#This Row],[Task Name]]="",Tasks[[#This Row],[Baseline Duration]]=""),"",Tasks[[#This Row],[_SpanDays]]-N(Tasks[[#This Row],[Baseline Duration]]))</f>
        <v/>
      </c>
      <c r="BL27" s="85" t="str">
        <f aca="false">IF(OR(Tasks[[#This Row],[Task Name]]="",Tasks[[#This Row],[Baseline Work]]=""),"",Tasks[[#This Row],[Work]]-N(Tasks[[#This Row],[Baseline Work]]))</f>
        <v/>
      </c>
      <c r="BM27" s="62" t="str">
        <f aca="false">IF(Tasks[[#This Row],[Task Name]]="","",IF(OR(TakeBaseline="Yes",N(Tasks[[#This Row],[Baseline Start]])=0),Tasks[[#This Row],[Start]],Tasks[[#This Row],[Baseline Start]]))</f>
        <v/>
      </c>
      <c r="BN27" s="62" t="str">
        <f aca="false">IF(Tasks[[#This Row],[Task Name]]="","",IF(OR(TakeBaseline="Yes",N(Tasks[[#This Row],[Baseline Finish]])=0),Tasks[[#This Row],[Finish]],Tasks[[#This Row],[Baseline Finish]]))</f>
        <v/>
      </c>
      <c r="BO27" s="21" t="str">
        <f aca="false">IF(Tasks[[#This Row],[Task Name]]="","",IF(OR(TakeBaseline="Yes",N(Tasks[[#This Row],[Baseline Duration]])=0),Tasks[[#This Row],[_SpanDays]],Tasks[[#This Row],[Baseline Duration]]))</f>
        <v/>
      </c>
      <c r="BP27" s="85" t="str">
        <f aca="false">IF(Tasks[[#This Row],[Task Name]]="","",IF(OR(TakeBaseline="Yes",N(Tasks[[#This Row],[Baseline Work]])=0),Tasks[[#This Row],[Work]],Tasks[[#This Row],[Baseline Work]]))</f>
        <v/>
      </c>
      <c r="BQ27" s="7"/>
      <c r="BR27" s="7"/>
      <c r="BS27" s="22"/>
      <c r="BT27" s="87"/>
      <c r="BU27" s="42" t="str">
        <f aca="false">IF(Tasks[[#This Row],[Task Name]]="","",MAX(1,N(Tasks[[#This Row],[Level]])))</f>
        <v/>
      </c>
      <c r="BV27" s="42" t="n">
        <f aca="false">ROW()-ROW(Tasks[[#Headers],[ID]])</f>
        <v>22</v>
      </c>
      <c r="BW27" s="42" t="n">
        <f aca="false">IF(OR(Tasks[[#This Row],[Task Name]]="",Tasks[[#This Row],[_Level]]&lt;=1),0,IFERROR(LOOKUP(2,1/(Tasks[[#Headers],[_Level]]:Tasks[[#This Row],[_Level]]=Tasks[[#This Row],[_Level]]-1),ROW(Tasks[[#Headers],[_Level]]:Tasks[[#This Row],[_Level]])),0))</f>
        <v>0</v>
      </c>
      <c r="BX27" s="42" t="n">
        <f aca="false">IFERROR(N(INDEX(Tasks[_Level],Tasks[[#This Row],[_Row]]+1)),0)</f>
        <v>0</v>
      </c>
      <c r="BY27" s="88" t="b">
        <f aca="false">AND(Tasks[[#This Row],[Task Name]]&lt;&gt;"",Tasks[[#This Row],[_NextLevel]]&gt;Tasks[[#This Row],[_Level]])</f>
        <v>0</v>
      </c>
      <c r="BZ27" s="42" t="n">
        <f aca="false">IF(Tasks[[#This Row],[_IsSummary]],COUNTIF(Tasks[WBS],Tasks[[#This Row],[WBS]]&amp;".*"),0)</f>
        <v>0</v>
      </c>
      <c r="CA27" s="42" t="n">
        <f aca="false">IF(AND(Tasks[[#This Row],[Task Name]]&lt;&gt;"",NOT(Tasks[[#This Row],[_IsSummary]])),1,0)</f>
        <v>0</v>
      </c>
      <c r="CB27" s="42" t="n">
        <f aca="false">IF(N(Tasks[[#This Row],[_Pred1UID]])=0,0,IFERROR(MATCH(Tasks[[#This Row],[_Pred1UID]],Tasks[UID],0),-1))</f>
        <v>0</v>
      </c>
      <c r="CC27" s="42" t="n">
        <f aca="false">IF(N(Tasks[[#This Row],[_Pred2UID]])=0,0,IFERROR(MATCH(Tasks[[#This Row],[_Pred2UID]],Tasks[UID],0),-1))</f>
        <v>0</v>
      </c>
      <c r="CD27" s="42" t="n">
        <f aca="false">IF(N(Tasks[[#This Row],[_Pred3UID]])=0,0,IFERROR(MATCH(Tasks[[#This Row],[_Pred3UID]],Tasks[UID],0),-1))</f>
        <v>0</v>
      </c>
      <c r="CE27" s="42" t="n">
        <f aca="false">IF(N(Tasks[[#This Row],[_Pred4UID]])=0,0,IFERROR(MATCH(Tasks[[#This Row],[_Pred4UID]],Tasks[UID],0),-1))</f>
        <v>0</v>
      </c>
      <c r="CF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7" s="89" t="n">
        <f aca="false">IF(OR(Tasks[[#This Row],[_ConstraintCode]]=2,Tasks[[#This Row],[_ConstraintCode]]=3,Tasks[[#This Row],[_ConstraintCode]]=4,Tasks[[#This Row],[_ConstraintCode]]=6),Tasks[[#This Row],[_ConstraintStart]],0)</f>
        <v>0</v>
      </c>
      <c r="CI27" s="89" t="n">
        <f aca="false">IF(OR(Tasks[[#This Row],[_ConstraintCode]]=2,Tasks[[#This Row],[_ConstraintCode]]=3,Tasks[[#This Row],[_ConstraintCode]]=5,Tasks[[#This Row],[_ConstraintCode]]=7),Tasks[[#This Row],[_ConstraintStart]],2958465)</f>
        <v>2958465</v>
      </c>
      <c r="CJ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7" s="89" t="str">
        <f aca="false">IF(NOT(Tasks[[#This Row],[_IsLeaf]]=1),"",IF(N(Tasks[[#This Row],[_Days]])&lt;=0,Tasks[[#This Row],[_LeafCalcStart]],WORKDAY.INTL(Tasks[[#This Row],[_LeafCalcStart]],Tasks[[#This Row],[_Days]]-1,WorkWeek,Holidays)))</f>
        <v/>
      </c>
      <c r="CL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7" s="42" t="str">
        <f aca="false">IF(Tasks[[#This Row],[_Predecessors]]="","",TRIM(MID(SUBSTITUTE(SUBSTITUTE(SUBSTITUTE(UPPER(Tasks[[#This Row],[_Predecessors]]),";",",")," ",""),",",REPT(" ",99)),1,99)))</f>
        <v/>
      </c>
      <c r="CO27" s="42" t="str">
        <f aca="false">IF(Tasks[[#This Row],[_Pred1Text]]="","",IFERROR(VALUE(LEFT(Tasks[[#This Row],[_Pred1Text]],MIN(FIND("F",Tasks[[#This Row],[_Pred1Text]]&amp;"F"),FIND("S",Tasks[[#This Row],[_Pred1Text]]&amp;"S"),FIND("+",Tasks[[#This Row],[_Pred1Text]]&amp;"+"),FIND("-",Tasks[[#This Row],[_Pred1Text]]&amp;"-"))-1)),""))</f>
        <v/>
      </c>
      <c r="CP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7" s="42" t="str">
        <f aca="false">IF(Tasks[[#This Row],[_Pred1Text]]="","",TRIM(MID(SUBSTITUTE(SUBSTITUTE(SUBSTITUTE(UPPER(Tasks[[#This Row],[_Predecessors]]),";",",")," ",""),",",REPT(" ",99)),100,99)))</f>
        <v/>
      </c>
      <c r="CS27" s="42" t="str">
        <f aca="false">IF(Tasks[[#This Row],[_Pred2Text]]="","",IFERROR(VALUE(LEFT(Tasks[[#This Row],[_Pred2Text]],MIN(FIND("F",Tasks[[#This Row],[_Pred2Text]]&amp;"F"),FIND("S",Tasks[[#This Row],[_Pred2Text]]&amp;"S"),FIND("+",Tasks[[#This Row],[_Pred2Text]]&amp;"+"),FIND("-",Tasks[[#This Row],[_Pred2Text]]&amp;"-"))-1)),""))</f>
        <v/>
      </c>
      <c r="CT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7" s="42" t="str">
        <f aca="false">IF(Tasks[[#This Row],[_Pred2Text]]="","",TRIM(MID(SUBSTITUTE(SUBSTITUTE(SUBSTITUTE(UPPER(Tasks[[#This Row],[_Predecessors]]),";",",")," ",""),",",REPT(" ",99)),199,99)))</f>
        <v/>
      </c>
      <c r="CW27" s="42" t="str">
        <f aca="false">IF(Tasks[[#This Row],[_Pred3Text]]="","",IFERROR(VALUE(LEFT(Tasks[[#This Row],[_Pred3Text]],MIN(FIND("F",Tasks[[#This Row],[_Pred3Text]]&amp;"F"),FIND("S",Tasks[[#This Row],[_Pred3Text]]&amp;"S"),FIND("+",Tasks[[#This Row],[_Pred3Text]]&amp;"+"),FIND("-",Tasks[[#This Row],[_Pred3Text]]&amp;"-"))-1)),""))</f>
        <v/>
      </c>
      <c r="CX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7" s="42" t="str">
        <f aca="false">IF(Tasks[[#This Row],[_Pred3Text]]="","",TRIM(MID(SUBSTITUTE(SUBSTITUTE(SUBSTITUTE(UPPER(Tasks[[#This Row],[_Predecessors]]),";",",")," ",""),",",REPT(" ",99)),298,99)))</f>
        <v/>
      </c>
      <c r="DA27" s="42" t="str">
        <f aca="false">IF(Tasks[[#This Row],[_Pred4Text]]="","",IFERROR(VALUE(LEFT(Tasks[[#This Row],[_Pred4Text]],MIN(FIND("F",Tasks[[#This Row],[_Pred4Text]]&amp;"F"),FIND("S",Tasks[[#This Row],[_Pred4Text]]&amp;"S"),FIND("+",Tasks[[#This Row],[_Pred4Text]]&amp;"+"),FIND("-",Tasks[[#This Row],[_Pred4Text]]&amp;"-"))-1)),""))</f>
        <v/>
      </c>
      <c r="DB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7" s="42" t="str">
        <f aca="false">IF(OR(Tasks[[#This Row],[Task Name]]="",Tasks[[#This Row],[_Resources]]=""),"",TRIM(MID(SUBSTITUTE(Tasks[[#This Row],[_Resources]],",",REPT(" ",99)),1,99)))</f>
        <v/>
      </c>
      <c r="DE27" s="42" t="str">
        <f aca="false">IF(Tasks[[#This Row],[_Res1Text]]="","",TRIM(MID(SUBSTITUTE(Tasks[[#This Row],[_Resources]],",",REPT(" ",99)),100,99)))</f>
        <v/>
      </c>
      <c r="DF27" s="42" t="str">
        <f aca="false">IF(Tasks[[#This Row],[_Res2Text]]="","",TRIM(MID(SUBSTITUTE(Tasks[[#This Row],[_Resources]],",",REPT(" ",99)),199,99)))</f>
        <v/>
      </c>
      <c r="DG27" s="42" t="str">
        <f aca="false">IF(Tasks[[#This Row],[_Res3Text]]="","",TRIM(MID(SUBSTITUTE(Tasks[[#This Row],[_Resources]],",",REPT(" ",99)),298,99)))</f>
        <v/>
      </c>
      <c r="DH27" s="42" t="n">
        <f aca="false">IF(Tasks[[#This Row],[_Res1Text]]="",0,IFERROR(MATCH(TRIM(LEFT(Tasks[[#This Row],[_Res1Text]],FIND("[",Tasks[[#This Row],[_Res1Text]]&amp;"[")-1)),res_Name,0),IFERROR(MATCH(TRIM(LEFT(Tasks[[#This Row],[_Res1Text]],FIND("[",Tasks[[#This Row],[_Res1Text]]&amp;"[")-1)),res_Initials,0),0)))</f>
        <v>0</v>
      </c>
      <c r="DI27" s="42" t="n">
        <f aca="false">IF(Tasks[[#This Row],[_Res2Text]]="",0,IFERROR(MATCH(TRIM(LEFT(Tasks[[#This Row],[_Res2Text]],FIND("[",Tasks[[#This Row],[_Res2Text]]&amp;"[")-1)),res_Name,0),IFERROR(MATCH(TRIM(LEFT(Tasks[[#This Row],[_Res2Text]],FIND("[",Tasks[[#This Row],[_Res2Text]]&amp;"[")-1)),res_Initials,0),0)))</f>
        <v>0</v>
      </c>
      <c r="DJ27" s="42" t="n">
        <f aca="false">IF(Tasks[[#This Row],[_Res3Text]]="",0,IFERROR(MATCH(TRIM(LEFT(Tasks[[#This Row],[_Res3Text]],FIND("[",Tasks[[#This Row],[_Res3Text]]&amp;"[")-1)),res_Name,0),IFERROR(MATCH(TRIM(LEFT(Tasks[[#This Row],[_Res3Text]],FIND("[",Tasks[[#This Row],[_Res3Text]]&amp;"[")-1)),res_Initials,0),0)))</f>
        <v>0</v>
      </c>
      <c r="DK27" s="42" t="n">
        <f aca="false">IF(Tasks[[#This Row],[_Res4Text]]="",0,IFERROR(MATCH(TRIM(LEFT(Tasks[[#This Row],[_Res4Text]],FIND("[",Tasks[[#This Row],[_Res4Text]]&amp;"[")-1)),res_Name,0),IFERROR(MATCH(TRIM(LEFT(Tasks[[#This Row],[_Res4Text]],FIND("[",Tasks[[#This Row],[_Res4Text]]&amp;"[")-1)),res_Initials,0),0)))</f>
        <v>0</v>
      </c>
      <c r="DL27" s="42" t="str">
        <f aca="false">IF(Tasks[[#This Row],[_Res1Text]]="","",IF(Tasks[[#This Row],[_Res1Row]]&gt;0,INDEX(res_Name,Tasks[[#This Row],[_Res1Row]]),TRIM(LEFT(Tasks[[#This Row],[_Res1Text]],FIND("[",Tasks[[#This Row],[_Res1Text]]&amp;"[")-1))))</f>
        <v/>
      </c>
      <c r="DM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7" s="42" t="n">
        <f aca="false">IF(NOT(Tasks[[#This Row],[_IsLeaf]]=1),0,(Tasks[[#This Row],[_Resource1]]&lt;&gt;"")+(Tasks[[#This Row],[_Res2]]&lt;&gt;"")+(Tasks[[#This Row],[_Res3]]&lt;&gt;"")+(Tasks[[#This Row],[_Res4]]&lt;&gt;""))</f>
        <v>0</v>
      </c>
      <c r="DO27" s="42" t="str">
        <f aca="false">IF(Tasks[[#This Row],[_Res2Text]]="","",IF(Tasks[[#This Row],[_Res2Row]]&gt;0,INDEX(res_Name,Tasks[[#This Row],[_Res2Row]]),TRIM(LEFT(Tasks[[#This Row],[_Res2Text]],FIND("[",Tasks[[#This Row],[_Res2Text]]&amp;"[")-1))))</f>
        <v/>
      </c>
      <c r="DP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7" s="42" t="n">
        <f aca="false">IF(OR(NOT(Tasks[[#This Row],[_IsLeaf]]=1),Tasks[[#This Row],[_Res2Row]]=0),0,N(Tasks[[#This Row],[_Days]])*HoursPerDay*IF(Tasks[[#This Row],[_Res2Units]]="",DefaultUnits,Tasks[[#This Row],[_Res2Units]]))</f>
        <v>0</v>
      </c>
      <c r="DR27" s="42" t="n">
        <f aca="false">IF(AND(AND(Tasks[[#This Row],[_IsLeaf]]=1,Tasks[[#This Row],[_LeafTotalWork]]&gt;0),Tasks[[#This Row],[_Res2Work]]&gt;0),Tasks[[#This Row],[_Res2Work]]/(Tasks[[#This Row],[_FinishWorkday]]-Tasks[[#This Row],[_StartWorkday]]+1),0)</f>
        <v>0</v>
      </c>
      <c r="DS27" s="42" t="n">
        <f aca="false">Tasks[[#This Row],[_Res2WorkPerWD]]*MAX(0,Tasks[[#This Row],[_StartWorkday]]-1)</f>
        <v>0</v>
      </c>
      <c r="DT27" s="42" t="n">
        <f aca="false">Tasks[[#This Row],[_Res2Work]]*Tasks[[#This Row],[_LeafProgress]]</f>
        <v>0</v>
      </c>
      <c r="DU27" s="42" t="str">
        <f aca="false">IF(Tasks[[#This Row],[_Res3Text]]="","",IF(Tasks[[#This Row],[_Res3Row]]&gt;0,INDEX(res_Name,Tasks[[#This Row],[_Res3Row]]),TRIM(LEFT(Tasks[[#This Row],[_Res3Text]],FIND("[",Tasks[[#This Row],[_Res3Text]]&amp;"[")-1))))</f>
        <v/>
      </c>
      <c r="DV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7" s="42" t="n">
        <f aca="false">IF(OR(NOT(Tasks[[#This Row],[_IsLeaf]]=1),Tasks[[#This Row],[_Res3Row]]=0),0,N(Tasks[[#This Row],[_Days]])*HoursPerDay*IF(Tasks[[#This Row],[_Res3Units]]="",DefaultUnits,Tasks[[#This Row],[_Res3Units]]))</f>
        <v>0</v>
      </c>
      <c r="DX27" s="42" t="n">
        <f aca="false">IF(AND(AND(Tasks[[#This Row],[_IsLeaf]]=1,Tasks[[#This Row],[_LeafTotalWork]]&gt;0),Tasks[[#This Row],[_Res3Work]]&gt;0),Tasks[[#This Row],[_Res3Work]]/(Tasks[[#This Row],[_FinishWorkday]]-Tasks[[#This Row],[_StartWorkday]]+1),0)</f>
        <v>0</v>
      </c>
      <c r="DY27" s="42" t="n">
        <f aca="false">Tasks[[#This Row],[_Res3WorkPerWD]]*MAX(0,Tasks[[#This Row],[_StartWorkday]]-1)</f>
        <v>0</v>
      </c>
      <c r="DZ27" s="42" t="n">
        <f aca="false">Tasks[[#This Row],[_Res3Work]]*Tasks[[#This Row],[_LeafProgress]]</f>
        <v>0</v>
      </c>
      <c r="EA27" s="42" t="str">
        <f aca="false">IF(Tasks[[#This Row],[_Res4Text]]="","",IF(Tasks[[#This Row],[_Res4Row]]&gt;0,INDEX(res_Name,Tasks[[#This Row],[_Res4Row]]),TRIM(LEFT(Tasks[[#This Row],[_Res4Text]],FIND("[",Tasks[[#This Row],[_Res4Text]]&amp;"[")-1))))</f>
        <v/>
      </c>
      <c r="EB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7" s="42" t="n">
        <f aca="false">IF(OR(NOT(Tasks[[#This Row],[_IsLeaf]]=1),Tasks[[#This Row],[_Res4Row]]=0),0,N(Tasks[[#This Row],[_Days]])*HoursPerDay*IF(Tasks[[#This Row],[_Res4Units]]="",DefaultUnits,Tasks[[#This Row],[_Res4Units]]))</f>
        <v>0</v>
      </c>
      <c r="ED27" s="42" t="n">
        <f aca="false">IF(AND(AND(Tasks[[#This Row],[_IsLeaf]]=1,Tasks[[#This Row],[_LeafTotalWork]]&gt;0),Tasks[[#This Row],[_Res4Work]]&gt;0),Tasks[[#This Row],[_Res4Work]]/(Tasks[[#This Row],[_FinishWorkday]]-Tasks[[#This Row],[_StartWorkday]]+1),0)</f>
        <v>0</v>
      </c>
      <c r="EE27" s="42" t="n">
        <f aca="false">Tasks[[#This Row],[_Res4WorkPerWD]]*MAX(0,Tasks[[#This Row],[_StartWorkday]]-1)</f>
        <v>0</v>
      </c>
      <c r="EF27" s="42" t="n">
        <f aca="false">Tasks[[#This Row],[_Res4Work]]*Tasks[[#This Row],[_LeafProgress]]</f>
        <v>0</v>
      </c>
      <c r="EG27" s="42" t="n">
        <f aca="false">IF(ISNUMBER(Tasks[[#This Row],[% Complete]]),Tasks[[#This Row],[% Complete]],IF(Tasks[[#This Row],[Stage]]="",0,IFERROR(INDEX(stg_Pct,MATCH(Tasks[[#This Row],[Stage]],stg_Name,0)),0)))</f>
        <v>0</v>
      </c>
      <c r="EH27" s="42" t="n">
        <f aca="false">IF(NOT(Tasks[[#This Row],[_IsLeaf]]=1),0,IF(N(Tasks[[#This Row],[Actual Finish]])&gt;0,1,MIN(1,Tasks[[#This Row],[_Pct]])))</f>
        <v>0</v>
      </c>
      <c r="EI27" s="42" t="n">
        <f aca="false">IF(OR(NOT(Tasks[[#This Row],[_IsLeaf]]=1),Tasks[[#This Row],[_Res1Row]]=0),0,N(Tasks[[#This Row],[_Days]])*HoursPerDay*IF(Tasks[[#This Row],[_Units1]]="",DefaultUnits,Tasks[[#This Row],[_Units1]]))</f>
        <v>0</v>
      </c>
      <c r="EJ27" s="42" t="n">
        <f aca="false">Tasks[[#This Row],[_LeafWork]]+Tasks[[#This Row],[_Res2Work]]+Tasks[[#This Row],[_Res3Work]]+Tasks[[#This Row],[_Res4Work]]</f>
        <v>0</v>
      </c>
      <c r="EK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7" s="42" t="n">
        <f aca="false">IF(NOT(Tasks[[#This Row],[_IsLeaf]]=1),0,MAX(_xlfn.MAXIFS(Tasks[_Row],Tasks[_Pred1UID],Tasks[[#This Row],[UID]]),_xlfn.MAXIFS(Tasks[_Row],Tasks[_Pred2UID],Tasks[[#This Row],[UID]]),_xlfn.MAXIFS(Tasks[_Row],Tasks[_Pred3UID],Tasks[[#This Row],[UID]]),_xlfn.MAXIFS(Tasks[_Row],Tasks[_Pred4UID],Tasks[[#This Row],[UID]])))</f>
        <v>0</v>
      </c>
      <c r="ET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7" s="89" t="str">
        <f aca="false">IF(NOT(Tasks[[#This Row],[_IsLeaf]]=1),"",IF(N(Tasks[[#This Row],[_Days]])&lt;=0,Tasks[[#This Row],[_LeafLateFinish]],WORKDAY.INTL(Tasks[[#This Row],[_LeafLateFinish]],-(Tasks[[#This Row],[_Days]]-1),WorkWeek,Holidays)))</f>
        <v/>
      </c>
      <c r="EW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7" s="88" t="b">
        <f aca="false">AND(Tasks[[#This Row],[_IsLeaf]]=1,Tasks[[#This Row],[_LeafProgress]]&lt;1,N(Tasks[[#This Row],[_LeafTotalSlack]])&lt;=CriticalSlackDays)</f>
        <v>0</v>
      </c>
      <c r="EY27" s="42" t="n">
        <f aca="false">IF(AND(Tasks[[#This Row],[_IsLeaf]]=1,Tasks[[#This Row],[_ConstraintCode]]=1,Tasks[[#This Row],[Mode]]&lt;&gt;"Manual",N(Tasks[[#This Row],[Actual Start]])=0),MAX(0,N(Tasks[[#This Row],[Free Slack]])),0)</f>
        <v>0</v>
      </c>
      <c r="EZ27" s="89" t="str">
        <f aca="false">IF(NOT(Tasks[[#This Row],[_IsLeaf]]=1),"",IF(Tasks[[#This Row],[_AlapShift]]=0,Tasks[[#This Row],[_LeafCalcStart]],WORKDAY.INTL(Tasks[[#This Row],[_LeafCalcStart]],Tasks[[#This Row],[_AlapShift]],WorkWeek,Holidays)))</f>
        <v/>
      </c>
      <c r="FA27" s="89" t="str">
        <f aca="false">IF(NOT(Tasks[[#This Row],[_IsLeaf]]=1),"",IF(Tasks[[#This Row],[_AlapShift]]=0,Tasks[[#This Row],[_LeafCalcFinish]],WORKDAY.INTL(Tasks[[#This Row],[_LeafCalcFinish]],Tasks[[#This Row],[_AlapShift]],WorkWeek,Holidays)))</f>
        <v/>
      </c>
      <c r="FB27" s="89" t="str">
        <f aca="false">IF(NOT(Tasks[[#This Row],[_IsLeaf]]=1),"",IF(Tasks[[#This Row],[_AlapShift]]=0,Tasks[[#This Row],[_LeafFcstStart]],WORKDAY.INTL(Tasks[[#This Row],[_LeafFcstStart]],Tasks[[#This Row],[_AlapShift]],WorkWeek,Holidays)))</f>
        <v/>
      </c>
      <c r="FC27" s="89" t="str">
        <f aca="false">IF(NOT(Tasks[[#This Row],[_IsLeaf]]=1),"",IF(Tasks[[#This Row],[_AlapShift]]=0,Tasks[[#This Row],[_LeafFcstFinish]],WORKDAY.INTL(Tasks[[#This Row],[_LeafFcstFinish]],Tasks[[#This Row],[_AlapShift]],WorkWeek,Holidays)))</f>
        <v/>
      </c>
      <c r="FD27" s="89" t="str">
        <f aca="false">IF(Tasks[[#This Row],[Task Name]]="","",IF(Tasks[[#This Row],[_IsSummary]],MIN(INDEX(Tasks[_ShownCalcStart],Tasks[[#This Row],[_Row]]+1):INDEX(Tasks[_ShownCalcStart],Tasks[[#This Row],[_Row]]+Tasks[[#This Row],[_Descendants]])),Tasks[[#This Row],[_ShownCalcStart]]))</f>
        <v/>
      </c>
      <c r="FE27" s="89" t="str">
        <f aca="false">IF(Tasks[[#This Row],[Task Name]]="","",IF(Tasks[[#This Row],[_IsSummary]],MAX(INDEX(Tasks[_ShownCalcFinish],Tasks[[#This Row],[_Row]]+1):INDEX(Tasks[_ShownCalcFinish],Tasks[[#This Row],[_Row]]+Tasks[[#This Row],[_Descendants]])),Tasks[[#This Row],[_ShownCalcFinish]]))</f>
        <v/>
      </c>
      <c r="FF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7" s="42" t="n">
        <f aca="false">IF(AND(Tasks[[#This Row],[_IsLeaf]]=1,Tasks[[#This Row],[_LeafTotalWork]]&gt;0),NETWORKDAYS.INTL(ProjectStart,Tasks[[#This Row],[_ShownFcstStart]],WorkWeek,Holidays),0)</f>
        <v>0</v>
      </c>
      <c r="FS27" s="42" t="n">
        <f aca="false">IF(AND(Tasks[[#This Row],[_IsLeaf]]=1,Tasks[[#This Row],[_LeafTotalWork]]&gt;0),MAX(Tasks[[#This Row],[_StartWorkday]],NETWORKDAYS.INTL(ProjectStart,Tasks[[#This Row],[_ShownFcstFinish]],WorkWeek,Holidays)),0)</f>
        <v>0</v>
      </c>
      <c r="FT27" s="42" t="n">
        <f aca="false">IF(AND(Tasks[[#This Row],[_IsLeaf]]=1,Tasks[[#This Row],[_LeafTotalWork]]&gt;0),Tasks[[#This Row],[_LeafWork]]/(Tasks[[#This Row],[_FinishWorkday]]-Tasks[[#This Row],[_StartWorkday]]+1),0)</f>
        <v>0</v>
      </c>
      <c r="FU27" s="42" t="n">
        <f aca="false">Tasks[[#This Row],[_WorkPerWorkday]]*(Tasks[[#This Row],[_StartWorkday]]-1)</f>
        <v>-0</v>
      </c>
      <c r="FV27" s="42" t="n">
        <f aca="false">IF(Tasks[[#This Row],[_IsLeaf]]=1,MAX(N(Tasks[[#This Row],[_Days]]),0.1),0)</f>
        <v>0</v>
      </c>
      <c r="FW27" s="42" t="n">
        <f aca="false">Tasks[[#This Row],[_WeightDur]]*Tasks[[#This Row],[_LeafProgress]]</f>
        <v>0</v>
      </c>
      <c r="FX27" s="42" t="n">
        <f aca="false">Tasks[[#This Row],[_WeightDur]]*Tasks[[#This Row],[_PlannedPct]]</f>
        <v>0</v>
      </c>
      <c r="FY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7" s="42" t="str">
        <f aca="false">IF(AND(Tasks[[#This Row],[_IsLeaf]]=1,N(Tasks[[#This Row],[_Days]])=0,Tasks[[#This Row],[_LeafProgress]]&lt;1),Tasks[[#This Row],[_ShownFcstFinish]]+Tasks[[#This Row],[_Row]]/100000,"")</f>
        <v/>
      </c>
      <c r="GA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7" s="42" t="str">
        <f aca="false">IF(Tasks[[#This Row],[Task Name]]="","",LEFT(Tasks[[#This Row],[WBS]],FIND(".",Tasks[[#This Row],[WBS]]&amp;".")-1))</f>
        <v/>
      </c>
      <c r="GC27" s="42" t="str">
        <f aca="false">IF(AND(Tasks[[#This Row],[Task Name]]&lt;&gt;"",Tasks[[#This Row],[_Level]]=1),Tasks[[#This Row],[_Row]],"")</f>
        <v/>
      </c>
      <c r="GD27" s="42" t="str">
        <f aca="false">IF(AND(Tasks[[#This Row],[_IsLeaf]]=1,N(Tasks[[#This Row],[_Days]])=0),Tasks[[#This Row],[Planned Finish]]+Tasks[[#This Row],[_Row]]/100000,"")</f>
        <v/>
      </c>
      <c r="GE27" s="42" t="str">
        <f aca="false">IF(AND(Tasks[[#This Row],[_IsLeaf]]=1,Tasks[[#This Row],[_LeafProgress]]&lt;1,OR(N(Tasks[[#This Row],[Finish Var]])&gt;0,Tasks[[#This Row],[Status]]="Late Start")),MAX(0,Tasks[[#This Row],[Finish Var]])+1-Tasks[[#This Row],[_Row]]/1000000,"")</f>
        <v/>
      </c>
      <c r="GF27" s="42" t="str">
        <f aca="false">IF(AND(Tasks[[#This Row],[_IsLeaf]]=1,N(Tasks[[#This Row],[Actual Start]])=0,Tasks[[#This Row],[_ShownFcstStart]]&gt;=StatusDate,Tasks[[#This Row],[_ShownFcstStart]]&lt;=LookaheadEnd),Tasks[[#This Row],[_ShownFcstStart]]+Tasks[[#This Row],[_Row]]/100000,"")</f>
        <v/>
      </c>
      <c r="GG27" s="42" t="str">
        <f aca="false">IF(AND(Tasks[[#This Row],[_IsLeaf]]=1,Tasks[[#This Row],[_LeafProgress]]&lt;1,Tasks[[#This Row],[_ShownFcstFinish]]&gt;=StatusDate,Tasks[[#This Row],[_ShownFcstFinish]]&lt;=LookaheadEnd),Tasks[[#This Row],[_ShownFcstFinish]]+Tasks[[#This Row],[_Row]]/100000,"")</f>
        <v/>
      </c>
      <c r="GH27" s="42" t="str">
        <f aca="false">IF(Tasks[[#This Row],[_LeafCritical]],Tasks[[#This Row],[_ShownFcstStart]]+Tasks[[#This Row],[_Row]]/100000,"")</f>
        <v/>
      </c>
      <c r="GI27" s="42" t="n">
        <f aca="false">Tasks[[#This Row],[_LeafWork]]*Tasks[[#This Row],[_LeafProgress]]</f>
        <v>0</v>
      </c>
      <c r="GJ27" s="89" t="str">
        <f aca="false">IF(AND(Tasks[[#This Row],[_IsLeaf]]=1,Tasks[[#This Row],[_LeafProgress]]&gt;=1),IF(N(Tasks[[#This Row],[Actual Finish]])&gt;0,Tasks[[#This Row],[Actual Finish]],Tasks[[#This Row],[_ShownFcstFinish]]),"")</f>
        <v/>
      </c>
      <c r="GK27" s="42" t="n">
        <f aca="false">IF(Tasks[[#This Row],[_IsLeaf]]=1,N(Tasks[[#This Row],[Story Points]]),0)</f>
        <v>0</v>
      </c>
      <c r="GL27" s="42" t="str">
        <f aca="false">""</f>
        <v/>
      </c>
      <c r="GM27" s="88" t="b">
        <f aca="false">IF(Tasks[[#This Row],[Task Name]]="",FALSE(),AND(Tasks[[#This Row],[_IsLeaf]]=1,N(Tasks[[#This Row],[_Days]])=0))</f>
        <v>0</v>
      </c>
      <c r="GN27" s="89" t="n">
        <f aca="false">IF(Tasks[[#This Row],[Task Name]]="",0,IF(AND(Tasks[[#This Row],[_IsLeaf]]=1,NOT(Tasks[[#This Row],[_IsMilestone]]),N(Tasks[[#This Row],[Progress]])&gt;0),Tasks[[#This Row],[Start]],0))</f>
        <v>0</v>
      </c>
      <c r="GO27" s="89" t="n">
        <f aca="false">IF(Tasks[[#This Row],[_DoneFrom]]=0,0,IF(Tasks[[#This Row],[Progress]]&gt;=1,Tasks[[#This Row],[Finish]],MAX(Tasks[[#This Row],[_DoneFrom]],Tasks[[#This Row],[Start]]+ROUND((Tasks[[#This Row],[Finish]]-Tasks[[#This Row],[Start]]+1)*Tasks[[#This Row],[Progress]],0)-1)))</f>
        <v>0</v>
      </c>
      <c r="GP27" s="89" t="n">
        <f aca="false">IF(Tasks[[#This Row],[Task Name]]="",0,IF(OR(NOT(Tasks[[#This Row],[_IsLeaf]]=1),Tasks[[#This Row],[_IsMilestone]],N(Tasks[[#This Row],[Progress]])&gt;=1),0,IF(Tasks[[#This Row],[_DoneTo]]&gt;0,Tasks[[#This Row],[_DoneTo]]+1,Tasks[[#This Row],[Start]])))</f>
        <v>0</v>
      </c>
      <c r="GQ27" s="89" t="n">
        <f aca="false">IF(Tasks[[#This Row],[_RemFrom]]=0,0,Tasks[[#This Row],[Finish]])</f>
        <v>0</v>
      </c>
      <c r="GR27" s="88" t="b">
        <f aca="false">IF(Tasks[[#This Row],[Task Name]]="",FALSE(),OR(NOT(BaselineSet),N(Tasks[[#This Row],[Baseline Start]])&gt;0))</f>
        <v>0</v>
      </c>
      <c r="GS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7" s="90" t="str">
        <f aca="false">IF(Tasks[[#This Row],[_IsLeaf]]=1,Tasks[[#This Row],[_Row]],"")</f>
        <v/>
      </c>
      <c r="GW27" s="90" t="str">
        <f aca="false">IFERROR(INDEX(Tasks[UID],SMALL(Tasks[_PickKey],Tasks[[#This Row],[_Row]]))&amp;" "&amp;INDEX(Tasks[Task Name],SMALL(Tasks[_PickKey],Tasks[[#This Row],[_Row]])),"")</f>
        <v/>
      </c>
      <c r="GX27" s="42" t="str">
        <f aca="false">IF(Tasks[[#This Row],[Task Name]]="","",IF(Tasks[[#This Row],[_IsSummary]],NETWORKDAYS.INTL(Tasks[[#This Row],[Start]],Tasks[[#This Row],[Finish]],WorkWeek,Holidays),N(Tasks[[#This Row],[_Days]])))</f>
        <v/>
      </c>
    </row>
    <row r="28" customFormat="false" ht="15" hidden="false" customHeight="false" outlineLevel="0" collapsed="false">
      <c r="A28" s="21" t="str">
        <f aca="false">IF(Tasks[[#This Row],[Task Name]]="","",COUNTA(Tasks[[#Headers],[Task Name]]:Tasks[[#This Row],[Task Name]])-1)</f>
        <v/>
      </c>
      <c r="B28" s="22" t="n">
        <v>36</v>
      </c>
      <c r="C28" s="22"/>
      <c r="D28" s="23"/>
      <c r="E28" s="22"/>
      <c r="F28" s="23"/>
      <c r="G28" s="22"/>
      <c r="H28" s="22"/>
      <c r="I28" s="23"/>
      <c r="J28" s="22"/>
      <c r="K28" s="22"/>
      <c r="L28" s="23"/>
      <c r="M28" s="22"/>
      <c r="N28" s="22"/>
      <c r="O28" s="23"/>
      <c r="P28" s="22"/>
      <c r="Q28" s="22"/>
      <c r="R28" s="23"/>
      <c r="S28" s="23"/>
      <c r="T28" s="83"/>
      <c r="U28" s="23"/>
      <c r="V28" s="83"/>
      <c r="W28" s="23"/>
      <c r="X28" s="83"/>
      <c r="Y28" s="23"/>
      <c r="Z28" s="83"/>
      <c r="AA28" s="23"/>
      <c r="AB28" s="23"/>
      <c r="AC28" s="7"/>
      <c r="AD28" s="7"/>
      <c r="AE28" s="62" t="str">
        <f aca="false">IF(Tasks[[#This Row],[Task Name]]="","",IF(Tasks[[#This Row],[_IsSummary]],MIN(INDEX(Tasks[_ShownFcstStart],Tasks[[#This Row],[_Row]]+1):INDEX(Tasks[_ShownFcstStart],Tasks[[#This Row],[_Row]]+Tasks[[#This Row],[_Descendants]])),Tasks[[#This Row],[_ShownFcstStart]]))</f>
        <v/>
      </c>
      <c r="AF28" s="62" t="str">
        <f aca="false">IF(Tasks[[#This Row],[Task Name]]="","",IF(Tasks[[#This Row],[_IsSummary]],MAX(INDEX(Tasks[_ShownFcstFinish],Tasks[[#This Row],[_Row]]+1):INDEX(Tasks[_ShownFcstFinish],Tasks[[#This Row],[_Row]]+Tasks[[#This Row],[_Descendants]])),Tasks[[#This Row],[_ShownFcstFinish]]))</f>
        <v/>
      </c>
      <c r="AG28" s="21" t="str">
        <f aca="false">""</f>
        <v/>
      </c>
      <c r="AH28" s="23"/>
      <c r="AI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8" s="7"/>
      <c r="AK28" s="22"/>
      <c r="AL28" s="23"/>
      <c r="AM28" s="7"/>
      <c r="AN28" s="46" t="str">
        <f aca="false">IF(Tasks[[#This Row],[Task Name]]="","",IF(Tasks[[#This Row],[Finish]]&gt;=Tasks[[#This Row],[Planned Finish]],NETWORKDAYS.INTL(Tasks[[#This Row],[Planned Finish]],Tasks[[#This Row],[Finish]],WorkWeek,Holidays)-1,1-NETWORKDAYS.INTL(Tasks[[#This Row],[Finish]],Tasks[[#This Row],[Planned Finish]],WorkWeek,Holidays)))</f>
        <v/>
      </c>
      <c r="AO28" s="21" t="str">
        <f aca="false">IF(Tasks[[#This Row],[Task Name]]="","",IF(Tasks[[#This Row],[Progress]]&gt;=1,"Complete",IF(OR(N(Tasks[[#This Row],[Actual Start]])&gt;0,Tasks[[#This Row],[Progress]]&gt;0),IF(Tasks[[#This Row],[Finish Var]]&gt;0,"Behind","In Progress"),IF(Tasks[[#This Row],[Planned Start]]&lt;StatusDate,"Late Start","Not Started"))))</f>
        <v/>
      </c>
      <c r="AP28" s="21" t="str">
        <f aca="false">IF(Tasks[[#This Row],[Task Name]]="","",IF(IF(Tasks[[#This Row],[_IsSummary]],COUNTIF(INDEX(Tasks[_LeafCritical],Tasks[[#This Row],[_Row]]+1):INDEX(Tasks[_LeafCritical],Tasks[[#This Row],[_Row]]+Tasks[[#This Row],[_Descendants]]),TRUE())&gt;0,Tasks[[#This Row],[_LeafCritical]]),"Yes",""))</f>
        <v/>
      </c>
      <c r="AQ28" s="62" t="str">
        <f aca="false">IF(Tasks[[#This Row],[Task Name]]="","",IF(N(Tasks[[#This Row],[Baseline Start]])&gt;0,Tasks[[#This Row],[Baseline Start]],Tasks[[#This Row],[_CalcStart]]))</f>
        <v/>
      </c>
      <c r="AR28" s="62" t="str">
        <f aca="false">IF(Tasks[[#This Row],[Task Name]]="","",IF(N(Tasks[[#This Row],[Baseline Finish]])&gt;0,Tasks[[#This Row],[Baseline Finish]],Tasks[[#This Row],[_CalcFinish]]))</f>
        <v/>
      </c>
      <c r="AS28" s="46" t="str">
        <f aca="false">IF(Tasks[[#This Row],[Task Name]]="","",IF(Tasks[[#This Row],[Start]]&gt;=Tasks[[#This Row],[Planned Start]],NETWORKDAYS.INTL(Tasks[[#This Row],[Planned Start]],Tasks[[#This Row],[Start]],WorkWeek,Holidays)-1,1-NETWORKDAYS.INTL(Tasks[[#This Row],[Start]],Tasks[[#This Row],[Planned Start]],WorkWeek,Holidays)))</f>
        <v/>
      </c>
      <c r="AT28" s="62" t="str">
        <f aca="false">IF(Tasks[[#This Row],[Task Name]]="","",IF(Tasks[[#This Row],[_IsSummary]],MIN(INDEX(Tasks[_LeafLateStart],Tasks[[#This Row],[_Row]]+1):INDEX(Tasks[_LeafLateStart],Tasks[[#This Row],[_Row]]+Tasks[[#This Row],[_Descendants]])),Tasks[[#This Row],[_LeafLateStart]]))</f>
        <v/>
      </c>
      <c r="AU28" s="62" t="str">
        <f aca="false">IF(Tasks[[#This Row],[Task Name]]="","",IF(Tasks[[#This Row],[_IsSummary]],MAX(INDEX(Tasks[_LeafLateFinish],Tasks[[#This Row],[_Row]]+1):INDEX(Tasks[_LeafLateFinish],Tasks[[#This Row],[_Row]]+Tasks[[#This Row],[_Descendants]])),Tasks[[#This Row],[_LeafLateFinish]]))</f>
        <v/>
      </c>
      <c r="AV28" s="46" t="str">
        <f aca="false">IF(Tasks[[#This Row],[Task Name]]="","",IF(Tasks[[#This Row],[_IsSummary]],MIN(INDEX(Tasks[_LeafTotalSlack],Tasks[[#This Row],[_Row]]+1):INDEX(Tasks[_LeafTotalSlack],Tasks[[#This Row],[_Row]]+Tasks[[#This Row],[_Descendants]])),Tasks[[#This Row],[_LeafTotalSlack]]))</f>
        <v/>
      </c>
      <c r="AW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4"/>
      <c r="BA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t="str">
        <f aca="false">IF(Tasks[[#This Row],[Task Name]]="","",IF(Tasks[[#This Row],[_Level]]&lt;=OutlineShowLevel,"Yes","No"))</f>
        <v/>
      </c>
      <c r="BE28" s="85" t="str">
        <f aca="false">IF(Tasks[[#This Row],[Task Name]]="","",IF(Tasks[[#This Row],[_IsSummary]],SUM(INDEX(Tasks[_LeafTotalWork],Tasks[[#This Row],[_Row]]+1):INDEX(Tasks[_LeafTotalWork],Tasks[[#This Row],[_Row]]+Tasks[[#This Row],[_Descendants]])),Tasks[[#This Row],[_LeafTotalWork]]))</f>
        <v/>
      </c>
      <c r="BF28" s="23"/>
      <c r="BG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t="str">
        <f aca="false">""</f>
        <v/>
      </c>
      <c r="BI28" s="86"/>
      <c r="BJ28" s="22"/>
      <c r="BK28" s="46" t="str">
        <f aca="false">IF(OR(Tasks[[#This Row],[Task Name]]="",Tasks[[#This Row],[Baseline Duration]]=""),"",Tasks[[#This Row],[_SpanDays]]-N(Tasks[[#This Row],[Baseline Duration]]))</f>
        <v/>
      </c>
      <c r="BL28" s="85" t="str">
        <f aca="false">IF(OR(Tasks[[#This Row],[Task Name]]="",Tasks[[#This Row],[Baseline Work]]=""),"",Tasks[[#This Row],[Work]]-N(Tasks[[#This Row],[Baseline Work]]))</f>
        <v/>
      </c>
      <c r="BM28" s="62" t="str">
        <f aca="false">IF(Tasks[[#This Row],[Task Name]]="","",IF(OR(TakeBaseline="Yes",N(Tasks[[#This Row],[Baseline Start]])=0),Tasks[[#This Row],[Start]],Tasks[[#This Row],[Baseline Start]]))</f>
        <v/>
      </c>
      <c r="BN28" s="62" t="str">
        <f aca="false">IF(Tasks[[#This Row],[Task Name]]="","",IF(OR(TakeBaseline="Yes",N(Tasks[[#This Row],[Baseline Finish]])=0),Tasks[[#This Row],[Finish]],Tasks[[#This Row],[Baseline Finish]]))</f>
        <v/>
      </c>
      <c r="BO28" s="21" t="str">
        <f aca="false">IF(Tasks[[#This Row],[Task Name]]="","",IF(OR(TakeBaseline="Yes",N(Tasks[[#This Row],[Baseline Duration]])=0),Tasks[[#This Row],[_SpanDays]],Tasks[[#This Row],[Baseline Duration]]))</f>
        <v/>
      </c>
      <c r="BP28" s="85" t="str">
        <f aca="false">IF(Tasks[[#This Row],[Task Name]]="","",IF(OR(TakeBaseline="Yes",N(Tasks[[#This Row],[Baseline Work]])=0),Tasks[[#This Row],[Work]],Tasks[[#This Row],[Baseline Work]]))</f>
        <v/>
      </c>
      <c r="BQ28" s="7"/>
      <c r="BR28" s="7"/>
      <c r="BS28" s="22"/>
      <c r="BT28" s="87"/>
      <c r="BU28" s="42" t="str">
        <f aca="false">IF(Tasks[[#This Row],[Task Name]]="","",MAX(1,N(Tasks[[#This Row],[Level]])))</f>
        <v/>
      </c>
      <c r="BV28" s="42" t="n">
        <f aca="false">ROW()-ROW(Tasks[[#Headers],[ID]])</f>
        <v>23</v>
      </c>
      <c r="BW28" s="42" t="n">
        <f aca="false">IF(OR(Tasks[[#This Row],[Task Name]]="",Tasks[[#This Row],[_Level]]&lt;=1),0,IFERROR(LOOKUP(2,1/(Tasks[[#Headers],[_Level]]:Tasks[[#This Row],[_Level]]=Tasks[[#This Row],[_Level]]-1),ROW(Tasks[[#Headers],[_Level]]:Tasks[[#This Row],[_Level]])),0))</f>
        <v>0</v>
      </c>
      <c r="BX28" s="42" t="n">
        <f aca="false">IFERROR(N(INDEX(Tasks[_Level],Tasks[[#This Row],[_Row]]+1)),0)</f>
        <v>0</v>
      </c>
      <c r="BY28" s="88" t="b">
        <f aca="false">AND(Tasks[[#This Row],[Task Name]]&lt;&gt;"",Tasks[[#This Row],[_NextLevel]]&gt;Tasks[[#This Row],[_Level]])</f>
        <v>0</v>
      </c>
      <c r="BZ28" s="42" t="n">
        <f aca="false">IF(Tasks[[#This Row],[_IsSummary]],COUNTIF(Tasks[WBS],Tasks[[#This Row],[WBS]]&amp;".*"),0)</f>
        <v>0</v>
      </c>
      <c r="CA28" s="42" t="n">
        <f aca="false">IF(AND(Tasks[[#This Row],[Task Name]]&lt;&gt;"",NOT(Tasks[[#This Row],[_IsSummary]])),1,0)</f>
        <v>0</v>
      </c>
      <c r="CB28" s="42" t="n">
        <f aca="false">IF(N(Tasks[[#This Row],[_Pred1UID]])=0,0,IFERROR(MATCH(Tasks[[#This Row],[_Pred1UID]],Tasks[UID],0),-1))</f>
        <v>0</v>
      </c>
      <c r="CC28" s="42" t="n">
        <f aca="false">IF(N(Tasks[[#This Row],[_Pred2UID]])=0,0,IFERROR(MATCH(Tasks[[#This Row],[_Pred2UID]],Tasks[UID],0),-1))</f>
        <v>0</v>
      </c>
      <c r="CD28" s="42" t="n">
        <f aca="false">IF(N(Tasks[[#This Row],[_Pred3UID]])=0,0,IFERROR(MATCH(Tasks[[#This Row],[_Pred3UID]],Tasks[UID],0),-1))</f>
        <v>0</v>
      </c>
      <c r="CE28" s="42" t="n">
        <f aca="false">IF(N(Tasks[[#This Row],[_Pred4UID]])=0,0,IFERROR(MATCH(Tasks[[#This Row],[_Pred4UID]],Tasks[UID],0),-1))</f>
        <v>0</v>
      </c>
      <c r="CF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8" s="89" t="n">
        <f aca="false">IF(OR(Tasks[[#This Row],[_ConstraintCode]]=2,Tasks[[#This Row],[_ConstraintCode]]=3,Tasks[[#This Row],[_ConstraintCode]]=4,Tasks[[#This Row],[_ConstraintCode]]=6),Tasks[[#This Row],[_ConstraintStart]],0)</f>
        <v>0</v>
      </c>
      <c r="CI28" s="89" t="n">
        <f aca="false">IF(OR(Tasks[[#This Row],[_ConstraintCode]]=2,Tasks[[#This Row],[_ConstraintCode]]=3,Tasks[[#This Row],[_ConstraintCode]]=5,Tasks[[#This Row],[_ConstraintCode]]=7),Tasks[[#This Row],[_ConstraintStart]],2958465)</f>
        <v>2958465</v>
      </c>
      <c r="CJ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8" s="89" t="str">
        <f aca="false">IF(NOT(Tasks[[#This Row],[_IsLeaf]]=1),"",IF(N(Tasks[[#This Row],[_Days]])&lt;=0,Tasks[[#This Row],[_LeafCalcStart]],WORKDAY.INTL(Tasks[[#This Row],[_LeafCalcStart]],Tasks[[#This Row],[_Days]]-1,WorkWeek,Holidays)))</f>
        <v/>
      </c>
      <c r="CL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8" s="42" t="str">
        <f aca="false">IF(Tasks[[#This Row],[_Predecessors]]="","",TRIM(MID(SUBSTITUTE(SUBSTITUTE(SUBSTITUTE(UPPER(Tasks[[#This Row],[_Predecessors]]),";",",")," ",""),",",REPT(" ",99)),1,99)))</f>
        <v/>
      </c>
      <c r="CO28" s="42" t="str">
        <f aca="false">IF(Tasks[[#This Row],[_Pred1Text]]="","",IFERROR(VALUE(LEFT(Tasks[[#This Row],[_Pred1Text]],MIN(FIND("F",Tasks[[#This Row],[_Pred1Text]]&amp;"F"),FIND("S",Tasks[[#This Row],[_Pred1Text]]&amp;"S"),FIND("+",Tasks[[#This Row],[_Pred1Text]]&amp;"+"),FIND("-",Tasks[[#This Row],[_Pred1Text]]&amp;"-"))-1)),""))</f>
        <v/>
      </c>
      <c r="CP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8" s="42" t="str">
        <f aca="false">IF(Tasks[[#This Row],[_Pred1Text]]="","",TRIM(MID(SUBSTITUTE(SUBSTITUTE(SUBSTITUTE(UPPER(Tasks[[#This Row],[_Predecessors]]),";",",")," ",""),",",REPT(" ",99)),100,99)))</f>
        <v/>
      </c>
      <c r="CS28" s="42" t="str">
        <f aca="false">IF(Tasks[[#This Row],[_Pred2Text]]="","",IFERROR(VALUE(LEFT(Tasks[[#This Row],[_Pred2Text]],MIN(FIND("F",Tasks[[#This Row],[_Pred2Text]]&amp;"F"),FIND("S",Tasks[[#This Row],[_Pred2Text]]&amp;"S"),FIND("+",Tasks[[#This Row],[_Pred2Text]]&amp;"+"),FIND("-",Tasks[[#This Row],[_Pred2Text]]&amp;"-"))-1)),""))</f>
        <v/>
      </c>
      <c r="CT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8" s="42" t="str">
        <f aca="false">IF(Tasks[[#This Row],[_Pred2Text]]="","",TRIM(MID(SUBSTITUTE(SUBSTITUTE(SUBSTITUTE(UPPER(Tasks[[#This Row],[_Predecessors]]),";",",")," ",""),",",REPT(" ",99)),199,99)))</f>
        <v/>
      </c>
      <c r="CW28" s="42" t="str">
        <f aca="false">IF(Tasks[[#This Row],[_Pred3Text]]="","",IFERROR(VALUE(LEFT(Tasks[[#This Row],[_Pred3Text]],MIN(FIND("F",Tasks[[#This Row],[_Pred3Text]]&amp;"F"),FIND("S",Tasks[[#This Row],[_Pred3Text]]&amp;"S"),FIND("+",Tasks[[#This Row],[_Pred3Text]]&amp;"+"),FIND("-",Tasks[[#This Row],[_Pred3Text]]&amp;"-"))-1)),""))</f>
        <v/>
      </c>
      <c r="CX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8" s="42" t="str">
        <f aca="false">IF(Tasks[[#This Row],[_Pred3Text]]="","",TRIM(MID(SUBSTITUTE(SUBSTITUTE(SUBSTITUTE(UPPER(Tasks[[#This Row],[_Predecessors]]),";",",")," ",""),",",REPT(" ",99)),298,99)))</f>
        <v/>
      </c>
      <c r="DA28" s="42" t="str">
        <f aca="false">IF(Tasks[[#This Row],[_Pred4Text]]="","",IFERROR(VALUE(LEFT(Tasks[[#This Row],[_Pred4Text]],MIN(FIND("F",Tasks[[#This Row],[_Pred4Text]]&amp;"F"),FIND("S",Tasks[[#This Row],[_Pred4Text]]&amp;"S"),FIND("+",Tasks[[#This Row],[_Pred4Text]]&amp;"+"),FIND("-",Tasks[[#This Row],[_Pred4Text]]&amp;"-"))-1)),""))</f>
        <v/>
      </c>
      <c r="DB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8" s="42" t="str">
        <f aca="false">IF(OR(Tasks[[#This Row],[Task Name]]="",Tasks[[#This Row],[_Resources]]=""),"",TRIM(MID(SUBSTITUTE(Tasks[[#This Row],[_Resources]],",",REPT(" ",99)),1,99)))</f>
        <v/>
      </c>
      <c r="DE28" s="42" t="str">
        <f aca="false">IF(Tasks[[#This Row],[_Res1Text]]="","",TRIM(MID(SUBSTITUTE(Tasks[[#This Row],[_Resources]],",",REPT(" ",99)),100,99)))</f>
        <v/>
      </c>
      <c r="DF28" s="42" t="str">
        <f aca="false">IF(Tasks[[#This Row],[_Res2Text]]="","",TRIM(MID(SUBSTITUTE(Tasks[[#This Row],[_Resources]],",",REPT(" ",99)),199,99)))</f>
        <v/>
      </c>
      <c r="DG28" s="42" t="str">
        <f aca="false">IF(Tasks[[#This Row],[_Res3Text]]="","",TRIM(MID(SUBSTITUTE(Tasks[[#This Row],[_Resources]],",",REPT(" ",99)),298,99)))</f>
        <v/>
      </c>
      <c r="DH28" s="42" t="n">
        <f aca="false">IF(Tasks[[#This Row],[_Res1Text]]="",0,IFERROR(MATCH(TRIM(LEFT(Tasks[[#This Row],[_Res1Text]],FIND("[",Tasks[[#This Row],[_Res1Text]]&amp;"[")-1)),res_Name,0),IFERROR(MATCH(TRIM(LEFT(Tasks[[#This Row],[_Res1Text]],FIND("[",Tasks[[#This Row],[_Res1Text]]&amp;"[")-1)),res_Initials,0),0)))</f>
        <v>0</v>
      </c>
      <c r="DI28" s="42" t="n">
        <f aca="false">IF(Tasks[[#This Row],[_Res2Text]]="",0,IFERROR(MATCH(TRIM(LEFT(Tasks[[#This Row],[_Res2Text]],FIND("[",Tasks[[#This Row],[_Res2Text]]&amp;"[")-1)),res_Name,0),IFERROR(MATCH(TRIM(LEFT(Tasks[[#This Row],[_Res2Text]],FIND("[",Tasks[[#This Row],[_Res2Text]]&amp;"[")-1)),res_Initials,0),0)))</f>
        <v>0</v>
      </c>
      <c r="DJ28" s="42" t="n">
        <f aca="false">IF(Tasks[[#This Row],[_Res3Text]]="",0,IFERROR(MATCH(TRIM(LEFT(Tasks[[#This Row],[_Res3Text]],FIND("[",Tasks[[#This Row],[_Res3Text]]&amp;"[")-1)),res_Name,0),IFERROR(MATCH(TRIM(LEFT(Tasks[[#This Row],[_Res3Text]],FIND("[",Tasks[[#This Row],[_Res3Text]]&amp;"[")-1)),res_Initials,0),0)))</f>
        <v>0</v>
      </c>
      <c r="DK28" s="42" t="n">
        <f aca="false">IF(Tasks[[#This Row],[_Res4Text]]="",0,IFERROR(MATCH(TRIM(LEFT(Tasks[[#This Row],[_Res4Text]],FIND("[",Tasks[[#This Row],[_Res4Text]]&amp;"[")-1)),res_Name,0),IFERROR(MATCH(TRIM(LEFT(Tasks[[#This Row],[_Res4Text]],FIND("[",Tasks[[#This Row],[_Res4Text]]&amp;"[")-1)),res_Initials,0),0)))</f>
        <v>0</v>
      </c>
      <c r="DL28" s="42" t="str">
        <f aca="false">IF(Tasks[[#This Row],[_Res1Text]]="","",IF(Tasks[[#This Row],[_Res1Row]]&gt;0,INDEX(res_Name,Tasks[[#This Row],[_Res1Row]]),TRIM(LEFT(Tasks[[#This Row],[_Res1Text]],FIND("[",Tasks[[#This Row],[_Res1Text]]&amp;"[")-1))))</f>
        <v/>
      </c>
      <c r="DM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8" s="42" t="n">
        <f aca="false">IF(NOT(Tasks[[#This Row],[_IsLeaf]]=1),0,(Tasks[[#This Row],[_Resource1]]&lt;&gt;"")+(Tasks[[#This Row],[_Res2]]&lt;&gt;"")+(Tasks[[#This Row],[_Res3]]&lt;&gt;"")+(Tasks[[#This Row],[_Res4]]&lt;&gt;""))</f>
        <v>0</v>
      </c>
      <c r="DO28" s="42" t="str">
        <f aca="false">IF(Tasks[[#This Row],[_Res2Text]]="","",IF(Tasks[[#This Row],[_Res2Row]]&gt;0,INDEX(res_Name,Tasks[[#This Row],[_Res2Row]]),TRIM(LEFT(Tasks[[#This Row],[_Res2Text]],FIND("[",Tasks[[#This Row],[_Res2Text]]&amp;"[")-1))))</f>
        <v/>
      </c>
      <c r="DP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8" s="42" t="n">
        <f aca="false">IF(OR(NOT(Tasks[[#This Row],[_IsLeaf]]=1),Tasks[[#This Row],[_Res2Row]]=0),0,N(Tasks[[#This Row],[_Days]])*HoursPerDay*IF(Tasks[[#This Row],[_Res2Units]]="",DefaultUnits,Tasks[[#This Row],[_Res2Units]]))</f>
        <v>0</v>
      </c>
      <c r="DR28" s="42" t="n">
        <f aca="false">IF(AND(AND(Tasks[[#This Row],[_IsLeaf]]=1,Tasks[[#This Row],[_LeafTotalWork]]&gt;0),Tasks[[#This Row],[_Res2Work]]&gt;0),Tasks[[#This Row],[_Res2Work]]/(Tasks[[#This Row],[_FinishWorkday]]-Tasks[[#This Row],[_StartWorkday]]+1),0)</f>
        <v>0</v>
      </c>
      <c r="DS28" s="42" t="n">
        <f aca="false">Tasks[[#This Row],[_Res2WorkPerWD]]*MAX(0,Tasks[[#This Row],[_StartWorkday]]-1)</f>
        <v>0</v>
      </c>
      <c r="DT28" s="42" t="n">
        <f aca="false">Tasks[[#This Row],[_Res2Work]]*Tasks[[#This Row],[_LeafProgress]]</f>
        <v>0</v>
      </c>
      <c r="DU28" s="42" t="str">
        <f aca="false">IF(Tasks[[#This Row],[_Res3Text]]="","",IF(Tasks[[#This Row],[_Res3Row]]&gt;0,INDEX(res_Name,Tasks[[#This Row],[_Res3Row]]),TRIM(LEFT(Tasks[[#This Row],[_Res3Text]],FIND("[",Tasks[[#This Row],[_Res3Text]]&amp;"[")-1))))</f>
        <v/>
      </c>
      <c r="DV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8" s="42" t="n">
        <f aca="false">IF(OR(NOT(Tasks[[#This Row],[_IsLeaf]]=1),Tasks[[#This Row],[_Res3Row]]=0),0,N(Tasks[[#This Row],[_Days]])*HoursPerDay*IF(Tasks[[#This Row],[_Res3Units]]="",DefaultUnits,Tasks[[#This Row],[_Res3Units]]))</f>
        <v>0</v>
      </c>
      <c r="DX28" s="42" t="n">
        <f aca="false">IF(AND(AND(Tasks[[#This Row],[_IsLeaf]]=1,Tasks[[#This Row],[_LeafTotalWork]]&gt;0),Tasks[[#This Row],[_Res3Work]]&gt;0),Tasks[[#This Row],[_Res3Work]]/(Tasks[[#This Row],[_FinishWorkday]]-Tasks[[#This Row],[_StartWorkday]]+1),0)</f>
        <v>0</v>
      </c>
      <c r="DY28" s="42" t="n">
        <f aca="false">Tasks[[#This Row],[_Res3WorkPerWD]]*MAX(0,Tasks[[#This Row],[_StartWorkday]]-1)</f>
        <v>0</v>
      </c>
      <c r="DZ28" s="42" t="n">
        <f aca="false">Tasks[[#This Row],[_Res3Work]]*Tasks[[#This Row],[_LeafProgress]]</f>
        <v>0</v>
      </c>
      <c r="EA28" s="42" t="str">
        <f aca="false">IF(Tasks[[#This Row],[_Res4Text]]="","",IF(Tasks[[#This Row],[_Res4Row]]&gt;0,INDEX(res_Name,Tasks[[#This Row],[_Res4Row]]),TRIM(LEFT(Tasks[[#This Row],[_Res4Text]],FIND("[",Tasks[[#This Row],[_Res4Text]]&amp;"[")-1))))</f>
        <v/>
      </c>
      <c r="EB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8" s="42" t="n">
        <f aca="false">IF(OR(NOT(Tasks[[#This Row],[_IsLeaf]]=1),Tasks[[#This Row],[_Res4Row]]=0),0,N(Tasks[[#This Row],[_Days]])*HoursPerDay*IF(Tasks[[#This Row],[_Res4Units]]="",DefaultUnits,Tasks[[#This Row],[_Res4Units]]))</f>
        <v>0</v>
      </c>
      <c r="ED28" s="42" t="n">
        <f aca="false">IF(AND(AND(Tasks[[#This Row],[_IsLeaf]]=1,Tasks[[#This Row],[_LeafTotalWork]]&gt;0),Tasks[[#This Row],[_Res4Work]]&gt;0),Tasks[[#This Row],[_Res4Work]]/(Tasks[[#This Row],[_FinishWorkday]]-Tasks[[#This Row],[_StartWorkday]]+1),0)</f>
        <v>0</v>
      </c>
      <c r="EE28" s="42" t="n">
        <f aca="false">Tasks[[#This Row],[_Res4WorkPerWD]]*MAX(0,Tasks[[#This Row],[_StartWorkday]]-1)</f>
        <v>0</v>
      </c>
      <c r="EF28" s="42" t="n">
        <f aca="false">Tasks[[#This Row],[_Res4Work]]*Tasks[[#This Row],[_LeafProgress]]</f>
        <v>0</v>
      </c>
      <c r="EG28" s="42" t="n">
        <f aca="false">IF(ISNUMBER(Tasks[[#This Row],[% Complete]]),Tasks[[#This Row],[% Complete]],IF(Tasks[[#This Row],[Stage]]="",0,IFERROR(INDEX(stg_Pct,MATCH(Tasks[[#This Row],[Stage]],stg_Name,0)),0)))</f>
        <v>0</v>
      </c>
      <c r="EH28" s="42" t="n">
        <f aca="false">IF(NOT(Tasks[[#This Row],[_IsLeaf]]=1),0,IF(N(Tasks[[#This Row],[Actual Finish]])&gt;0,1,MIN(1,Tasks[[#This Row],[_Pct]])))</f>
        <v>0</v>
      </c>
      <c r="EI28" s="42" t="n">
        <f aca="false">IF(OR(NOT(Tasks[[#This Row],[_IsLeaf]]=1),Tasks[[#This Row],[_Res1Row]]=0),0,N(Tasks[[#This Row],[_Days]])*HoursPerDay*IF(Tasks[[#This Row],[_Units1]]="",DefaultUnits,Tasks[[#This Row],[_Units1]]))</f>
        <v>0</v>
      </c>
      <c r="EJ28" s="42" t="n">
        <f aca="false">Tasks[[#This Row],[_LeafWork]]+Tasks[[#This Row],[_Res2Work]]+Tasks[[#This Row],[_Res3Work]]+Tasks[[#This Row],[_Res4Work]]</f>
        <v>0</v>
      </c>
      <c r="EK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8" s="42" t="n">
        <f aca="false">IF(NOT(Tasks[[#This Row],[_IsLeaf]]=1),0,MAX(_xlfn.MAXIFS(Tasks[_Row],Tasks[_Pred1UID],Tasks[[#This Row],[UID]]),_xlfn.MAXIFS(Tasks[_Row],Tasks[_Pred2UID],Tasks[[#This Row],[UID]]),_xlfn.MAXIFS(Tasks[_Row],Tasks[_Pred3UID],Tasks[[#This Row],[UID]]),_xlfn.MAXIFS(Tasks[_Row],Tasks[_Pred4UID],Tasks[[#This Row],[UID]])))</f>
        <v>0</v>
      </c>
      <c r="ET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8" s="89" t="str">
        <f aca="false">IF(NOT(Tasks[[#This Row],[_IsLeaf]]=1),"",IF(N(Tasks[[#This Row],[_Days]])&lt;=0,Tasks[[#This Row],[_LeafLateFinish]],WORKDAY.INTL(Tasks[[#This Row],[_LeafLateFinish]],-(Tasks[[#This Row],[_Days]]-1),WorkWeek,Holidays)))</f>
        <v/>
      </c>
      <c r="EW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8" s="88" t="b">
        <f aca="false">AND(Tasks[[#This Row],[_IsLeaf]]=1,Tasks[[#This Row],[_LeafProgress]]&lt;1,N(Tasks[[#This Row],[_LeafTotalSlack]])&lt;=CriticalSlackDays)</f>
        <v>0</v>
      </c>
      <c r="EY28" s="42" t="n">
        <f aca="false">IF(AND(Tasks[[#This Row],[_IsLeaf]]=1,Tasks[[#This Row],[_ConstraintCode]]=1,Tasks[[#This Row],[Mode]]&lt;&gt;"Manual",N(Tasks[[#This Row],[Actual Start]])=0),MAX(0,N(Tasks[[#This Row],[Free Slack]])),0)</f>
        <v>0</v>
      </c>
      <c r="EZ28" s="89" t="str">
        <f aca="false">IF(NOT(Tasks[[#This Row],[_IsLeaf]]=1),"",IF(Tasks[[#This Row],[_AlapShift]]=0,Tasks[[#This Row],[_LeafCalcStart]],WORKDAY.INTL(Tasks[[#This Row],[_LeafCalcStart]],Tasks[[#This Row],[_AlapShift]],WorkWeek,Holidays)))</f>
        <v/>
      </c>
      <c r="FA28" s="89" t="str">
        <f aca="false">IF(NOT(Tasks[[#This Row],[_IsLeaf]]=1),"",IF(Tasks[[#This Row],[_AlapShift]]=0,Tasks[[#This Row],[_LeafCalcFinish]],WORKDAY.INTL(Tasks[[#This Row],[_LeafCalcFinish]],Tasks[[#This Row],[_AlapShift]],WorkWeek,Holidays)))</f>
        <v/>
      </c>
      <c r="FB28" s="89" t="str">
        <f aca="false">IF(NOT(Tasks[[#This Row],[_IsLeaf]]=1),"",IF(Tasks[[#This Row],[_AlapShift]]=0,Tasks[[#This Row],[_LeafFcstStart]],WORKDAY.INTL(Tasks[[#This Row],[_LeafFcstStart]],Tasks[[#This Row],[_AlapShift]],WorkWeek,Holidays)))</f>
        <v/>
      </c>
      <c r="FC28" s="89" t="str">
        <f aca="false">IF(NOT(Tasks[[#This Row],[_IsLeaf]]=1),"",IF(Tasks[[#This Row],[_AlapShift]]=0,Tasks[[#This Row],[_LeafFcstFinish]],WORKDAY.INTL(Tasks[[#This Row],[_LeafFcstFinish]],Tasks[[#This Row],[_AlapShift]],WorkWeek,Holidays)))</f>
        <v/>
      </c>
      <c r="FD28" s="89" t="str">
        <f aca="false">IF(Tasks[[#This Row],[Task Name]]="","",IF(Tasks[[#This Row],[_IsSummary]],MIN(INDEX(Tasks[_ShownCalcStart],Tasks[[#This Row],[_Row]]+1):INDEX(Tasks[_ShownCalcStart],Tasks[[#This Row],[_Row]]+Tasks[[#This Row],[_Descendants]])),Tasks[[#This Row],[_ShownCalcStart]]))</f>
        <v/>
      </c>
      <c r="FE28" s="89" t="str">
        <f aca="false">IF(Tasks[[#This Row],[Task Name]]="","",IF(Tasks[[#This Row],[_IsSummary]],MAX(INDEX(Tasks[_ShownCalcFinish],Tasks[[#This Row],[_Row]]+1):INDEX(Tasks[_ShownCalcFinish],Tasks[[#This Row],[_Row]]+Tasks[[#This Row],[_Descendants]])),Tasks[[#This Row],[_ShownCalcFinish]]))</f>
        <v/>
      </c>
      <c r="FF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8" s="42" t="n">
        <f aca="false">IF(AND(Tasks[[#This Row],[_IsLeaf]]=1,Tasks[[#This Row],[_LeafTotalWork]]&gt;0),NETWORKDAYS.INTL(ProjectStart,Tasks[[#This Row],[_ShownFcstStart]],WorkWeek,Holidays),0)</f>
        <v>0</v>
      </c>
      <c r="FS28" s="42" t="n">
        <f aca="false">IF(AND(Tasks[[#This Row],[_IsLeaf]]=1,Tasks[[#This Row],[_LeafTotalWork]]&gt;0),MAX(Tasks[[#This Row],[_StartWorkday]],NETWORKDAYS.INTL(ProjectStart,Tasks[[#This Row],[_ShownFcstFinish]],WorkWeek,Holidays)),0)</f>
        <v>0</v>
      </c>
      <c r="FT28" s="42" t="n">
        <f aca="false">IF(AND(Tasks[[#This Row],[_IsLeaf]]=1,Tasks[[#This Row],[_LeafTotalWork]]&gt;0),Tasks[[#This Row],[_LeafWork]]/(Tasks[[#This Row],[_FinishWorkday]]-Tasks[[#This Row],[_StartWorkday]]+1),0)</f>
        <v>0</v>
      </c>
      <c r="FU28" s="42" t="n">
        <f aca="false">Tasks[[#This Row],[_WorkPerWorkday]]*(Tasks[[#This Row],[_StartWorkday]]-1)</f>
        <v>-0</v>
      </c>
      <c r="FV28" s="42" t="n">
        <f aca="false">IF(Tasks[[#This Row],[_IsLeaf]]=1,MAX(N(Tasks[[#This Row],[_Days]]),0.1),0)</f>
        <v>0</v>
      </c>
      <c r="FW28" s="42" t="n">
        <f aca="false">Tasks[[#This Row],[_WeightDur]]*Tasks[[#This Row],[_LeafProgress]]</f>
        <v>0</v>
      </c>
      <c r="FX28" s="42" t="n">
        <f aca="false">Tasks[[#This Row],[_WeightDur]]*Tasks[[#This Row],[_PlannedPct]]</f>
        <v>0</v>
      </c>
      <c r="FY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8" s="42" t="str">
        <f aca="false">IF(AND(Tasks[[#This Row],[_IsLeaf]]=1,N(Tasks[[#This Row],[_Days]])=0,Tasks[[#This Row],[_LeafProgress]]&lt;1),Tasks[[#This Row],[_ShownFcstFinish]]+Tasks[[#This Row],[_Row]]/100000,"")</f>
        <v/>
      </c>
      <c r="GA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8" s="42" t="str">
        <f aca="false">IF(Tasks[[#This Row],[Task Name]]="","",LEFT(Tasks[[#This Row],[WBS]],FIND(".",Tasks[[#This Row],[WBS]]&amp;".")-1))</f>
        <v/>
      </c>
      <c r="GC28" s="42" t="str">
        <f aca="false">IF(AND(Tasks[[#This Row],[Task Name]]&lt;&gt;"",Tasks[[#This Row],[_Level]]=1),Tasks[[#This Row],[_Row]],"")</f>
        <v/>
      </c>
      <c r="GD28" s="42" t="str">
        <f aca="false">IF(AND(Tasks[[#This Row],[_IsLeaf]]=1,N(Tasks[[#This Row],[_Days]])=0),Tasks[[#This Row],[Planned Finish]]+Tasks[[#This Row],[_Row]]/100000,"")</f>
        <v/>
      </c>
      <c r="GE28" s="42" t="str">
        <f aca="false">IF(AND(Tasks[[#This Row],[_IsLeaf]]=1,Tasks[[#This Row],[_LeafProgress]]&lt;1,OR(N(Tasks[[#This Row],[Finish Var]])&gt;0,Tasks[[#This Row],[Status]]="Late Start")),MAX(0,Tasks[[#This Row],[Finish Var]])+1-Tasks[[#This Row],[_Row]]/1000000,"")</f>
        <v/>
      </c>
      <c r="GF28" s="42" t="str">
        <f aca="false">IF(AND(Tasks[[#This Row],[_IsLeaf]]=1,N(Tasks[[#This Row],[Actual Start]])=0,Tasks[[#This Row],[_ShownFcstStart]]&gt;=StatusDate,Tasks[[#This Row],[_ShownFcstStart]]&lt;=LookaheadEnd),Tasks[[#This Row],[_ShownFcstStart]]+Tasks[[#This Row],[_Row]]/100000,"")</f>
        <v/>
      </c>
      <c r="GG28" s="42" t="str">
        <f aca="false">IF(AND(Tasks[[#This Row],[_IsLeaf]]=1,Tasks[[#This Row],[_LeafProgress]]&lt;1,Tasks[[#This Row],[_ShownFcstFinish]]&gt;=StatusDate,Tasks[[#This Row],[_ShownFcstFinish]]&lt;=LookaheadEnd),Tasks[[#This Row],[_ShownFcstFinish]]+Tasks[[#This Row],[_Row]]/100000,"")</f>
        <v/>
      </c>
      <c r="GH28" s="42" t="str">
        <f aca="false">IF(Tasks[[#This Row],[_LeafCritical]],Tasks[[#This Row],[_ShownFcstStart]]+Tasks[[#This Row],[_Row]]/100000,"")</f>
        <v/>
      </c>
      <c r="GI28" s="42" t="n">
        <f aca="false">Tasks[[#This Row],[_LeafWork]]*Tasks[[#This Row],[_LeafProgress]]</f>
        <v>0</v>
      </c>
      <c r="GJ28" s="89" t="str">
        <f aca="false">IF(AND(Tasks[[#This Row],[_IsLeaf]]=1,Tasks[[#This Row],[_LeafProgress]]&gt;=1),IF(N(Tasks[[#This Row],[Actual Finish]])&gt;0,Tasks[[#This Row],[Actual Finish]],Tasks[[#This Row],[_ShownFcstFinish]]),"")</f>
        <v/>
      </c>
      <c r="GK28" s="42" t="n">
        <f aca="false">IF(Tasks[[#This Row],[_IsLeaf]]=1,N(Tasks[[#This Row],[Story Points]]),0)</f>
        <v>0</v>
      </c>
      <c r="GL28" s="42" t="str">
        <f aca="false">""</f>
        <v/>
      </c>
      <c r="GM28" s="88" t="b">
        <f aca="false">IF(Tasks[[#This Row],[Task Name]]="",FALSE(),AND(Tasks[[#This Row],[_IsLeaf]]=1,N(Tasks[[#This Row],[_Days]])=0))</f>
        <v>0</v>
      </c>
      <c r="GN28" s="89" t="n">
        <f aca="false">IF(Tasks[[#This Row],[Task Name]]="",0,IF(AND(Tasks[[#This Row],[_IsLeaf]]=1,NOT(Tasks[[#This Row],[_IsMilestone]]),N(Tasks[[#This Row],[Progress]])&gt;0),Tasks[[#This Row],[Start]],0))</f>
        <v>0</v>
      </c>
      <c r="GO28" s="89" t="n">
        <f aca="false">IF(Tasks[[#This Row],[_DoneFrom]]=0,0,IF(Tasks[[#This Row],[Progress]]&gt;=1,Tasks[[#This Row],[Finish]],MAX(Tasks[[#This Row],[_DoneFrom]],Tasks[[#This Row],[Start]]+ROUND((Tasks[[#This Row],[Finish]]-Tasks[[#This Row],[Start]]+1)*Tasks[[#This Row],[Progress]],0)-1)))</f>
        <v>0</v>
      </c>
      <c r="GP28" s="89" t="n">
        <f aca="false">IF(Tasks[[#This Row],[Task Name]]="",0,IF(OR(NOT(Tasks[[#This Row],[_IsLeaf]]=1),Tasks[[#This Row],[_IsMilestone]],N(Tasks[[#This Row],[Progress]])&gt;=1),0,IF(Tasks[[#This Row],[_DoneTo]]&gt;0,Tasks[[#This Row],[_DoneTo]]+1,Tasks[[#This Row],[Start]])))</f>
        <v>0</v>
      </c>
      <c r="GQ28" s="89" t="n">
        <f aca="false">IF(Tasks[[#This Row],[_RemFrom]]=0,0,Tasks[[#This Row],[Finish]])</f>
        <v>0</v>
      </c>
      <c r="GR28" s="88" t="b">
        <f aca="false">IF(Tasks[[#This Row],[Task Name]]="",FALSE(),OR(NOT(BaselineSet),N(Tasks[[#This Row],[Baseline Start]])&gt;0))</f>
        <v>0</v>
      </c>
      <c r="GS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8" s="90" t="str">
        <f aca="false">IF(Tasks[[#This Row],[_IsLeaf]]=1,Tasks[[#This Row],[_Row]],"")</f>
        <v/>
      </c>
      <c r="GW28" s="90" t="str">
        <f aca="false">IFERROR(INDEX(Tasks[UID],SMALL(Tasks[_PickKey],Tasks[[#This Row],[_Row]]))&amp;" "&amp;INDEX(Tasks[Task Name],SMALL(Tasks[_PickKey],Tasks[[#This Row],[_Row]])),"")</f>
        <v/>
      </c>
      <c r="GX28" s="42" t="str">
        <f aca="false">IF(Tasks[[#This Row],[Task Name]]="","",IF(Tasks[[#This Row],[_IsSummary]],NETWORKDAYS.INTL(Tasks[[#This Row],[Start]],Tasks[[#This Row],[Finish]],WorkWeek,Holidays),N(Tasks[[#This Row],[_Days]])))</f>
        <v/>
      </c>
    </row>
    <row r="29" customFormat="false" ht="15" hidden="false" customHeight="false" outlineLevel="0" collapsed="false">
      <c r="A29" s="21" t="str">
        <f aca="false">IF(Tasks[[#This Row],[Task Name]]="","",COUNTA(Tasks[[#Headers],[Task Name]]:Tasks[[#This Row],[Task Name]])-1)</f>
        <v/>
      </c>
      <c r="B29" s="22" t="n">
        <v>37</v>
      </c>
      <c r="C29" s="22"/>
      <c r="D29" s="23"/>
      <c r="E29" s="22"/>
      <c r="F29" s="23"/>
      <c r="G29" s="22"/>
      <c r="H29" s="22"/>
      <c r="I29" s="23"/>
      <c r="J29" s="22"/>
      <c r="K29" s="22"/>
      <c r="L29" s="23"/>
      <c r="M29" s="22"/>
      <c r="N29" s="22"/>
      <c r="O29" s="23"/>
      <c r="P29" s="22"/>
      <c r="Q29" s="22"/>
      <c r="R29" s="23"/>
      <c r="S29" s="23"/>
      <c r="T29" s="83"/>
      <c r="U29" s="23"/>
      <c r="V29" s="83"/>
      <c r="W29" s="23"/>
      <c r="X29" s="83"/>
      <c r="Y29" s="23"/>
      <c r="Z29" s="83"/>
      <c r="AA29" s="23"/>
      <c r="AB29" s="23"/>
      <c r="AC29" s="7"/>
      <c r="AD29" s="7"/>
      <c r="AE29" s="62" t="str">
        <f aca="false">IF(Tasks[[#This Row],[Task Name]]="","",IF(Tasks[[#This Row],[_IsSummary]],MIN(INDEX(Tasks[_ShownFcstStart],Tasks[[#This Row],[_Row]]+1):INDEX(Tasks[_ShownFcstStart],Tasks[[#This Row],[_Row]]+Tasks[[#This Row],[_Descendants]])),Tasks[[#This Row],[_ShownFcstStart]]))</f>
        <v/>
      </c>
      <c r="AF29" s="62" t="str">
        <f aca="false">IF(Tasks[[#This Row],[Task Name]]="","",IF(Tasks[[#This Row],[_IsSummary]],MAX(INDEX(Tasks[_ShownFcstFinish],Tasks[[#This Row],[_Row]]+1):INDEX(Tasks[_ShownFcstFinish],Tasks[[#This Row],[_Row]]+Tasks[[#This Row],[_Descendants]])),Tasks[[#This Row],[_ShownFcstFinish]]))</f>
        <v/>
      </c>
      <c r="AG29" s="21" t="str">
        <f aca="false">""</f>
        <v/>
      </c>
      <c r="AH29" s="23"/>
      <c r="AI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9" s="7"/>
      <c r="AK29" s="22"/>
      <c r="AL29" s="23"/>
      <c r="AM29" s="7"/>
      <c r="AN29" s="46" t="str">
        <f aca="false">IF(Tasks[[#This Row],[Task Name]]="","",IF(Tasks[[#This Row],[Finish]]&gt;=Tasks[[#This Row],[Planned Finish]],NETWORKDAYS.INTL(Tasks[[#This Row],[Planned Finish]],Tasks[[#This Row],[Finish]],WorkWeek,Holidays)-1,1-NETWORKDAYS.INTL(Tasks[[#This Row],[Finish]],Tasks[[#This Row],[Planned Finish]],WorkWeek,Holidays)))</f>
        <v/>
      </c>
      <c r="AO29" s="21" t="str">
        <f aca="false">IF(Tasks[[#This Row],[Task Name]]="","",IF(Tasks[[#This Row],[Progress]]&gt;=1,"Complete",IF(OR(N(Tasks[[#This Row],[Actual Start]])&gt;0,Tasks[[#This Row],[Progress]]&gt;0),IF(Tasks[[#This Row],[Finish Var]]&gt;0,"Behind","In Progress"),IF(Tasks[[#This Row],[Planned Start]]&lt;StatusDate,"Late Start","Not Started"))))</f>
        <v/>
      </c>
      <c r="AP29" s="21" t="str">
        <f aca="false">IF(Tasks[[#This Row],[Task Name]]="","",IF(IF(Tasks[[#This Row],[_IsSummary]],COUNTIF(INDEX(Tasks[_LeafCritical],Tasks[[#This Row],[_Row]]+1):INDEX(Tasks[_LeafCritical],Tasks[[#This Row],[_Row]]+Tasks[[#This Row],[_Descendants]]),TRUE())&gt;0,Tasks[[#This Row],[_LeafCritical]]),"Yes",""))</f>
        <v/>
      </c>
      <c r="AQ29" s="62" t="str">
        <f aca="false">IF(Tasks[[#This Row],[Task Name]]="","",IF(N(Tasks[[#This Row],[Baseline Start]])&gt;0,Tasks[[#This Row],[Baseline Start]],Tasks[[#This Row],[_CalcStart]]))</f>
        <v/>
      </c>
      <c r="AR29" s="62" t="str">
        <f aca="false">IF(Tasks[[#This Row],[Task Name]]="","",IF(N(Tasks[[#This Row],[Baseline Finish]])&gt;0,Tasks[[#This Row],[Baseline Finish]],Tasks[[#This Row],[_CalcFinish]]))</f>
        <v/>
      </c>
      <c r="AS29" s="46" t="str">
        <f aca="false">IF(Tasks[[#This Row],[Task Name]]="","",IF(Tasks[[#This Row],[Start]]&gt;=Tasks[[#This Row],[Planned Start]],NETWORKDAYS.INTL(Tasks[[#This Row],[Planned Start]],Tasks[[#This Row],[Start]],WorkWeek,Holidays)-1,1-NETWORKDAYS.INTL(Tasks[[#This Row],[Start]],Tasks[[#This Row],[Planned Start]],WorkWeek,Holidays)))</f>
        <v/>
      </c>
      <c r="AT29" s="62" t="str">
        <f aca="false">IF(Tasks[[#This Row],[Task Name]]="","",IF(Tasks[[#This Row],[_IsSummary]],MIN(INDEX(Tasks[_LeafLateStart],Tasks[[#This Row],[_Row]]+1):INDEX(Tasks[_LeafLateStart],Tasks[[#This Row],[_Row]]+Tasks[[#This Row],[_Descendants]])),Tasks[[#This Row],[_LeafLateStart]]))</f>
        <v/>
      </c>
      <c r="AU29" s="62" t="str">
        <f aca="false">IF(Tasks[[#This Row],[Task Name]]="","",IF(Tasks[[#This Row],[_IsSummary]],MAX(INDEX(Tasks[_LeafLateFinish],Tasks[[#This Row],[_Row]]+1):INDEX(Tasks[_LeafLateFinish],Tasks[[#This Row],[_Row]]+Tasks[[#This Row],[_Descendants]])),Tasks[[#This Row],[_LeafLateFinish]]))</f>
        <v/>
      </c>
      <c r="AV29" s="46" t="str">
        <f aca="false">IF(Tasks[[#This Row],[Task Name]]="","",IF(Tasks[[#This Row],[_IsSummary]],MIN(INDEX(Tasks[_LeafTotalSlack],Tasks[[#This Row],[_Row]]+1):INDEX(Tasks[_LeafTotalSlack],Tasks[[#This Row],[_Row]]+Tasks[[#This Row],[_Descendants]])),Tasks[[#This Row],[_LeafTotalSlack]]))</f>
        <v/>
      </c>
      <c r="AW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4"/>
      <c r="BA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t="str">
        <f aca="false">IF(Tasks[[#This Row],[Task Name]]="","",IF(Tasks[[#This Row],[_Level]]&lt;=OutlineShowLevel,"Yes","No"))</f>
        <v/>
      </c>
      <c r="BE29" s="85" t="str">
        <f aca="false">IF(Tasks[[#This Row],[Task Name]]="","",IF(Tasks[[#This Row],[_IsSummary]],SUM(INDEX(Tasks[_LeafTotalWork],Tasks[[#This Row],[_Row]]+1):INDEX(Tasks[_LeafTotalWork],Tasks[[#This Row],[_Row]]+Tasks[[#This Row],[_Descendants]])),Tasks[[#This Row],[_LeafTotalWork]]))</f>
        <v/>
      </c>
      <c r="BF29" s="23"/>
      <c r="BG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t="str">
        <f aca="false">""</f>
        <v/>
      </c>
      <c r="BI29" s="86"/>
      <c r="BJ29" s="22"/>
      <c r="BK29" s="46" t="str">
        <f aca="false">IF(OR(Tasks[[#This Row],[Task Name]]="",Tasks[[#This Row],[Baseline Duration]]=""),"",Tasks[[#This Row],[_SpanDays]]-N(Tasks[[#This Row],[Baseline Duration]]))</f>
        <v/>
      </c>
      <c r="BL29" s="85" t="str">
        <f aca="false">IF(OR(Tasks[[#This Row],[Task Name]]="",Tasks[[#This Row],[Baseline Work]]=""),"",Tasks[[#This Row],[Work]]-N(Tasks[[#This Row],[Baseline Work]]))</f>
        <v/>
      </c>
      <c r="BM29" s="62" t="str">
        <f aca="false">IF(Tasks[[#This Row],[Task Name]]="","",IF(OR(TakeBaseline="Yes",N(Tasks[[#This Row],[Baseline Start]])=0),Tasks[[#This Row],[Start]],Tasks[[#This Row],[Baseline Start]]))</f>
        <v/>
      </c>
      <c r="BN29" s="62" t="str">
        <f aca="false">IF(Tasks[[#This Row],[Task Name]]="","",IF(OR(TakeBaseline="Yes",N(Tasks[[#This Row],[Baseline Finish]])=0),Tasks[[#This Row],[Finish]],Tasks[[#This Row],[Baseline Finish]]))</f>
        <v/>
      </c>
      <c r="BO29" s="21" t="str">
        <f aca="false">IF(Tasks[[#This Row],[Task Name]]="","",IF(OR(TakeBaseline="Yes",N(Tasks[[#This Row],[Baseline Duration]])=0),Tasks[[#This Row],[_SpanDays]],Tasks[[#This Row],[Baseline Duration]]))</f>
        <v/>
      </c>
      <c r="BP29" s="85" t="str">
        <f aca="false">IF(Tasks[[#This Row],[Task Name]]="","",IF(OR(TakeBaseline="Yes",N(Tasks[[#This Row],[Baseline Work]])=0),Tasks[[#This Row],[Work]],Tasks[[#This Row],[Baseline Work]]))</f>
        <v/>
      </c>
      <c r="BQ29" s="7"/>
      <c r="BR29" s="7"/>
      <c r="BS29" s="22"/>
      <c r="BT29" s="87"/>
      <c r="BU29" s="42" t="str">
        <f aca="false">IF(Tasks[[#This Row],[Task Name]]="","",MAX(1,N(Tasks[[#This Row],[Level]])))</f>
        <v/>
      </c>
      <c r="BV29" s="42" t="n">
        <f aca="false">ROW()-ROW(Tasks[[#Headers],[ID]])</f>
        <v>24</v>
      </c>
      <c r="BW29" s="42" t="n">
        <f aca="false">IF(OR(Tasks[[#This Row],[Task Name]]="",Tasks[[#This Row],[_Level]]&lt;=1),0,IFERROR(LOOKUP(2,1/(Tasks[[#Headers],[_Level]]:Tasks[[#This Row],[_Level]]=Tasks[[#This Row],[_Level]]-1),ROW(Tasks[[#Headers],[_Level]]:Tasks[[#This Row],[_Level]])),0))</f>
        <v>0</v>
      </c>
      <c r="BX29" s="42" t="n">
        <f aca="false">IFERROR(N(INDEX(Tasks[_Level],Tasks[[#This Row],[_Row]]+1)),0)</f>
        <v>0</v>
      </c>
      <c r="BY29" s="88" t="b">
        <f aca="false">AND(Tasks[[#This Row],[Task Name]]&lt;&gt;"",Tasks[[#This Row],[_NextLevel]]&gt;Tasks[[#This Row],[_Level]])</f>
        <v>0</v>
      </c>
      <c r="BZ29" s="42" t="n">
        <f aca="false">IF(Tasks[[#This Row],[_IsSummary]],COUNTIF(Tasks[WBS],Tasks[[#This Row],[WBS]]&amp;".*"),0)</f>
        <v>0</v>
      </c>
      <c r="CA29" s="42" t="n">
        <f aca="false">IF(AND(Tasks[[#This Row],[Task Name]]&lt;&gt;"",NOT(Tasks[[#This Row],[_IsSummary]])),1,0)</f>
        <v>0</v>
      </c>
      <c r="CB29" s="42" t="n">
        <f aca="false">IF(N(Tasks[[#This Row],[_Pred1UID]])=0,0,IFERROR(MATCH(Tasks[[#This Row],[_Pred1UID]],Tasks[UID],0),-1))</f>
        <v>0</v>
      </c>
      <c r="CC29" s="42" t="n">
        <f aca="false">IF(N(Tasks[[#This Row],[_Pred2UID]])=0,0,IFERROR(MATCH(Tasks[[#This Row],[_Pred2UID]],Tasks[UID],0),-1))</f>
        <v>0</v>
      </c>
      <c r="CD29" s="42" t="n">
        <f aca="false">IF(N(Tasks[[#This Row],[_Pred3UID]])=0,0,IFERROR(MATCH(Tasks[[#This Row],[_Pred3UID]],Tasks[UID],0),-1))</f>
        <v>0</v>
      </c>
      <c r="CE29" s="42" t="n">
        <f aca="false">IF(N(Tasks[[#This Row],[_Pred4UID]])=0,0,IFERROR(MATCH(Tasks[[#This Row],[_Pred4UID]],Tasks[UID],0),-1))</f>
        <v>0</v>
      </c>
      <c r="CF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9" s="89" t="n">
        <f aca="false">IF(OR(Tasks[[#This Row],[_ConstraintCode]]=2,Tasks[[#This Row],[_ConstraintCode]]=3,Tasks[[#This Row],[_ConstraintCode]]=4,Tasks[[#This Row],[_ConstraintCode]]=6),Tasks[[#This Row],[_ConstraintStart]],0)</f>
        <v>0</v>
      </c>
      <c r="CI29" s="89" t="n">
        <f aca="false">IF(OR(Tasks[[#This Row],[_ConstraintCode]]=2,Tasks[[#This Row],[_ConstraintCode]]=3,Tasks[[#This Row],[_ConstraintCode]]=5,Tasks[[#This Row],[_ConstraintCode]]=7),Tasks[[#This Row],[_ConstraintStart]],2958465)</f>
        <v>2958465</v>
      </c>
      <c r="CJ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9" s="89" t="str">
        <f aca="false">IF(NOT(Tasks[[#This Row],[_IsLeaf]]=1),"",IF(N(Tasks[[#This Row],[_Days]])&lt;=0,Tasks[[#This Row],[_LeafCalcStart]],WORKDAY.INTL(Tasks[[#This Row],[_LeafCalcStart]],Tasks[[#This Row],[_Days]]-1,WorkWeek,Holidays)))</f>
        <v/>
      </c>
      <c r="CL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9" s="42" t="str">
        <f aca="false">IF(Tasks[[#This Row],[_Predecessors]]="","",TRIM(MID(SUBSTITUTE(SUBSTITUTE(SUBSTITUTE(UPPER(Tasks[[#This Row],[_Predecessors]]),";",",")," ",""),",",REPT(" ",99)),1,99)))</f>
        <v/>
      </c>
      <c r="CO29" s="42" t="str">
        <f aca="false">IF(Tasks[[#This Row],[_Pred1Text]]="","",IFERROR(VALUE(LEFT(Tasks[[#This Row],[_Pred1Text]],MIN(FIND("F",Tasks[[#This Row],[_Pred1Text]]&amp;"F"),FIND("S",Tasks[[#This Row],[_Pred1Text]]&amp;"S"),FIND("+",Tasks[[#This Row],[_Pred1Text]]&amp;"+"),FIND("-",Tasks[[#This Row],[_Pred1Text]]&amp;"-"))-1)),""))</f>
        <v/>
      </c>
      <c r="CP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9" s="42" t="str">
        <f aca="false">IF(Tasks[[#This Row],[_Pred1Text]]="","",TRIM(MID(SUBSTITUTE(SUBSTITUTE(SUBSTITUTE(UPPER(Tasks[[#This Row],[_Predecessors]]),";",",")," ",""),",",REPT(" ",99)),100,99)))</f>
        <v/>
      </c>
      <c r="CS29" s="42" t="str">
        <f aca="false">IF(Tasks[[#This Row],[_Pred2Text]]="","",IFERROR(VALUE(LEFT(Tasks[[#This Row],[_Pred2Text]],MIN(FIND("F",Tasks[[#This Row],[_Pred2Text]]&amp;"F"),FIND("S",Tasks[[#This Row],[_Pred2Text]]&amp;"S"),FIND("+",Tasks[[#This Row],[_Pred2Text]]&amp;"+"),FIND("-",Tasks[[#This Row],[_Pred2Text]]&amp;"-"))-1)),""))</f>
        <v/>
      </c>
      <c r="CT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9" s="42" t="str">
        <f aca="false">IF(Tasks[[#This Row],[_Pred2Text]]="","",TRIM(MID(SUBSTITUTE(SUBSTITUTE(SUBSTITUTE(UPPER(Tasks[[#This Row],[_Predecessors]]),";",",")," ",""),",",REPT(" ",99)),199,99)))</f>
        <v/>
      </c>
      <c r="CW29" s="42" t="str">
        <f aca="false">IF(Tasks[[#This Row],[_Pred3Text]]="","",IFERROR(VALUE(LEFT(Tasks[[#This Row],[_Pred3Text]],MIN(FIND("F",Tasks[[#This Row],[_Pred3Text]]&amp;"F"),FIND("S",Tasks[[#This Row],[_Pred3Text]]&amp;"S"),FIND("+",Tasks[[#This Row],[_Pred3Text]]&amp;"+"),FIND("-",Tasks[[#This Row],[_Pred3Text]]&amp;"-"))-1)),""))</f>
        <v/>
      </c>
      <c r="CX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9" s="42" t="str">
        <f aca="false">IF(Tasks[[#This Row],[_Pred3Text]]="","",TRIM(MID(SUBSTITUTE(SUBSTITUTE(SUBSTITUTE(UPPER(Tasks[[#This Row],[_Predecessors]]),";",",")," ",""),",",REPT(" ",99)),298,99)))</f>
        <v/>
      </c>
      <c r="DA29" s="42" t="str">
        <f aca="false">IF(Tasks[[#This Row],[_Pred4Text]]="","",IFERROR(VALUE(LEFT(Tasks[[#This Row],[_Pred4Text]],MIN(FIND("F",Tasks[[#This Row],[_Pred4Text]]&amp;"F"),FIND("S",Tasks[[#This Row],[_Pred4Text]]&amp;"S"),FIND("+",Tasks[[#This Row],[_Pred4Text]]&amp;"+"),FIND("-",Tasks[[#This Row],[_Pred4Text]]&amp;"-"))-1)),""))</f>
        <v/>
      </c>
      <c r="DB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9" s="42" t="str">
        <f aca="false">IF(OR(Tasks[[#This Row],[Task Name]]="",Tasks[[#This Row],[_Resources]]=""),"",TRIM(MID(SUBSTITUTE(Tasks[[#This Row],[_Resources]],",",REPT(" ",99)),1,99)))</f>
        <v/>
      </c>
      <c r="DE29" s="42" t="str">
        <f aca="false">IF(Tasks[[#This Row],[_Res1Text]]="","",TRIM(MID(SUBSTITUTE(Tasks[[#This Row],[_Resources]],",",REPT(" ",99)),100,99)))</f>
        <v/>
      </c>
      <c r="DF29" s="42" t="str">
        <f aca="false">IF(Tasks[[#This Row],[_Res2Text]]="","",TRIM(MID(SUBSTITUTE(Tasks[[#This Row],[_Resources]],",",REPT(" ",99)),199,99)))</f>
        <v/>
      </c>
      <c r="DG29" s="42" t="str">
        <f aca="false">IF(Tasks[[#This Row],[_Res3Text]]="","",TRIM(MID(SUBSTITUTE(Tasks[[#This Row],[_Resources]],",",REPT(" ",99)),298,99)))</f>
        <v/>
      </c>
      <c r="DH29" s="42" t="n">
        <f aca="false">IF(Tasks[[#This Row],[_Res1Text]]="",0,IFERROR(MATCH(TRIM(LEFT(Tasks[[#This Row],[_Res1Text]],FIND("[",Tasks[[#This Row],[_Res1Text]]&amp;"[")-1)),res_Name,0),IFERROR(MATCH(TRIM(LEFT(Tasks[[#This Row],[_Res1Text]],FIND("[",Tasks[[#This Row],[_Res1Text]]&amp;"[")-1)),res_Initials,0),0)))</f>
        <v>0</v>
      </c>
      <c r="DI29" s="42" t="n">
        <f aca="false">IF(Tasks[[#This Row],[_Res2Text]]="",0,IFERROR(MATCH(TRIM(LEFT(Tasks[[#This Row],[_Res2Text]],FIND("[",Tasks[[#This Row],[_Res2Text]]&amp;"[")-1)),res_Name,0),IFERROR(MATCH(TRIM(LEFT(Tasks[[#This Row],[_Res2Text]],FIND("[",Tasks[[#This Row],[_Res2Text]]&amp;"[")-1)),res_Initials,0),0)))</f>
        <v>0</v>
      </c>
      <c r="DJ29" s="42" t="n">
        <f aca="false">IF(Tasks[[#This Row],[_Res3Text]]="",0,IFERROR(MATCH(TRIM(LEFT(Tasks[[#This Row],[_Res3Text]],FIND("[",Tasks[[#This Row],[_Res3Text]]&amp;"[")-1)),res_Name,0),IFERROR(MATCH(TRIM(LEFT(Tasks[[#This Row],[_Res3Text]],FIND("[",Tasks[[#This Row],[_Res3Text]]&amp;"[")-1)),res_Initials,0),0)))</f>
        <v>0</v>
      </c>
      <c r="DK29" s="42" t="n">
        <f aca="false">IF(Tasks[[#This Row],[_Res4Text]]="",0,IFERROR(MATCH(TRIM(LEFT(Tasks[[#This Row],[_Res4Text]],FIND("[",Tasks[[#This Row],[_Res4Text]]&amp;"[")-1)),res_Name,0),IFERROR(MATCH(TRIM(LEFT(Tasks[[#This Row],[_Res4Text]],FIND("[",Tasks[[#This Row],[_Res4Text]]&amp;"[")-1)),res_Initials,0),0)))</f>
        <v>0</v>
      </c>
      <c r="DL29" s="42" t="str">
        <f aca="false">IF(Tasks[[#This Row],[_Res1Text]]="","",IF(Tasks[[#This Row],[_Res1Row]]&gt;0,INDEX(res_Name,Tasks[[#This Row],[_Res1Row]]),TRIM(LEFT(Tasks[[#This Row],[_Res1Text]],FIND("[",Tasks[[#This Row],[_Res1Text]]&amp;"[")-1))))</f>
        <v/>
      </c>
      <c r="DM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9" s="42" t="n">
        <f aca="false">IF(NOT(Tasks[[#This Row],[_IsLeaf]]=1),0,(Tasks[[#This Row],[_Resource1]]&lt;&gt;"")+(Tasks[[#This Row],[_Res2]]&lt;&gt;"")+(Tasks[[#This Row],[_Res3]]&lt;&gt;"")+(Tasks[[#This Row],[_Res4]]&lt;&gt;""))</f>
        <v>0</v>
      </c>
      <c r="DO29" s="42" t="str">
        <f aca="false">IF(Tasks[[#This Row],[_Res2Text]]="","",IF(Tasks[[#This Row],[_Res2Row]]&gt;0,INDEX(res_Name,Tasks[[#This Row],[_Res2Row]]),TRIM(LEFT(Tasks[[#This Row],[_Res2Text]],FIND("[",Tasks[[#This Row],[_Res2Text]]&amp;"[")-1))))</f>
        <v/>
      </c>
      <c r="DP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9" s="42" t="n">
        <f aca="false">IF(OR(NOT(Tasks[[#This Row],[_IsLeaf]]=1),Tasks[[#This Row],[_Res2Row]]=0),0,N(Tasks[[#This Row],[_Days]])*HoursPerDay*IF(Tasks[[#This Row],[_Res2Units]]="",DefaultUnits,Tasks[[#This Row],[_Res2Units]]))</f>
        <v>0</v>
      </c>
      <c r="DR29" s="42" t="n">
        <f aca="false">IF(AND(AND(Tasks[[#This Row],[_IsLeaf]]=1,Tasks[[#This Row],[_LeafTotalWork]]&gt;0),Tasks[[#This Row],[_Res2Work]]&gt;0),Tasks[[#This Row],[_Res2Work]]/(Tasks[[#This Row],[_FinishWorkday]]-Tasks[[#This Row],[_StartWorkday]]+1),0)</f>
        <v>0</v>
      </c>
      <c r="DS29" s="42" t="n">
        <f aca="false">Tasks[[#This Row],[_Res2WorkPerWD]]*MAX(0,Tasks[[#This Row],[_StartWorkday]]-1)</f>
        <v>0</v>
      </c>
      <c r="DT29" s="42" t="n">
        <f aca="false">Tasks[[#This Row],[_Res2Work]]*Tasks[[#This Row],[_LeafProgress]]</f>
        <v>0</v>
      </c>
      <c r="DU29" s="42" t="str">
        <f aca="false">IF(Tasks[[#This Row],[_Res3Text]]="","",IF(Tasks[[#This Row],[_Res3Row]]&gt;0,INDEX(res_Name,Tasks[[#This Row],[_Res3Row]]),TRIM(LEFT(Tasks[[#This Row],[_Res3Text]],FIND("[",Tasks[[#This Row],[_Res3Text]]&amp;"[")-1))))</f>
        <v/>
      </c>
      <c r="DV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9" s="42" t="n">
        <f aca="false">IF(OR(NOT(Tasks[[#This Row],[_IsLeaf]]=1),Tasks[[#This Row],[_Res3Row]]=0),0,N(Tasks[[#This Row],[_Days]])*HoursPerDay*IF(Tasks[[#This Row],[_Res3Units]]="",DefaultUnits,Tasks[[#This Row],[_Res3Units]]))</f>
        <v>0</v>
      </c>
      <c r="DX29" s="42" t="n">
        <f aca="false">IF(AND(AND(Tasks[[#This Row],[_IsLeaf]]=1,Tasks[[#This Row],[_LeafTotalWork]]&gt;0),Tasks[[#This Row],[_Res3Work]]&gt;0),Tasks[[#This Row],[_Res3Work]]/(Tasks[[#This Row],[_FinishWorkday]]-Tasks[[#This Row],[_StartWorkday]]+1),0)</f>
        <v>0</v>
      </c>
      <c r="DY29" s="42" t="n">
        <f aca="false">Tasks[[#This Row],[_Res3WorkPerWD]]*MAX(0,Tasks[[#This Row],[_StartWorkday]]-1)</f>
        <v>0</v>
      </c>
      <c r="DZ29" s="42" t="n">
        <f aca="false">Tasks[[#This Row],[_Res3Work]]*Tasks[[#This Row],[_LeafProgress]]</f>
        <v>0</v>
      </c>
      <c r="EA29" s="42" t="str">
        <f aca="false">IF(Tasks[[#This Row],[_Res4Text]]="","",IF(Tasks[[#This Row],[_Res4Row]]&gt;0,INDEX(res_Name,Tasks[[#This Row],[_Res4Row]]),TRIM(LEFT(Tasks[[#This Row],[_Res4Text]],FIND("[",Tasks[[#This Row],[_Res4Text]]&amp;"[")-1))))</f>
        <v/>
      </c>
      <c r="EB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9" s="42" t="n">
        <f aca="false">IF(OR(NOT(Tasks[[#This Row],[_IsLeaf]]=1),Tasks[[#This Row],[_Res4Row]]=0),0,N(Tasks[[#This Row],[_Days]])*HoursPerDay*IF(Tasks[[#This Row],[_Res4Units]]="",DefaultUnits,Tasks[[#This Row],[_Res4Units]]))</f>
        <v>0</v>
      </c>
      <c r="ED29" s="42" t="n">
        <f aca="false">IF(AND(AND(Tasks[[#This Row],[_IsLeaf]]=1,Tasks[[#This Row],[_LeafTotalWork]]&gt;0),Tasks[[#This Row],[_Res4Work]]&gt;0),Tasks[[#This Row],[_Res4Work]]/(Tasks[[#This Row],[_FinishWorkday]]-Tasks[[#This Row],[_StartWorkday]]+1),0)</f>
        <v>0</v>
      </c>
      <c r="EE29" s="42" t="n">
        <f aca="false">Tasks[[#This Row],[_Res4WorkPerWD]]*MAX(0,Tasks[[#This Row],[_StartWorkday]]-1)</f>
        <v>0</v>
      </c>
      <c r="EF29" s="42" t="n">
        <f aca="false">Tasks[[#This Row],[_Res4Work]]*Tasks[[#This Row],[_LeafProgress]]</f>
        <v>0</v>
      </c>
      <c r="EG29" s="42" t="n">
        <f aca="false">IF(ISNUMBER(Tasks[[#This Row],[% Complete]]),Tasks[[#This Row],[% Complete]],IF(Tasks[[#This Row],[Stage]]="",0,IFERROR(INDEX(stg_Pct,MATCH(Tasks[[#This Row],[Stage]],stg_Name,0)),0)))</f>
        <v>0</v>
      </c>
      <c r="EH29" s="42" t="n">
        <f aca="false">IF(NOT(Tasks[[#This Row],[_IsLeaf]]=1),0,IF(N(Tasks[[#This Row],[Actual Finish]])&gt;0,1,MIN(1,Tasks[[#This Row],[_Pct]])))</f>
        <v>0</v>
      </c>
      <c r="EI29" s="42" t="n">
        <f aca="false">IF(OR(NOT(Tasks[[#This Row],[_IsLeaf]]=1),Tasks[[#This Row],[_Res1Row]]=0),0,N(Tasks[[#This Row],[_Days]])*HoursPerDay*IF(Tasks[[#This Row],[_Units1]]="",DefaultUnits,Tasks[[#This Row],[_Units1]]))</f>
        <v>0</v>
      </c>
      <c r="EJ29" s="42" t="n">
        <f aca="false">Tasks[[#This Row],[_LeafWork]]+Tasks[[#This Row],[_Res2Work]]+Tasks[[#This Row],[_Res3Work]]+Tasks[[#This Row],[_Res4Work]]</f>
        <v>0</v>
      </c>
      <c r="EK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9" s="42" t="n">
        <f aca="false">IF(NOT(Tasks[[#This Row],[_IsLeaf]]=1),0,MAX(_xlfn.MAXIFS(Tasks[_Row],Tasks[_Pred1UID],Tasks[[#This Row],[UID]]),_xlfn.MAXIFS(Tasks[_Row],Tasks[_Pred2UID],Tasks[[#This Row],[UID]]),_xlfn.MAXIFS(Tasks[_Row],Tasks[_Pred3UID],Tasks[[#This Row],[UID]]),_xlfn.MAXIFS(Tasks[_Row],Tasks[_Pred4UID],Tasks[[#This Row],[UID]])))</f>
        <v>0</v>
      </c>
      <c r="ET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9" s="89" t="str">
        <f aca="false">IF(NOT(Tasks[[#This Row],[_IsLeaf]]=1),"",IF(N(Tasks[[#This Row],[_Days]])&lt;=0,Tasks[[#This Row],[_LeafLateFinish]],WORKDAY.INTL(Tasks[[#This Row],[_LeafLateFinish]],-(Tasks[[#This Row],[_Days]]-1),WorkWeek,Holidays)))</f>
        <v/>
      </c>
      <c r="EW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9" s="88" t="b">
        <f aca="false">AND(Tasks[[#This Row],[_IsLeaf]]=1,Tasks[[#This Row],[_LeafProgress]]&lt;1,N(Tasks[[#This Row],[_LeafTotalSlack]])&lt;=CriticalSlackDays)</f>
        <v>0</v>
      </c>
      <c r="EY29" s="42" t="n">
        <f aca="false">IF(AND(Tasks[[#This Row],[_IsLeaf]]=1,Tasks[[#This Row],[_ConstraintCode]]=1,Tasks[[#This Row],[Mode]]&lt;&gt;"Manual",N(Tasks[[#This Row],[Actual Start]])=0),MAX(0,N(Tasks[[#This Row],[Free Slack]])),0)</f>
        <v>0</v>
      </c>
      <c r="EZ29" s="89" t="str">
        <f aca="false">IF(NOT(Tasks[[#This Row],[_IsLeaf]]=1),"",IF(Tasks[[#This Row],[_AlapShift]]=0,Tasks[[#This Row],[_LeafCalcStart]],WORKDAY.INTL(Tasks[[#This Row],[_LeafCalcStart]],Tasks[[#This Row],[_AlapShift]],WorkWeek,Holidays)))</f>
        <v/>
      </c>
      <c r="FA29" s="89" t="str">
        <f aca="false">IF(NOT(Tasks[[#This Row],[_IsLeaf]]=1),"",IF(Tasks[[#This Row],[_AlapShift]]=0,Tasks[[#This Row],[_LeafCalcFinish]],WORKDAY.INTL(Tasks[[#This Row],[_LeafCalcFinish]],Tasks[[#This Row],[_AlapShift]],WorkWeek,Holidays)))</f>
        <v/>
      </c>
      <c r="FB29" s="89" t="str">
        <f aca="false">IF(NOT(Tasks[[#This Row],[_IsLeaf]]=1),"",IF(Tasks[[#This Row],[_AlapShift]]=0,Tasks[[#This Row],[_LeafFcstStart]],WORKDAY.INTL(Tasks[[#This Row],[_LeafFcstStart]],Tasks[[#This Row],[_AlapShift]],WorkWeek,Holidays)))</f>
        <v/>
      </c>
      <c r="FC29" s="89" t="str">
        <f aca="false">IF(NOT(Tasks[[#This Row],[_IsLeaf]]=1),"",IF(Tasks[[#This Row],[_AlapShift]]=0,Tasks[[#This Row],[_LeafFcstFinish]],WORKDAY.INTL(Tasks[[#This Row],[_LeafFcstFinish]],Tasks[[#This Row],[_AlapShift]],WorkWeek,Holidays)))</f>
        <v/>
      </c>
      <c r="FD29" s="89" t="str">
        <f aca="false">IF(Tasks[[#This Row],[Task Name]]="","",IF(Tasks[[#This Row],[_IsSummary]],MIN(INDEX(Tasks[_ShownCalcStart],Tasks[[#This Row],[_Row]]+1):INDEX(Tasks[_ShownCalcStart],Tasks[[#This Row],[_Row]]+Tasks[[#This Row],[_Descendants]])),Tasks[[#This Row],[_ShownCalcStart]]))</f>
        <v/>
      </c>
      <c r="FE29" s="89" t="str">
        <f aca="false">IF(Tasks[[#This Row],[Task Name]]="","",IF(Tasks[[#This Row],[_IsSummary]],MAX(INDEX(Tasks[_ShownCalcFinish],Tasks[[#This Row],[_Row]]+1):INDEX(Tasks[_ShownCalcFinish],Tasks[[#This Row],[_Row]]+Tasks[[#This Row],[_Descendants]])),Tasks[[#This Row],[_ShownCalcFinish]]))</f>
        <v/>
      </c>
      <c r="FF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9" s="42" t="n">
        <f aca="false">IF(AND(Tasks[[#This Row],[_IsLeaf]]=1,Tasks[[#This Row],[_LeafTotalWork]]&gt;0),NETWORKDAYS.INTL(ProjectStart,Tasks[[#This Row],[_ShownFcstStart]],WorkWeek,Holidays),0)</f>
        <v>0</v>
      </c>
      <c r="FS29" s="42" t="n">
        <f aca="false">IF(AND(Tasks[[#This Row],[_IsLeaf]]=1,Tasks[[#This Row],[_LeafTotalWork]]&gt;0),MAX(Tasks[[#This Row],[_StartWorkday]],NETWORKDAYS.INTL(ProjectStart,Tasks[[#This Row],[_ShownFcstFinish]],WorkWeek,Holidays)),0)</f>
        <v>0</v>
      </c>
      <c r="FT29" s="42" t="n">
        <f aca="false">IF(AND(Tasks[[#This Row],[_IsLeaf]]=1,Tasks[[#This Row],[_LeafTotalWork]]&gt;0),Tasks[[#This Row],[_LeafWork]]/(Tasks[[#This Row],[_FinishWorkday]]-Tasks[[#This Row],[_StartWorkday]]+1),0)</f>
        <v>0</v>
      </c>
      <c r="FU29" s="42" t="n">
        <f aca="false">Tasks[[#This Row],[_WorkPerWorkday]]*(Tasks[[#This Row],[_StartWorkday]]-1)</f>
        <v>-0</v>
      </c>
      <c r="FV29" s="42" t="n">
        <f aca="false">IF(Tasks[[#This Row],[_IsLeaf]]=1,MAX(N(Tasks[[#This Row],[_Days]]),0.1),0)</f>
        <v>0</v>
      </c>
      <c r="FW29" s="42" t="n">
        <f aca="false">Tasks[[#This Row],[_WeightDur]]*Tasks[[#This Row],[_LeafProgress]]</f>
        <v>0</v>
      </c>
      <c r="FX29" s="42" t="n">
        <f aca="false">Tasks[[#This Row],[_WeightDur]]*Tasks[[#This Row],[_PlannedPct]]</f>
        <v>0</v>
      </c>
      <c r="FY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9" s="42" t="str">
        <f aca="false">IF(AND(Tasks[[#This Row],[_IsLeaf]]=1,N(Tasks[[#This Row],[_Days]])=0,Tasks[[#This Row],[_LeafProgress]]&lt;1),Tasks[[#This Row],[_ShownFcstFinish]]+Tasks[[#This Row],[_Row]]/100000,"")</f>
        <v/>
      </c>
      <c r="GA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9" s="42" t="str">
        <f aca="false">IF(Tasks[[#This Row],[Task Name]]="","",LEFT(Tasks[[#This Row],[WBS]],FIND(".",Tasks[[#This Row],[WBS]]&amp;".")-1))</f>
        <v/>
      </c>
      <c r="GC29" s="42" t="str">
        <f aca="false">IF(AND(Tasks[[#This Row],[Task Name]]&lt;&gt;"",Tasks[[#This Row],[_Level]]=1),Tasks[[#This Row],[_Row]],"")</f>
        <v/>
      </c>
      <c r="GD29" s="42" t="str">
        <f aca="false">IF(AND(Tasks[[#This Row],[_IsLeaf]]=1,N(Tasks[[#This Row],[_Days]])=0),Tasks[[#This Row],[Planned Finish]]+Tasks[[#This Row],[_Row]]/100000,"")</f>
        <v/>
      </c>
      <c r="GE29" s="42" t="str">
        <f aca="false">IF(AND(Tasks[[#This Row],[_IsLeaf]]=1,Tasks[[#This Row],[_LeafProgress]]&lt;1,OR(N(Tasks[[#This Row],[Finish Var]])&gt;0,Tasks[[#This Row],[Status]]="Late Start")),MAX(0,Tasks[[#This Row],[Finish Var]])+1-Tasks[[#This Row],[_Row]]/1000000,"")</f>
        <v/>
      </c>
      <c r="GF29" s="42" t="str">
        <f aca="false">IF(AND(Tasks[[#This Row],[_IsLeaf]]=1,N(Tasks[[#This Row],[Actual Start]])=0,Tasks[[#This Row],[_ShownFcstStart]]&gt;=StatusDate,Tasks[[#This Row],[_ShownFcstStart]]&lt;=LookaheadEnd),Tasks[[#This Row],[_ShownFcstStart]]+Tasks[[#This Row],[_Row]]/100000,"")</f>
        <v/>
      </c>
      <c r="GG29" s="42" t="str">
        <f aca="false">IF(AND(Tasks[[#This Row],[_IsLeaf]]=1,Tasks[[#This Row],[_LeafProgress]]&lt;1,Tasks[[#This Row],[_ShownFcstFinish]]&gt;=StatusDate,Tasks[[#This Row],[_ShownFcstFinish]]&lt;=LookaheadEnd),Tasks[[#This Row],[_ShownFcstFinish]]+Tasks[[#This Row],[_Row]]/100000,"")</f>
        <v/>
      </c>
      <c r="GH29" s="42" t="str">
        <f aca="false">IF(Tasks[[#This Row],[_LeafCritical]],Tasks[[#This Row],[_ShownFcstStart]]+Tasks[[#This Row],[_Row]]/100000,"")</f>
        <v/>
      </c>
      <c r="GI29" s="42" t="n">
        <f aca="false">Tasks[[#This Row],[_LeafWork]]*Tasks[[#This Row],[_LeafProgress]]</f>
        <v>0</v>
      </c>
      <c r="GJ29" s="89" t="str">
        <f aca="false">IF(AND(Tasks[[#This Row],[_IsLeaf]]=1,Tasks[[#This Row],[_LeafProgress]]&gt;=1),IF(N(Tasks[[#This Row],[Actual Finish]])&gt;0,Tasks[[#This Row],[Actual Finish]],Tasks[[#This Row],[_ShownFcstFinish]]),"")</f>
        <v/>
      </c>
      <c r="GK29" s="42" t="n">
        <f aca="false">IF(Tasks[[#This Row],[_IsLeaf]]=1,N(Tasks[[#This Row],[Story Points]]),0)</f>
        <v>0</v>
      </c>
      <c r="GL29" s="42" t="str">
        <f aca="false">""</f>
        <v/>
      </c>
      <c r="GM29" s="88" t="b">
        <f aca="false">IF(Tasks[[#This Row],[Task Name]]="",FALSE(),AND(Tasks[[#This Row],[_IsLeaf]]=1,N(Tasks[[#This Row],[_Days]])=0))</f>
        <v>0</v>
      </c>
      <c r="GN29" s="89" t="n">
        <f aca="false">IF(Tasks[[#This Row],[Task Name]]="",0,IF(AND(Tasks[[#This Row],[_IsLeaf]]=1,NOT(Tasks[[#This Row],[_IsMilestone]]),N(Tasks[[#This Row],[Progress]])&gt;0),Tasks[[#This Row],[Start]],0))</f>
        <v>0</v>
      </c>
      <c r="GO29" s="89" t="n">
        <f aca="false">IF(Tasks[[#This Row],[_DoneFrom]]=0,0,IF(Tasks[[#This Row],[Progress]]&gt;=1,Tasks[[#This Row],[Finish]],MAX(Tasks[[#This Row],[_DoneFrom]],Tasks[[#This Row],[Start]]+ROUND((Tasks[[#This Row],[Finish]]-Tasks[[#This Row],[Start]]+1)*Tasks[[#This Row],[Progress]],0)-1)))</f>
        <v>0</v>
      </c>
      <c r="GP29" s="89" t="n">
        <f aca="false">IF(Tasks[[#This Row],[Task Name]]="",0,IF(OR(NOT(Tasks[[#This Row],[_IsLeaf]]=1),Tasks[[#This Row],[_IsMilestone]],N(Tasks[[#This Row],[Progress]])&gt;=1),0,IF(Tasks[[#This Row],[_DoneTo]]&gt;0,Tasks[[#This Row],[_DoneTo]]+1,Tasks[[#This Row],[Start]])))</f>
        <v>0</v>
      </c>
      <c r="GQ29" s="89" t="n">
        <f aca="false">IF(Tasks[[#This Row],[_RemFrom]]=0,0,Tasks[[#This Row],[Finish]])</f>
        <v>0</v>
      </c>
      <c r="GR29" s="88" t="b">
        <f aca="false">IF(Tasks[[#This Row],[Task Name]]="",FALSE(),OR(NOT(BaselineSet),N(Tasks[[#This Row],[Baseline Start]])&gt;0))</f>
        <v>0</v>
      </c>
      <c r="GS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9" s="90" t="str">
        <f aca="false">IF(Tasks[[#This Row],[_IsLeaf]]=1,Tasks[[#This Row],[_Row]],"")</f>
        <v/>
      </c>
      <c r="GW29" s="90" t="str">
        <f aca="false">IFERROR(INDEX(Tasks[UID],SMALL(Tasks[_PickKey],Tasks[[#This Row],[_Row]]))&amp;" "&amp;INDEX(Tasks[Task Name],SMALL(Tasks[_PickKey],Tasks[[#This Row],[_Row]])),"")</f>
        <v/>
      </c>
      <c r="GX29" s="42" t="str">
        <f aca="false">IF(Tasks[[#This Row],[Task Name]]="","",IF(Tasks[[#This Row],[_IsSummary]],NETWORKDAYS.INTL(Tasks[[#This Row],[Start]],Tasks[[#This Row],[Finish]],WorkWeek,Holidays),N(Tasks[[#This Row],[_Days]])))</f>
        <v/>
      </c>
    </row>
    <row r="30" customFormat="false" ht="15" hidden="false" customHeight="false" outlineLevel="0" collapsed="false">
      <c r="A30" s="21" t="str">
        <f aca="false">IF(Tasks[[#This Row],[Task Name]]="","",COUNTA(Tasks[[#Headers],[Task Name]]:Tasks[[#This Row],[Task Name]])-1)</f>
        <v/>
      </c>
      <c r="B30" s="22" t="n">
        <v>38</v>
      </c>
      <c r="C30" s="22"/>
      <c r="D30" s="23"/>
      <c r="E30" s="22"/>
      <c r="F30" s="23"/>
      <c r="G30" s="22"/>
      <c r="H30" s="22"/>
      <c r="I30" s="23"/>
      <c r="J30" s="22"/>
      <c r="K30" s="22"/>
      <c r="L30" s="23"/>
      <c r="M30" s="22"/>
      <c r="N30" s="22"/>
      <c r="O30" s="23"/>
      <c r="P30" s="22"/>
      <c r="Q30" s="22"/>
      <c r="R30" s="23"/>
      <c r="S30" s="23"/>
      <c r="T30" s="83"/>
      <c r="U30" s="23"/>
      <c r="V30" s="83"/>
      <c r="W30" s="23"/>
      <c r="X30" s="83"/>
      <c r="Y30" s="23"/>
      <c r="Z30" s="83"/>
      <c r="AA30" s="23"/>
      <c r="AB30" s="23"/>
      <c r="AC30" s="7"/>
      <c r="AD30" s="7"/>
      <c r="AE30" s="62" t="str">
        <f aca="false">IF(Tasks[[#This Row],[Task Name]]="","",IF(Tasks[[#This Row],[_IsSummary]],MIN(INDEX(Tasks[_ShownFcstStart],Tasks[[#This Row],[_Row]]+1):INDEX(Tasks[_ShownFcstStart],Tasks[[#This Row],[_Row]]+Tasks[[#This Row],[_Descendants]])),Tasks[[#This Row],[_ShownFcstStart]]))</f>
        <v/>
      </c>
      <c r="AF30" s="62" t="str">
        <f aca="false">IF(Tasks[[#This Row],[Task Name]]="","",IF(Tasks[[#This Row],[_IsSummary]],MAX(INDEX(Tasks[_ShownFcstFinish],Tasks[[#This Row],[_Row]]+1):INDEX(Tasks[_ShownFcstFinish],Tasks[[#This Row],[_Row]]+Tasks[[#This Row],[_Descendants]])),Tasks[[#This Row],[_ShownFcstFinish]]))</f>
        <v/>
      </c>
      <c r="AG30" s="21" t="str">
        <f aca="false">""</f>
        <v/>
      </c>
      <c r="AH30" s="23"/>
      <c r="AI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0" s="7"/>
      <c r="AK30" s="22"/>
      <c r="AL30" s="23"/>
      <c r="AM30" s="7"/>
      <c r="AN30" s="46" t="str">
        <f aca="false">IF(Tasks[[#This Row],[Task Name]]="","",IF(Tasks[[#This Row],[Finish]]&gt;=Tasks[[#This Row],[Planned Finish]],NETWORKDAYS.INTL(Tasks[[#This Row],[Planned Finish]],Tasks[[#This Row],[Finish]],WorkWeek,Holidays)-1,1-NETWORKDAYS.INTL(Tasks[[#This Row],[Finish]],Tasks[[#This Row],[Planned Finish]],WorkWeek,Holidays)))</f>
        <v/>
      </c>
      <c r="AO30" s="21" t="str">
        <f aca="false">IF(Tasks[[#This Row],[Task Name]]="","",IF(Tasks[[#This Row],[Progress]]&gt;=1,"Complete",IF(OR(N(Tasks[[#This Row],[Actual Start]])&gt;0,Tasks[[#This Row],[Progress]]&gt;0),IF(Tasks[[#This Row],[Finish Var]]&gt;0,"Behind","In Progress"),IF(Tasks[[#This Row],[Planned Start]]&lt;StatusDate,"Late Start","Not Started"))))</f>
        <v/>
      </c>
      <c r="AP30" s="21" t="str">
        <f aca="false">IF(Tasks[[#This Row],[Task Name]]="","",IF(IF(Tasks[[#This Row],[_IsSummary]],COUNTIF(INDEX(Tasks[_LeafCritical],Tasks[[#This Row],[_Row]]+1):INDEX(Tasks[_LeafCritical],Tasks[[#This Row],[_Row]]+Tasks[[#This Row],[_Descendants]]),TRUE())&gt;0,Tasks[[#This Row],[_LeafCritical]]),"Yes",""))</f>
        <v/>
      </c>
      <c r="AQ30" s="62" t="str">
        <f aca="false">IF(Tasks[[#This Row],[Task Name]]="","",IF(N(Tasks[[#This Row],[Baseline Start]])&gt;0,Tasks[[#This Row],[Baseline Start]],Tasks[[#This Row],[_CalcStart]]))</f>
        <v/>
      </c>
      <c r="AR30" s="62" t="str">
        <f aca="false">IF(Tasks[[#This Row],[Task Name]]="","",IF(N(Tasks[[#This Row],[Baseline Finish]])&gt;0,Tasks[[#This Row],[Baseline Finish]],Tasks[[#This Row],[_CalcFinish]]))</f>
        <v/>
      </c>
      <c r="AS30" s="46" t="str">
        <f aca="false">IF(Tasks[[#This Row],[Task Name]]="","",IF(Tasks[[#This Row],[Start]]&gt;=Tasks[[#This Row],[Planned Start]],NETWORKDAYS.INTL(Tasks[[#This Row],[Planned Start]],Tasks[[#This Row],[Start]],WorkWeek,Holidays)-1,1-NETWORKDAYS.INTL(Tasks[[#This Row],[Start]],Tasks[[#This Row],[Planned Start]],WorkWeek,Holidays)))</f>
        <v/>
      </c>
      <c r="AT30" s="62" t="str">
        <f aca="false">IF(Tasks[[#This Row],[Task Name]]="","",IF(Tasks[[#This Row],[_IsSummary]],MIN(INDEX(Tasks[_LeafLateStart],Tasks[[#This Row],[_Row]]+1):INDEX(Tasks[_LeafLateStart],Tasks[[#This Row],[_Row]]+Tasks[[#This Row],[_Descendants]])),Tasks[[#This Row],[_LeafLateStart]]))</f>
        <v/>
      </c>
      <c r="AU30" s="62" t="str">
        <f aca="false">IF(Tasks[[#This Row],[Task Name]]="","",IF(Tasks[[#This Row],[_IsSummary]],MAX(INDEX(Tasks[_LeafLateFinish],Tasks[[#This Row],[_Row]]+1):INDEX(Tasks[_LeafLateFinish],Tasks[[#This Row],[_Row]]+Tasks[[#This Row],[_Descendants]])),Tasks[[#This Row],[_LeafLateFinish]]))</f>
        <v/>
      </c>
      <c r="AV30" s="46" t="str">
        <f aca="false">IF(Tasks[[#This Row],[Task Name]]="","",IF(Tasks[[#This Row],[_IsSummary]],MIN(INDEX(Tasks[_LeafTotalSlack],Tasks[[#This Row],[_Row]]+1):INDEX(Tasks[_LeafTotalSlack],Tasks[[#This Row],[_Row]]+Tasks[[#This Row],[_Descendants]])),Tasks[[#This Row],[_LeafTotalSlack]]))</f>
        <v/>
      </c>
      <c r="AW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4"/>
      <c r="BA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t="str">
        <f aca="false">IF(Tasks[[#This Row],[Task Name]]="","",IF(Tasks[[#This Row],[_Level]]&lt;=OutlineShowLevel,"Yes","No"))</f>
        <v/>
      </c>
      <c r="BE30" s="85" t="str">
        <f aca="false">IF(Tasks[[#This Row],[Task Name]]="","",IF(Tasks[[#This Row],[_IsSummary]],SUM(INDEX(Tasks[_LeafTotalWork],Tasks[[#This Row],[_Row]]+1):INDEX(Tasks[_LeafTotalWork],Tasks[[#This Row],[_Row]]+Tasks[[#This Row],[_Descendants]])),Tasks[[#This Row],[_LeafTotalWork]]))</f>
        <v/>
      </c>
      <c r="BF30" s="23"/>
      <c r="BG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t="str">
        <f aca="false">""</f>
        <v/>
      </c>
      <c r="BI30" s="86"/>
      <c r="BJ30" s="22"/>
      <c r="BK30" s="46" t="str">
        <f aca="false">IF(OR(Tasks[[#This Row],[Task Name]]="",Tasks[[#This Row],[Baseline Duration]]=""),"",Tasks[[#This Row],[_SpanDays]]-N(Tasks[[#This Row],[Baseline Duration]]))</f>
        <v/>
      </c>
      <c r="BL30" s="85" t="str">
        <f aca="false">IF(OR(Tasks[[#This Row],[Task Name]]="",Tasks[[#This Row],[Baseline Work]]=""),"",Tasks[[#This Row],[Work]]-N(Tasks[[#This Row],[Baseline Work]]))</f>
        <v/>
      </c>
      <c r="BM30" s="62" t="str">
        <f aca="false">IF(Tasks[[#This Row],[Task Name]]="","",IF(OR(TakeBaseline="Yes",N(Tasks[[#This Row],[Baseline Start]])=0),Tasks[[#This Row],[Start]],Tasks[[#This Row],[Baseline Start]]))</f>
        <v/>
      </c>
      <c r="BN30" s="62" t="str">
        <f aca="false">IF(Tasks[[#This Row],[Task Name]]="","",IF(OR(TakeBaseline="Yes",N(Tasks[[#This Row],[Baseline Finish]])=0),Tasks[[#This Row],[Finish]],Tasks[[#This Row],[Baseline Finish]]))</f>
        <v/>
      </c>
      <c r="BO30" s="21" t="str">
        <f aca="false">IF(Tasks[[#This Row],[Task Name]]="","",IF(OR(TakeBaseline="Yes",N(Tasks[[#This Row],[Baseline Duration]])=0),Tasks[[#This Row],[_SpanDays]],Tasks[[#This Row],[Baseline Duration]]))</f>
        <v/>
      </c>
      <c r="BP30" s="85" t="str">
        <f aca="false">IF(Tasks[[#This Row],[Task Name]]="","",IF(OR(TakeBaseline="Yes",N(Tasks[[#This Row],[Baseline Work]])=0),Tasks[[#This Row],[Work]],Tasks[[#This Row],[Baseline Work]]))</f>
        <v/>
      </c>
      <c r="BQ30" s="7"/>
      <c r="BR30" s="7"/>
      <c r="BS30" s="22"/>
      <c r="BT30" s="87"/>
      <c r="BU30" s="42" t="str">
        <f aca="false">IF(Tasks[[#This Row],[Task Name]]="","",MAX(1,N(Tasks[[#This Row],[Level]])))</f>
        <v/>
      </c>
      <c r="BV30" s="42" t="n">
        <f aca="false">ROW()-ROW(Tasks[[#Headers],[ID]])</f>
        <v>25</v>
      </c>
      <c r="BW30" s="42" t="n">
        <f aca="false">IF(OR(Tasks[[#This Row],[Task Name]]="",Tasks[[#This Row],[_Level]]&lt;=1),0,IFERROR(LOOKUP(2,1/(Tasks[[#Headers],[_Level]]:Tasks[[#This Row],[_Level]]=Tasks[[#This Row],[_Level]]-1),ROW(Tasks[[#Headers],[_Level]]:Tasks[[#This Row],[_Level]])),0))</f>
        <v>0</v>
      </c>
      <c r="BX30" s="42" t="n">
        <f aca="false">IFERROR(N(INDEX(Tasks[_Level],Tasks[[#This Row],[_Row]]+1)),0)</f>
        <v>0</v>
      </c>
      <c r="BY30" s="88" t="b">
        <f aca="false">AND(Tasks[[#This Row],[Task Name]]&lt;&gt;"",Tasks[[#This Row],[_NextLevel]]&gt;Tasks[[#This Row],[_Level]])</f>
        <v>0</v>
      </c>
      <c r="BZ30" s="42" t="n">
        <f aca="false">IF(Tasks[[#This Row],[_IsSummary]],COUNTIF(Tasks[WBS],Tasks[[#This Row],[WBS]]&amp;".*"),0)</f>
        <v>0</v>
      </c>
      <c r="CA30" s="42" t="n">
        <f aca="false">IF(AND(Tasks[[#This Row],[Task Name]]&lt;&gt;"",NOT(Tasks[[#This Row],[_IsSummary]])),1,0)</f>
        <v>0</v>
      </c>
      <c r="CB30" s="42" t="n">
        <f aca="false">IF(N(Tasks[[#This Row],[_Pred1UID]])=0,0,IFERROR(MATCH(Tasks[[#This Row],[_Pred1UID]],Tasks[UID],0),-1))</f>
        <v>0</v>
      </c>
      <c r="CC30" s="42" t="n">
        <f aca="false">IF(N(Tasks[[#This Row],[_Pred2UID]])=0,0,IFERROR(MATCH(Tasks[[#This Row],[_Pred2UID]],Tasks[UID],0),-1))</f>
        <v>0</v>
      </c>
      <c r="CD30" s="42" t="n">
        <f aca="false">IF(N(Tasks[[#This Row],[_Pred3UID]])=0,0,IFERROR(MATCH(Tasks[[#This Row],[_Pred3UID]],Tasks[UID],0),-1))</f>
        <v>0</v>
      </c>
      <c r="CE30" s="42" t="n">
        <f aca="false">IF(N(Tasks[[#This Row],[_Pred4UID]])=0,0,IFERROR(MATCH(Tasks[[#This Row],[_Pred4UID]],Tasks[UID],0),-1))</f>
        <v>0</v>
      </c>
      <c r="CF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0" s="89" t="n">
        <f aca="false">IF(OR(Tasks[[#This Row],[_ConstraintCode]]=2,Tasks[[#This Row],[_ConstraintCode]]=3,Tasks[[#This Row],[_ConstraintCode]]=4,Tasks[[#This Row],[_ConstraintCode]]=6),Tasks[[#This Row],[_ConstraintStart]],0)</f>
        <v>0</v>
      </c>
      <c r="CI30" s="89" t="n">
        <f aca="false">IF(OR(Tasks[[#This Row],[_ConstraintCode]]=2,Tasks[[#This Row],[_ConstraintCode]]=3,Tasks[[#This Row],[_ConstraintCode]]=5,Tasks[[#This Row],[_ConstraintCode]]=7),Tasks[[#This Row],[_ConstraintStart]],2958465)</f>
        <v>2958465</v>
      </c>
      <c r="CJ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0" s="89" t="str">
        <f aca="false">IF(NOT(Tasks[[#This Row],[_IsLeaf]]=1),"",IF(N(Tasks[[#This Row],[_Days]])&lt;=0,Tasks[[#This Row],[_LeafCalcStart]],WORKDAY.INTL(Tasks[[#This Row],[_LeafCalcStart]],Tasks[[#This Row],[_Days]]-1,WorkWeek,Holidays)))</f>
        <v/>
      </c>
      <c r="CL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0" s="42" t="str">
        <f aca="false">IF(Tasks[[#This Row],[_Predecessors]]="","",TRIM(MID(SUBSTITUTE(SUBSTITUTE(SUBSTITUTE(UPPER(Tasks[[#This Row],[_Predecessors]]),";",",")," ",""),",",REPT(" ",99)),1,99)))</f>
        <v/>
      </c>
      <c r="CO30" s="42" t="str">
        <f aca="false">IF(Tasks[[#This Row],[_Pred1Text]]="","",IFERROR(VALUE(LEFT(Tasks[[#This Row],[_Pred1Text]],MIN(FIND("F",Tasks[[#This Row],[_Pred1Text]]&amp;"F"),FIND("S",Tasks[[#This Row],[_Pred1Text]]&amp;"S"),FIND("+",Tasks[[#This Row],[_Pred1Text]]&amp;"+"),FIND("-",Tasks[[#This Row],[_Pred1Text]]&amp;"-"))-1)),""))</f>
        <v/>
      </c>
      <c r="CP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0" s="42" t="str">
        <f aca="false">IF(Tasks[[#This Row],[_Pred1Text]]="","",TRIM(MID(SUBSTITUTE(SUBSTITUTE(SUBSTITUTE(UPPER(Tasks[[#This Row],[_Predecessors]]),";",",")," ",""),",",REPT(" ",99)),100,99)))</f>
        <v/>
      </c>
      <c r="CS30" s="42" t="str">
        <f aca="false">IF(Tasks[[#This Row],[_Pred2Text]]="","",IFERROR(VALUE(LEFT(Tasks[[#This Row],[_Pred2Text]],MIN(FIND("F",Tasks[[#This Row],[_Pred2Text]]&amp;"F"),FIND("S",Tasks[[#This Row],[_Pred2Text]]&amp;"S"),FIND("+",Tasks[[#This Row],[_Pred2Text]]&amp;"+"),FIND("-",Tasks[[#This Row],[_Pred2Text]]&amp;"-"))-1)),""))</f>
        <v/>
      </c>
      <c r="CT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0" s="42" t="str">
        <f aca="false">IF(Tasks[[#This Row],[_Pred2Text]]="","",TRIM(MID(SUBSTITUTE(SUBSTITUTE(SUBSTITUTE(UPPER(Tasks[[#This Row],[_Predecessors]]),";",",")," ",""),",",REPT(" ",99)),199,99)))</f>
        <v/>
      </c>
      <c r="CW30" s="42" t="str">
        <f aca="false">IF(Tasks[[#This Row],[_Pred3Text]]="","",IFERROR(VALUE(LEFT(Tasks[[#This Row],[_Pred3Text]],MIN(FIND("F",Tasks[[#This Row],[_Pred3Text]]&amp;"F"),FIND("S",Tasks[[#This Row],[_Pred3Text]]&amp;"S"),FIND("+",Tasks[[#This Row],[_Pred3Text]]&amp;"+"),FIND("-",Tasks[[#This Row],[_Pred3Text]]&amp;"-"))-1)),""))</f>
        <v/>
      </c>
      <c r="CX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0" s="42" t="str">
        <f aca="false">IF(Tasks[[#This Row],[_Pred3Text]]="","",TRIM(MID(SUBSTITUTE(SUBSTITUTE(SUBSTITUTE(UPPER(Tasks[[#This Row],[_Predecessors]]),";",",")," ",""),",",REPT(" ",99)),298,99)))</f>
        <v/>
      </c>
      <c r="DA30" s="42" t="str">
        <f aca="false">IF(Tasks[[#This Row],[_Pred4Text]]="","",IFERROR(VALUE(LEFT(Tasks[[#This Row],[_Pred4Text]],MIN(FIND("F",Tasks[[#This Row],[_Pred4Text]]&amp;"F"),FIND("S",Tasks[[#This Row],[_Pred4Text]]&amp;"S"),FIND("+",Tasks[[#This Row],[_Pred4Text]]&amp;"+"),FIND("-",Tasks[[#This Row],[_Pred4Text]]&amp;"-"))-1)),""))</f>
        <v/>
      </c>
      <c r="DB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0" s="42" t="str">
        <f aca="false">IF(OR(Tasks[[#This Row],[Task Name]]="",Tasks[[#This Row],[_Resources]]=""),"",TRIM(MID(SUBSTITUTE(Tasks[[#This Row],[_Resources]],",",REPT(" ",99)),1,99)))</f>
        <v/>
      </c>
      <c r="DE30" s="42" t="str">
        <f aca="false">IF(Tasks[[#This Row],[_Res1Text]]="","",TRIM(MID(SUBSTITUTE(Tasks[[#This Row],[_Resources]],",",REPT(" ",99)),100,99)))</f>
        <v/>
      </c>
      <c r="DF30" s="42" t="str">
        <f aca="false">IF(Tasks[[#This Row],[_Res2Text]]="","",TRIM(MID(SUBSTITUTE(Tasks[[#This Row],[_Resources]],",",REPT(" ",99)),199,99)))</f>
        <v/>
      </c>
      <c r="DG30" s="42" t="str">
        <f aca="false">IF(Tasks[[#This Row],[_Res3Text]]="","",TRIM(MID(SUBSTITUTE(Tasks[[#This Row],[_Resources]],",",REPT(" ",99)),298,99)))</f>
        <v/>
      </c>
      <c r="DH30" s="42" t="n">
        <f aca="false">IF(Tasks[[#This Row],[_Res1Text]]="",0,IFERROR(MATCH(TRIM(LEFT(Tasks[[#This Row],[_Res1Text]],FIND("[",Tasks[[#This Row],[_Res1Text]]&amp;"[")-1)),res_Name,0),IFERROR(MATCH(TRIM(LEFT(Tasks[[#This Row],[_Res1Text]],FIND("[",Tasks[[#This Row],[_Res1Text]]&amp;"[")-1)),res_Initials,0),0)))</f>
        <v>0</v>
      </c>
      <c r="DI30" s="42" t="n">
        <f aca="false">IF(Tasks[[#This Row],[_Res2Text]]="",0,IFERROR(MATCH(TRIM(LEFT(Tasks[[#This Row],[_Res2Text]],FIND("[",Tasks[[#This Row],[_Res2Text]]&amp;"[")-1)),res_Name,0),IFERROR(MATCH(TRIM(LEFT(Tasks[[#This Row],[_Res2Text]],FIND("[",Tasks[[#This Row],[_Res2Text]]&amp;"[")-1)),res_Initials,0),0)))</f>
        <v>0</v>
      </c>
      <c r="DJ30" s="42" t="n">
        <f aca="false">IF(Tasks[[#This Row],[_Res3Text]]="",0,IFERROR(MATCH(TRIM(LEFT(Tasks[[#This Row],[_Res3Text]],FIND("[",Tasks[[#This Row],[_Res3Text]]&amp;"[")-1)),res_Name,0),IFERROR(MATCH(TRIM(LEFT(Tasks[[#This Row],[_Res3Text]],FIND("[",Tasks[[#This Row],[_Res3Text]]&amp;"[")-1)),res_Initials,0),0)))</f>
        <v>0</v>
      </c>
      <c r="DK30" s="42" t="n">
        <f aca="false">IF(Tasks[[#This Row],[_Res4Text]]="",0,IFERROR(MATCH(TRIM(LEFT(Tasks[[#This Row],[_Res4Text]],FIND("[",Tasks[[#This Row],[_Res4Text]]&amp;"[")-1)),res_Name,0),IFERROR(MATCH(TRIM(LEFT(Tasks[[#This Row],[_Res4Text]],FIND("[",Tasks[[#This Row],[_Res4Text]]&amp;"[")-1)),res_Initials,0),0)))</f>
        <v>0</v>
      </c>
      <c r="DL30" s="42" t="str">
        <f aca="false">IF(Tasks[[#This Row],[_Res1Text]]="","",IF(Tasks[[#This Row],[_Res1Row]]&gt;0,INDEX(res_Name,Tasks[[#This Row],[_Res1Row]]),TRIM(LEFT(Tasks[[#This Row],[_Res1Text]],FIND("[",Tasks[[#This Row],[_Res1Text]]&amp;"[")-1))))</f>
        <v/>
      </c>
      <c r="DM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0" s="42" t="n">
        <f aca="false">IF(NOT(Tasks[[#This Row],[_IsLeaf]]=1),0,(Tasks[[#This Row],[_Resource1]]&lt;&gt;"")+(Tasks[[#This Row],[_Res2]]&lt;&gt;"")+(Tasks[[#This Row],[_Res3]]&lt;&gt;"")+(Tasks[[#This Row],[_Res4]]&lt;&gt;""))</f>
        <v>0</v>
      </c>
      <c r="DO30" s="42" t="str">
        <f aca="false">IF(Tasks[[#This Row],[_Res2Text]]="","",IF(Tasks[[#This Row],[_Res2Row]]&gt;0,INDEX(res_Name,Tasks[[#This Row],[_Res2Row]]),TRIM(LEFT(Tasks[[#This Row],[_Res2Text]],FIND("[",Tasks[[#This Row],[_Res2Text]]&amp;"[")-1))))</f>
        <v/>
      </c>
      <c r="DP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0" s="42" t="n">
        <f aca="false">IF(OR(NOT(Tasks[[#This Row],[_IsLeaf]]=1),Tasks[[#This Row],[_Res2Row]]=0),0,N(Tasks[[#This Row],[_Days]])*HoursPerDay*IF(Tasks[[#This Row],[_Res2Units]]="",DefaultUnits,Tasks[[#This Row],[_Res2Units]]))</f>
        <v>0</v>
      </c>
      <c r="DR30" s="42" t="n">
        <f aca="false">IF(AND(AND(Tasks[[#This Row],[_IsLeaf]]=1,Tasks[[#This Row],[_LeafTotalWork]]&gt;0),Tasks[[#This Row],[_Res2Work]]&gt;0),Tasks[[#This Row],[_Res2Work]]/(Tasks[[#This Row],[_FinishWorkday]]-Tasks[[#This Row],[_StartWorkday]]+1),0)</f>
        <v>0</v>
      </c>
      <c r="DS30" s="42" t="n">
        <f aca="false">Tasks[[#This Row],[_Res2WorkPerWD]]*MAX(0,Tasks[[#This Row],[_StartWorkday]]-1)</f>
        <v>0</v>
      </c>
      <c r="DT30" s="42" t="n">
        <f aca="false">Tasks[[#This Row],[_Res2Work]]*Tasks[[#This Row],[_LeafProgress]]</f>
        <v>0</v>
      </c>
      <c r="DU30" s="42" t="str">
        <f aca="false">IF(Tasks[[#This Row],[_Res3Text]]="","",IF(Tasks[[#This Row],[_Res3Row]]&gt;0,INDEX(res_Name,Tasks[[#This Row],[_Res3Row]]),TRIM(LEFT(Tasks[[#This Row],[_Res3Text]],FIND("[",Tasks[[#This Row],[_Res3Text]]&amp;"[")-1))))</f>
        <v/>
      </c>
      <c r="DV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0" s="42" t="n">
        <f aca="false">IF(OR(NOT(Tasks[[#This Row],[_IsLeaf]]=1),Tasks[[#This Row],[_Res3Row]]=0),0,N(Tasks[[#This Row],[_Days]])*HoursPerDay*IF(Tasks[[#This Row],[_Res3Units]]="",DefaultUnits,Tasks[[#This Row],[_Res3Units]]))</f>
        <v>0</v>
      </c>
      <c r="DX30" s="42" t="n">
        <f aca="false">IF(AND(AND(Tasks[[#This Row],[_IsLeaf]]=1,Tasks[[#This Row],[_LeafTotalWork]]&gt;0),Tasks[[#This Row],[_Res3Work]]&gt;0),Tasks[[#This Row],[_Res3Work]]/(Tasks[[#This Row],[_FinishWorkday]]-Tasks[[#This Row],[_StartWorkday]]+1),0)</f>
        <v>0</v>
      </c>
      <c r="DY30" s="42" t="n">
        <f aca="false">Tasks[[#This Row],[_Res3WorkPerWD]]*MAX(0,Tasks[[#This Row],[_StartWorkday]]-1)</f>
        <v>0</v>
      </c>
      <c r="DZ30" s="42" t="n">
        <f aca="false">Tasks[[#This Row],[_Res3Work]]*Tasks[[#This Row],[_LeafProgress]]</f>
        <v>0</v>
      </c>
      <c r="EA30" s="42" t="str">
        <f aca="false">IF(Tasks[[#This Row],[_Res4Text]]="","",IF(Tasks[[#This Row],[_Res4Row]]&gt;0,INDEX(res_Name,Tasks[[#This Row],[_Res4Row]]),TRIM(LEFT(Tasks[[#This Row],[_Res4Text]],FIND("[",Tasks[[#This Row],[_Res4Text]]&amp;"[")-1))))</f>
        <v/>
      </c>
      <c r="EB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0" s="42" t="n">
        <f aca="false">IF(OR(NOT(Tasks[[#This Row],[_IsLeaf]]=1),Tasks[[#This Row],[_Res4Row]]=0),0,N(Tasks[[#This Row],[_Days]])*HoursPerDay*IF(Tasks[[#This Row],[_Res4Units]]="",DefaultUnits,Tasks[[#This Row],[_Res4Units]]))</f>
        <v>0</v>
      </c>
      <c r="ED30" s="42" t="n">
        <f aca="false">IF(AND(AND(Tasks[[#This Row],[_IsLeaf]]=1,Tasks[[#This Row],[_LeafTotalWork]]&gt;0),Tasks[[#This Row],[_Res4Work]]&gt;0),Tasks[[#This Row],[_Res4Work]]/(Tasks[[#This Row],[_FinishWorkday]]-Tasks[[#This Row],[_StartWorkday]]+1),0)</f>
        <v>0</v>
      </c>
      <c r="EE30" s="42" t="n">
        <f aca="false">Tasks[[#This Row],[_Res4WorkPerWD]]*MAX(0,Tasks[[#This Row],[_StartWorkday]]-1)</f>
        <v>0</v>
      </c>
      <c r="EF30" s="42" t="n">
        <f aca="false">Tasks[[#This Row],[_Res4Work]]*Tasks[[#This Row],[_LeafProgress]]</f>
        <v>0</v>
      </c>
      <c r="EG30" s="42" t="n">
        <f aca="false">IF(ISNUMBER(Tasks[[#This Row],[% Complete]]),Tasks[[#This Row],[% Complete]],IF(Tasks[[#This Row],[Stage]]="",0,IFERROR(INDEX(stg_Pct,MATCH(Tasks[[#This Row],[Stage]],stg_Name,0)),0)))</f>
        <v>0</v>
      </c>
      <c r="EH30" s="42" t="n">
        <f aca="false">IF(NOT(Tasks[[#This Row],[_IsLeaf]]=1),0,IF(N(Tasks[[#This Row],[Actual Finish]])&gt;0,1,MIN(1,Tasks[[#This Row],[_Pct]])))</f>
        <v>0</v>
      </c>
      <c r="EI30" s="42" t="n">
        <f aca="false">IF(OR(NOT(Tasks[[#This Row],[_IsLeaf]]=1),Tasks[[#This Row],[_Res1Row]]=0),0,N(Tasks[[#This Row],[_Days]])*HoursPerDay*IF(Tasks[[#This Row],[_Units1]]="",DefaultUnits,Tasks[[#This Row],[_Units1]]))</f>
        <v>0</v>
      </c>
      <c r="EJ30" s="42" t="n">
        <f aca="false">Tasks[[#This Row],[_LeafWork]]+Tasks[[#This Row],[_Res2Work]]+Tasks[[#This Row],[_Res3Work]]+Tasks[[#This Row],[_Res4Work]]</f>
        <v>0</v>
      </c>
      <c r="EK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0" s="42" t="n">
        <f aca="false">IF(NOT(Tasks[[#This Row],[_IsLeaf]]=1),0,MAX(_xlfn.MAXIFS(Tasks[_Row],Tasks[_Pred1UID],Tasks[[#This Row],[UID]]),_xlfn.MAXIFS(Tasks[_Row],Tasks[_Pred2UID],Tasks[[#This Row],[UID]]),_xlfn.MAXIFS(Tasks[_Row],Tasks[_Pred3UID],Tasks[[#This Row],[UID]]),_xlfn.MAXIFS(Tasks[_Row],Tasks[_Pred4UID],Tasks[[#This Row],[UID]])))</f>
        <v>0</v>
      </c>
      <c r="ET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0" s="89" t="str">
        <f aca="false">IF(NOT(Tasks[[#This Row],[_IsLeaf]]=1),"",IF(N(Tasks[[#This Row],[_Days]])&lt;=0,Tasks[[#This Row],[_LeafLateFinish]],WORKDAY.INTL(Tasks[[#This Row],[_LeafLateFinish]],-(Tasks[[#This Row],[_Days]]-1),WorkWeek,Holidays)))</f>
        <v/>
      </c>
      <c r="EW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0" s="88" t="b">
        <f aca="false">AND(Tasks[[#This Row],[_IsLeaf]]=1,Tasks[[#This Row],[_LeafProgress]]&lt;1,N(Tasks[[#This Row],[_LeafTotalSlack]])&lt;=CriticalSlackDays)</f>
        <v>0</v>
      </c>
      <c r="EY30" s="42" t="n">
        <f aca="false">IF(AND(Tasks[[#This Row],[_IsLeaf]]=1,Tasks[[#This Row],[_ConstraintCode]]=1,Tasks[[#This Row],[Mode]]&lt;&gt;"Manual",N(Tasks[[#This Row],[Actual Start]])=0),MAX(0,N(Tasks[[#This Row],[Free Slack]])),0)</f>
        <v>0</v>
      </c>
      <c r="EZ30" s="89" t="str">
        <f aca="false">IF(NOT(Tasks[[#This Row],[_IsLeaf]]=1),"",IF(Tasks[[#This Row],[_AlapShift]]=0,Tasks[[#This Row],[_LeafCalcStart]],WORKDAY.INTL(Tasks[[#This Row],[_LeafCalcStart]],Tasks[[#This Row],[_AlapShift]],WorkWeek,Holidays)))</f>
        <v/>
      </c>
      <c r="FA30" s="89" t="str">
        <f aca="false">IF(NOT(Tasks[[#This Row],[_IsLeaf]]=1),"",IF(Tasks[[#This Row],[_AlapShift]]=0,Tasks[[#This Row],[_LeafCalcFinish]],WORKDAY.INTL(Tasks[[#This Row],[_LeafCalcFinish]],Tasks[[#This Row],[_AlapShift]],WorkWeek,Holidays)))</f>
        <v/>
      </c>
      <c r="FB30" s="89" t="str">
        <f aca="false">IF(NOT(Tasks[[#This Row],[_IsLeaf]]=1),"",IF(Tasks[[#This Row],[_AlapShift]]=0,Tasks[[#This Row],[_LeafFcstStart]],WORKDAY.INTL(Tasks[[#This Row],[_LeafFcstStart]],Tasks[[#This Row],[_AlapShift]],WorkWeek,Holidays)))</f>
        <v/>
      </c>
      <c r="FC30" s="89" t="str">
        <f aca="false">IF(NOT(Tasks[[#This Row],[_IsLeaf]]=1),"",IF(Tasks[[#This Row],[_AlapShift]]=0,Tasks[[#This Row],[_LeafFcstFinish]],WORKDAY.INTL(Tasks[[#This Row],[_LeafFcstFinish]],Tasks[[#This Row],[_AlapShift]],WorkWeek,Holidays)))</f>
        <v/>
      </c>
      <c r="FD30" s="89" t="str">
        <f aca="false">IF(Tasks[[#This Row],[Task Name]]="","",IF(Tasks[[#This Row],[_IsSummary]],MIN(INDEX(Tasks[_ShownCalcStart],Tasks[[#This Row],[_Row]]+1):INDEX(Tasks[_ShownCalcStart],Tasks[[#This Row],[_Row]]+Tasks[[#This Row],[_Descendants]])),Tasks[[#This Row],[_ShownCalcStart]]))</f>
        <v/>
      </c>
      <c r="FE30" s="89" t="str">
        <f aca="false">IF(Tasks[[#This Row],[Task Name]]="","",IF(Tasks[[#This Row],[_IsSummary]],MAX(INDEX(Tasks[_ShownCalcFinish],Tasks[[#This Row],[_Row]]+1):INDEX(Tasks[_ShownCalcFinish],Tasks[[#This Row],[_Row]]+Tasks[[#This Row],[_Descendants]])),Tasks[[#This Row],[_ShownCalcFinish]]))</f>
        <v/>
      </c>
      <c r="FF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0" s="42" t="n">
        <f aca="false">IF(AND(Tasks[[#This Row],[_IsLeaf]]=1,Tasks[[#This Row],[_LeafTotalWork]]&gt;0),NETWORKDAYS.INTL(ProjectStart,Tasks[[#This Row],[_ShownFcstStart]],WorkWeek,Holidays),0)</f>
        <v>0</v>
      </c>
      <c r="FS30" s="42" t="n">
        <f aca="false">IF(AND(Tasks[[#This Row],[_IsLeaf]]=1,Tasks[[#This Row],[_LeafTotalWork]]&gt;0),MAX(Tasks[[#This Row],[_StartWorkday]],NETWORKDAYS.INTL(ProjectStart,Tasks[[#This Row],[_ShownFcstFinish]],WorkWeek,Holidays)),0)</f>
        <v>0</v>
      </c>
      <c r="FT30" s="42" t="n">
        <f aca="false">IF(AND(Tasks[[#This Row],[_IsLeaf]]=1,Tasks[[#This Row],[_LeafTotalWork]]&gt;0),Tasks[[#This Row],[_LeafWork]]/(Tasks[[#This Row],[_FinishWorkday]]-Tasks[[#This Row],[_StartWorkday]]+1),0)</f>
        <v>0</v>
      </c>
      <c r="FU30" s="42" t="n">
        <f aca="false">Tasks[[#This Row],[_WorkPerWorkday]]*(Tasks[[#This Row],[_StartWorkday]]-1)</f>
        <v>-0</v>
      </c>
      <c r="FV30" s="42" t="n">
        <f aca="false">IF(Tasks[[#This Row],[_IsLeaf]]=1,MAX(N(Tasks[[#This Row],[_Days]]),0.1),0)</f>
        <v>0</v>
      </c>
      <c r="FW30" s="42" t="n">
        <f aca="false">Tasks[[#This Row],[_WeightDur]]*Tasks[[#This Row],[_LeafProgress]]</f>
        <v>0</v>
      </c>
      <c r="FX30" s="42" t="n">
        <f aca="false">Tasks[[#This Row],[_WeightDur]]*Tasks[[#This Row],[_PlannedPct]]</f>
        <v>0</v>
      </c>
      <c r="FY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0" s="42" t="str">
        <f aca="false">IF(AND(Tasks[[#This Row],[_IsLeaf]]=1,N(Tasks[[#This Row],[_Days]])=0,Tasks[[#This Row],[_LeafProgress]]&lt;1),Tasks[[#This Row],[_ShownFcstFinish]]+Tasks[[#This Row],[_Row]]/100000,"")</f>
        <v/>
      </c>
      <c r="GA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0" s="42" t="str">
        <f aca="false">IF(Tasks[[#This Row],[Task Name]]="","",LEFT(Tasks[[#This Row],[WBS]],FIND(".",Tasks[[#This Row],[WBS]]&amp;".")-1))</f>
        <v/>
      </c>
      <c r="GC30" s="42" t="str">
        <f aca="false">IF(AND(Tasks[[#This Row],[Task Name]]&lt;&gt;"",Tasks[[#This Row],[_Level]]=1),Tasks[[#This Row],[_Row]],"")</f>
        <v/>
      </c>
      <c r="GD30" s="42" t="str">
        <f aca="false">IF(AND(Tasks[[#This Row],[_IsLeaf]]=1,N(Tasks[[#This Row],[_Days]])=0),Tasks[[#This Row],[Planned Finish]]+Tasks[[#This Row],[_Row]]/100000,"")</f>
        <v/>
      </c>
      <c r="GE30" s="42" t="str">
        <f aca="false">IF(AND(Tasks[[#This Row],[_IsLeaf]]=1,Tasks[[#This Row],[_LeafProgress]]&lt;1,OR(N(Tasks[[#This Row],[Finish Var]])&gt;0,Tasks[[#This Row],[Status]]="Late Start")),MAX(0,Tasks[[#This Row],[Finish Var]])+1-Tasks[[#This Row],[_Row]]/1000000,"")</f>
        <v/>
      </c>
      <c r="GF30" s="42" t="str">
        <f aca="false">IF(AND(Tasks[[#This Row],[_IsLeaf]]=1,N(Tasks[[#This Row],[Actual Start]])=0,Tasks[[#This Row],[_ShownFcstStart]]&gt;=StatusDate,Tasks[[#This Row],[_ShownFcstStart]]&lt;=LookaheadEnd),Tasks[[#This Row],[_ShownFcstStart]]+Tasks[[#This Row],[_Row]]/100000,"")</f>
        <v/>
      </c>
      <c r="GG30" s="42" t="str">
        <f aca="false">IF(AND(Tasks[[#This Row],[_IsLeaf]]=1,Tasks[[#This Row],[_LeafProgress]]&lt;1,Tasks[[#This Row],[_ShownFcstFinish]]&gt;=StatusDate,Tasks[[#This Row],[_ShownFcstFinish]]&lt;=LookaheadEnd),Tasks[[#This Row],[_ShownFcstFinish]]+Tasks[[#This Row],[_Row]]/100000,"")</f>
        <v/>
      </c>
      <c r="GH30" s="42" t="str">
        <f aca="false">IF(Tasks[[#This Row],[_LeafCritical]],Tasks[[#This Row],[_ShownFcstStart]]+Tasks[[#This Row],[_Row]]/100000,"")</f>
        <v/>
      </c>
      <c r="GI30" s="42" t="n">
        <f aca="false">Tasks[[#This Row],[_LeafWork]]*Tasks[[#This Row],[_LeafProgress]]</f>
        <v>0</v>
      </c>
      <c r="GJ30" s="89" t="str">
        <f aca="false">IF(AND(Tasks[[#This Row],[_IsLeaf]]=1,Tasks[[#This Row],[_LeafProgress]]&gt;=1),IF(N(Tasks[[#This Row],[Actual Finish]])&gt;0,Tasks[[#This Row],[Actual Finish]],Tasks[[#This Row],[_ShownFcstFinish]]),"")</f>
        <v/>
      </c>
      <c r="GK30" s="42" t="n">
        <f aca="false">IF(Tasks[[#This Row],[_IsLeaf]]=1,N(Tasks[[#This Row],[Story Points]]),0)</f>
        <v>0</v>
      </c>
      <c r="GL30" s="42" t="str">
        <f aca="false">""</f>
        <v/>
      </c>
      <c r="GM30" s="88" t="b">
        <f aca="false">IF(Tasks[[#This Row],[Task Name]]="",FALSE(),AND(Tasks[[#This Row],[_IsLeaf]]=1,N(Tasks[[#This Row],[_Days]])=0))</f>
        <v>0</v>
      </c>
      <c r="GN30" s="89" t="n">
        <f aca="false">IF(Tasks[[#This Row],[Task Name]]="",0,IF(AND(Tasks[[#This Row],[_IsLeaf]]=1,NOT(Tasks[[#This Row],[_IsMilestone]]),N(Tasks[[#This Row],[Progress]])&gt;0),Tasks[[#This Row],[Start]],0))</f>
        <v>0</v>
      </c>
      <c r="GO30" s="89" t="n">
        <f aca="false">IF(Tasks[[#This Row],[_DoneFrom]]=0,0,IF(Tasks[[#This Row],[Progress]]&gt;=1,Tasks[[#This Row],[Finish]],MAX(Tasks[[#This Row],[_DoneFrom]],Tasks[[#This Row],[Start]]+ROUND((Tasks[[#This Row],[Finish]]-Tasks[[#This Row],[Start]]+1)*Tasks[[#This Row],[Progress]],0)-1)))</f>
        <v>0</v>
      </c>
      <c r="GP30" s="89" t="n">
        <f aca="false">IF(Tasks[[#This Row],[Task Name]]="",0,IF(OR(NOT(Tasks[[#This Row],[_IsLeaf]]=1),Tasks[[#This Row],[_IsMilestone]],N(Tasks[[#This Row],[Progress]])&gt;=1),0,IF(Tasks[[#This Row],[_DoneTo]]&gt;0,Tasks[[#This Row],[_DoneTo]]+1,Tasks[[#This Row],[Start]])))</f>
        <v>0</v>
      </c>
      <c r="GQ30" s="89" t="n">
        <f aca="false">IF(Tasks[[#This Row],[_RemFrom]]=0,0,Tasks[[#This Row],[Finish]])</f>
        <v>0</v>
      </c>
      <c r="GR30" s="88" t="b">
        <f aca="false">IF(Tasks[[#This Row],[Task Name]]="",FALSE(),OR(NOT(BaselineSet),N(Tasks[[#This Row],[Baseline Start]])&gt;0))</f>
        <v>0</v>
      </c>
      <c r="GS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0" s="90" t="str">
        <f aca="false">IF(Tasks[[#This Row],[_IsLeaf]]=1,Tasks[[#This Row],[_Row]],"")</f>
        <v/>
      </c>
      <c r="GW30" s="90" t="str">
        <f aca="false">IFERROR(INDEX(Tasks[UID],SMALL(Tasks[_PickKey],Tasks[[#This Row],[_Row]]))&amp;" "&amp;INDEX(Tasks[Task Name],SMALL(Tasks[_PickKey],Tasks[[#This Row],[_Row]])),"")</f>
        <v/>
      </c>
      <c r="GX30" s="42" t="str">
        <f aca="false">IF(Tasks[[#This Row],[Task Name]]="","",IF(Tasks[[#This Row],[_IsSummary]],NETWORKDAYS.INTL(Tasks[[#This Row],[Start]],Tasks[[#This Row],[Finish]],WorkWeek,Holidays),N(Tasks[[#This Row],[_Days]])))</f>
        <v/>
      </c>
    </row>
    <row r="31" customFormat="false" ht="15" hidden="false" customHeight="false" outlineLevel="0" collapsed="false">
      <c r="A31" s="21" t="str">
        <f aca="false">IF(Tasks[[#This Row],[Task Name]]="","",COUNTA(Tasks[[#Headers],[Task Name]]:Tasks[[#This Row],[Task Name]])-1)</f>
        <v/>
      </c>
      <c r="B31" s="22" t="n">
        <v>39</v>
      </c>
      <c r="C31" s="22"/>
      <c r="D31" s="23"/>
      <c r="E31" s="22"/>
      <c r="F31" s="23"/>
      <c r="G31" s="22"/>
      <c r="H31" s="22"/>
      <c r="I31" s="23"/>
      <c r="J31" s="22"/>
      <c r="K31" s="22"/>
      <c r="L31" s="23"/>
      <c r="M31" s="22"/>
      <c r="N31" s="22"/>
      <c r="O31" s="23"/>
      <c r="P31" s="22"/>
      <c r="Q31" s="22"/>
      <c r="R31" s="23"/>
      <c r="S31" s="23"/>
      <c r="T31" s="83"/>
      <c r="U31" s="23"/>
      <c r="V31" s="83"/>
      <c r="W31" s="23"/>
      <c r="X31" s="83"/>
      <c r="Y31" s="23"/>
      <c r="Z31" s="83"/>
      <c r="AA31" s="23"/>
      <c r="AB31" s="23"/>
      <c r="AC31" s="7"/>
      <c r="AD31" s="7"/>
      <c r="AE31" s="62" t="str">
        <f aca="false">IF(Tasks[[#This Row],[Task Name]]="","",IF(Tasks[[#This Row],[_IsSummary]],MIN(INDEX(Tasks[_ShownFcstStart],Tasks[[#This Row],[_Row]]+1):INDEX(Tasks[_ShownFcstStart],Tasks[[#This Row],[_Row]]+Tasks[[#This Row],[_Descendants]])),Tasks[[#This Row],[_ShownFcstStart]]))</f>
        <v/>
      </c>
      <c r="AF31" s="62" t="str">
        <f aca="false">IF(Tasks[[#This Row],[Task Name]]="","",IF(Tasks[[#This Row],[_IsSummary]],MAX(INDEX(Tasks[_ShownFcstFinish],Tasks[[#This Row],[_Row]]+1):INDEX(Tasks[_ShownFcstFinish],Tasks[[#This Row],[_Row]]+Tasks[[#This Row],[_Descendants]])),Tasks[[#This Row],[_ShownFcstFinish]]))</f>
        <v/>
      </c>
      <c r="AG31" s="21" t="str">
        <f aca="false">""</f>
        <v/>
      </c>
      <c r="AH31" s="23"/>
      <c r="AI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1" s="7"/>
      <c r="AK31" s="22"/>
      <c r="AL31" s="23"/>
      <c r="AM31" s="7"/>
      <c r="AN31" s="46" t="str">
        <f aca="false">IF(Tasks[[#This Row],[Task Name]]="","",IF(Tasks[[#This Row],[Finish]]&gt;=Tasks[[#This Row],[Planned Finish]],NETWORKDAYS.INTL(Tasks[[#This Row],[Planned Finish]],Tasks[[#This Row],[Finish]],WorkWeek,Holidays)-1,1-NETWORKDAYS.INTL(Tasks[[#This Row],[Finish]],Tasks[[#This Row],[Planned Finish]],WorkWeek,Holidays)))</f>
        <v/>
      </c>
      <c r="AO31" s="21" t="str">
        <f aca="false">IF(Tasks[[#This Row],[Task Name]]="","",IF(Tasks[[#This Row],[Progress]]&gt;=1,"Complete",IF(OR(N(Tasks[[#This Row],[Actual Start]])&gt;0,Tasks[[#This Row],[Progress]]&gt;0),IF(Tasks[[#This Row],[Finish Var]]&gt;0,"Behind","In Progress"),IF(Tasks[[#This Row],[Planned Start]]&lt;StatusDate,"Late Start","Not Started"))))</f>
        <v/>
      </c>
      <c r="AP31" s="21" t="str">
        <f aca="false">IF(Tasks[[#This Row],[Task Name]]="","",IF(IF(Tasks[[#This Row],[_IsSummary]],COUNTIF(INDEX(Tasks[_LeafCritical],Tasks[[#This Row],[_Row]]+1):INDEX(Tasks[_LeafCritical],Tasks[[#This Row],[_Row]]+Tasks[[#This Row],[_Descendants]]),TRUE())&gt;0,Tasks[[#This Row],[_LeafCritical]]),"Yes",""))</f>
        <v/>
      </c>
      <c r="AQ31" s="62" t="str">
        <f aca="false">IF(Tasks[[#This Row],[Task Name]]="","",IF(N(Tasks[[#This Row],[Baseline Start]])&gt;0,Tasks[[#This Row],[Baseline Start]],Tasks[[#This Row],[_CalcStart]]))</f>
        <v/>
      </c>
      <c r="AR31" s="62" t="str">
        <f aca="false">IF(Tasks[[#This Row],[Task Name]]="","",IF(N(Tasks[[#This Row],[Baseline Finish]])&gt;0,Tasks[[#This Row],[Baseline Finish]],Tasks[[#This Row],[_CalcFinish]]))</f>
        <v/>
      </c>
      <c r="AS31" s="46" t="str">
        <f aca="false">IF(Tasks[[#This Row],[Task Name]]="","",IF(Tasks[[#This Row],[Start]]&gt;=Tasks[[#This Row],[Planned Start]],NETWORKDAYS.INTL(Tasks[[#This Row],[Planned Start]],Tasks[[#This Row],[Start]],WorkWeek,Holidays)-1,1-NETWORKDAYS.INTL(Tasks[[#This Row],[Start]],Tasks[[#This Row],[Planned Start]],WorkWeek,Holidays)))</f>
        <v/>
      </c>
      <c r="AT31" s="62" t="str">
        <f aca="false">IF(Tasks[[#This Row],[Task Name]]="","",IF(Tasks[[#This Row],[_IsSummary]],MIN(INDEX(Tasks[_LeafLateStart],Tasks[[#This Row],[_Row]]+1):INDEX(Tasks[_LeafLateStart],Tasks[[#This Row],[_Row]]+Tasks[[#This Row],[_Descendants]])),Tasks[[#This Row],[_LeafLateStart]]))</f>
        <v/>
      </c>
      <c r="AU31" s="62" t="str">
        <f aca="false">IF(Tasks[[#This Row],[Task Name]]="","",IF(Tasks[[#This Row],[_IsSummary]],MAX(INDEX(Tasks[_LeafLateFinish],Tasks[[#This Row],[_Row]]+1):INDEX(Tasks[_LeafLateFinish],Tasks[[#This Row],[_Row]]+Tasks[[#This Row],[_Descendants]])),Tasks[[#This Row],[_LeafLateFinish]]))</f>
        <v/>
      </c>
      <c r="AV31" s="46" t="str">
        <f aca="false">IF(Tasks[[#This Row],[Task Name]]="","",IF(Tasks[[#This Row],[_IsSummary]],MIN(INDEX(Tasks[_LeafTotalSlack],Tasks[[#This Row],[_Row]]+1):INDEX(Tasks[_LeafTotalSlack],Tasks[[#This Row],[_Row]]+Tasks[[#This Row],[_Descendants]])),Tasks[[#This Row],[_LeafTotalSlack]]))</f>
        <v/>
      </c>
      <c r="AW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4"/>
      <c r="BA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t="str">
        <f aca="false">IF(Tasks[[#This Row],[Task Name]]="","",IF(Tasks[[#This Row],[_Level]]&lt;=OutlineShowLevel,"Yes","No"))</f>
        <v/>
      </c>
      <c r="BE31" s="85" t="str">
        <f aca="false">IF(Tasks[[#This Row],[Task Name]]="","",IF(Tasks[[#This Row],[_IsSummary]],SUM(INDEX(Tasks[_LeafTotalWork],Tasks[[#This Row],[_Row]]+1):INDEX(Tasks[_LeafTotalWork],Tasks[[#This Row],[_Row]]+Tasks[[#This Row],[_Descendants]])),Tasks[[#This Row],[_LeafTotalWork]]))</f>
        <v/>
      </c>
      <c r="BF31" s="23"/>
      <c r="BG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t="str">
        <f aca="false">""</f>
        <v/>
      </c>
      <c r="BI31" s="86"/>
      <c r="BJ31" s="22"/>
      <c r="BK31" s="46" t="str">
        <f aca="false">IF(OR(Tasks[[#This Row],[Task Name]]="",Tasks[[#This Row],[Baseline Duration]]=""),"",Tasks[[#This Row],[_SpanDays]]-N(Tasks[[#This Row],[Baseline Duration]]))</f>
        <v/>
      </c>
      <c r="BL31" s="85" t="str">
        <f aca="false">IF(OR(Tasks[[#This Row],[Task Name]]="",Tasks[[#This Row],[Baseline Work]]=""),"",Tasks[[#This Row],[Work]]-N(Tasks[[#This Row],[Baseline Work]]))</f>
        <v/>
      </c>
      <c r="BM31" s="62" t="str">
        <f aca="false">IF(Tasks[[#This Row],[Task Name]]="","",IF(OR(TakeBaseline="Yes",N(Tasks[[#This Row],[Baseline Start]])=0),Tasks[[#This Row],[Start]],Tasks[[#This Row],[Baseline Start]]))</f>
        <v/>
      </c>
      <c r="BN31" s="62" t="str">
        <f aca="false">IF(Tasks[[#This Row],[Task Name]]="","",IF(OR(TakeBaseline="Yes",N(Tasks[[#This Row],[Baseline Finish]])=0),Tasks[[#This Row],[Finish]],Tasks[[#This Row],[Baseline Finish]]))</f>
        <v/>
      </c>
      <c r="BO31" s="21" t="str">
        <f aca="false">IF(Tasks[[#This Row],[Task Name]]="","",IF(OR(TakeBaseline="Yes",N(Tasks[[#This Row],[Baseline Duration]])=0),Tasks[[#This Row],[_SpanDays]],Tasks[[#This Row],[Baseline Duration]]))</f>
        <v/>
      </c>
      <c r="BP31" s="85" t="str">
        <f aca="false">IF(Tasks[[#This Row],[Task Name]]="","",IF(OR(TakeBaseline="Yes",N(Tasks[[#This Row],[Baseline Work]])=0),Tasks[[#This Row],[Work]],Tasks[[#This Row],[Baseline Work]]))</f>
        <v/>
      </c>
      <c r="BQ31" s="7"/>
      <c r="BR31" s="7"/>
      <c r="BS31" s="22"/>
      <c r="BT31" s="87"/>
      <c r="BU31" s="42" t="str">
        <f aca="false">IF(Tasks[[#This Row],[Task Name]]="","",MAX(1,N(Tasks[[#This Row],[Level]])))</f>
        <v/>
      </c>
      <c r="BV31" s="42" t="n">
        <f aca="false">ROW()-ROW(Tasks[[#Headers],[ID]])</f>
        <v>26</v>
      </c>
      <c r="BW31" s="42" t="n">
        <f aca="false">IF(OR(Tasks[[#This Row],[Task Name]]="",Tasks[[#This Row],[_Level]]&lt;=1),0,IFERROR(LOOKUP(2,1/(Tasks[[#Headers],[_Level]]:Tasks[[#This Row],[_Level]]=Tasks[[#This Row],[_Level]]-1),ROW(Tasks[[#Headers],[_Level]]:Tasks[[#This Row],[_Level]])),0))</f>
        <v>0</v>
      </c>
      <c r="BX31" s="42" t="n">
        <f aca="false">IFERROR(N(INDEX(Tasks[_Level],Tasks[[#This Row],[_Row]]+1)),0)</f>
        <v>0</v>
      </c>
      <c r="BY31" s="88" t="b">
        <f aca="false">AND(Tasks[[#This Row],[Task Name]]&lt;&gt;"",Tasks[[#This Row],[_NextLevel]]&gt;Tasks[[#This Row],[_Level]])</f>
        <v>0</v>
      </c>
      <c r="BZ31" s="42" t="n">
        <f aca="false">IF(Tasks[[#This Row],[_IsSummary]],COUNTIF(Tasks[WBS],Tasks[[#This Row],[WBS]]&amp;".*"),0)</f>
        <v>0</v>
      </c>
      <c r="CA31" s="42" t="n">
        <f aca="false">IF(AND(Tasks[[#This Row],[Task Name]]&lt;&gt;"",NOT(Tasks[[#This Row],[_IsSummary]])),1,0)</f>
        <v>0</v>
      </c>
      <c r="CB31" s="42" t="n">
        <f aca="false">IF(N(Tasks[[#This Row],[_Pred1UID]])=0,0,IFERROR(MATCH(Tasks[[#This Row],[_Pred1UID]],Tasks[UID],0),-1))</f>
        <v>0</v>
      </c>
      <c r="CC31" s="42" t="n">
        <f aca="false">IF(N(Tasks[[#This Row],[_Pred2UID]])=0,0,IFERROR(MATCH(Tasks[[#This Row],[_Pred2UID]],Tasks[UID],0),-1))</f>
        <v>0</v>
      </c>
      <c r="CD31" s="42" t="n">
        <f aca="false">IF(N(Tasks[[#This Row],[_Pred3UID]])=0,0,IFERROR(MATCH(Tasks[[#This Row],[_Pred3UID]],Tasks[UID],0),-1))</f>
        <v>0</v>
      </c>
      <c r="CE31" s="42" t="n">
        <f aca="false">IF(N(Tasks[[#This Row],[_Pred4UID]])=0,0,IFERROR(MATCH(Tasks[[#This Row],[_Pred4UID]],Tasks[UID],0),-1))</f>
        <v>0</v>
      </c>
      <c r="CF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1" s="89" t="n">
        <f aca="false">IF(OR(Tasks[[#This Row],[_ConstraintCode]]=2,Tasks[[#This Row],[_ConstraintCode]]=3,Tasks[[#This Row],[_ConstraintCode]]=4,Tasks[[#This Row],[_ConstraintCode]]=6),Tasks[[#This Row],[_ConstraintStart]],0)</f>
        <v>0</v>
      </c>
      <c r="CI31" s="89" t="n">
        <f aca="false">IF(OR(Tasks[[#This Row],[_ConstraintCode]]=2,Tasks[[#This Row],[_ConstraintCode]]=3,Tasks[[#This Row],[_ConstraintCode]]=5,Tasks[[#This Row],[_ConstraintCode]]=7),Tasks[[#This Row],[_ConstraintStart]],2958465)</f>
        <v>2958465</v>
      </c>
      <c r="CJ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1" s="89" t="str">
        <f aca="false">IF(NOT(Tasks[[#This Row],[_IsLeaf]]=1),"",IF(N(Tasks[[#This Row],[_Days]])&lt;=0,Tasks[[#This Row],[_LeafCalcStart]],WORKDAY.INTL(Tasks[[#This Row],[_LeafCalcStart]],Tasks[[#This Row],[_Days]]-1,WorkWeek,Holidays)))</f>
        <v/>
      </c>
      <c r="CL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1" s="42" t="str">
        <f aca="false">IF(Tasks[[#This Row],[_Predecessors]]="","",TRIM(MID(SUBSTITUTE(SUBSTITUTE(SUBSTITUTE(UPPER(Tasks[[#This Row],[_Predecessors]]),";",",")," ",""),",",REPT(" ",99)),1,99)))</f>
        <v/>
      </c>
      <c r="CO31" s="42" t="str">
        <f aca="false">IF(Tasks[[#This Row],[_Pred1Text]]="","",IFERROR(VALUE(LEFT(Tasks[[#This Row],[_Pred1Text]],MIN(FIND("F",Tasks[[#This Row],[_Pred1Text]]&amp;"F"),FIND("S",Tasks[[#This Row],[_Pred1Text]]&amp;"S"),FIND("+",Tasks[[#This Row],[_Pred1Text]]&amp;"+"),FIND("-",Tasks[[#This Row],[_Pred1Text]]&amp;"-"))-1)),""))</f>
        <v/>
      </c>
      <c r="CP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1" s="42" t="str">
        <f aca="false">IF(Tasks[[#This Row],[_Pred1Text]]="","",TRIM(MID(SUBSTITUTE(SUBSTITUTE(SUBSTITUTE(UPPER(Tasks[[#This Row],[_Predecessors]]),";",",")," ",""),",",REPT(" ",99)),100,99)))</f>
        <v/>
      </c>
      <c r="CS31" s="42" t="str">
        <f aca="false">IF(Tasks[[#This Row],[_Pred2Text]]="","",IFERROR(VALUE(LEFT(Tasks[[#This Row],[_Pred2Text]],MIN(FIND("F",Tasks[[#This Row],[_Pred2Text]]&amp;"F"),FIND("S",Tasks[[#This Row],[_Pred2Text]]&amp;"S"),FIND("+",Tasks[[#This Row],[_Pred2Text]]&amp;"+"),FIND("-",Tasks[[#This Row],[_Pred2Text]]&amp;"-"))-1)),""))</f>
        <v/>
      </c>
      <c r="CT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1" s="42" t="str">
        <f aca="false">IF(Tasks[[#This Row],[_Pred2Text]]="","",TRIM(MID(SUBSTITUTE(SUBSTITUTE(SUBSTITUTE(UPPER(Tasks[[#This Row],[_Predecessors]]),";",",")," ",""),",",REPT(" ",99)),199,99)))</f>
        <v/>
      </c>
      <c r="CW31" s="42" t="str">
        <f aca="false">IF(Tasks[[#This Row],[_Pred3Text]]="","",IFERROR(VALUE(LEFT(Tasks[[#This Row],[_Pred3Text]],MIN(FIND("F",Tasks[[#This Row],[_Pred3Text]]&amp;"F"),FIND("S",Tasks[[#This Row],[_Pred3Text]]&amp;"S"),FIND("+",Tasks[[#This Row],[_Pred3Text]]&amp;"+"),FIND("-",Tasks[[#This Row],[_Pred3Text]]&amp;"-"))-1)),""))</f>
        <v/>
      </c>
      <c r="CX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1" s="42" t="str">
        <f aca="false">IF(Tasks[[#This Row],[_Pred3Text]]="","",TRIM(MID(SUBSTITUTE(SUBSTITUTE(SUBSTITUTE(UPPER(Tasks[[#This Row],[_Predecessors]]),";",",")," ",""),",",REPT(" ",99)),298,99)))</f>
        <v/>
      </c>
      <c r="DA31" s="42" t="str">
        <f aca="false">IF(Tasks[[#This Row],[_Pred4Text]]="","",IFERROR(VALUE(LEFT(Tasks[[#This Row],[_Pred4Text]],MIN(FIND("F",Tasks[[#This Row],[_Pred4Text]]&amp;"F"),FIND("S",Tasks[[#This Row],[_Pred4Text]]&amp;"S"),FIND("+",Tasks[[#This Row],[_Pred4Text]]&amp;"+"),FIND("-",Tasks[[#This Row],[_Pred4Text]]&amp;"-"))-1)),""))</f>
        <v/>
      </c>
      <c r="DB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1" s="42" t="str">
        <f aca="false">IF(OR(Tasks[[#This Row],[Task Name]]="",Tasks[[#This Row],[_Resources]]=""),"",TRIM(MID(SUBSTITUTE(Tasks[[#This Row],[_Resources]],",",REPT(" ",99)),1,99)))</f>
        <v/>
      </c>
      <c r="DE31" s="42" t="str">
        <f aca="false">IF(Tasks[[#This Row],[_Res1Text]]="","",TRIM(MID(SUBSTITUTE(Tasks[[#This Row],[_Resources]],",",REPT(" ",99)),100,99)))</f>
        <v/>
      </c>
      <c r="DF31" s="42" t="str">
        <f aca="false">IF(Tasks[[#This Row],[_Res2Text]]="","",TRIM(MID(SUBSTITUTE(Tasks[[#This Row],[_Resources]],",",REPT(" ",99)),199,99)))</f>
        <v/>
      </c>
      <c r="DG31" s="42" t="str">
        <f aca="false">IF(Tasks[[#This Row],[_Res3Text]]="","",TRIM(MID(SUBSTITUTE(Tasks[[#This Row],[_Resources]],",",REPT(" ",99)),298,99)))</f>
        <v/>
      </c>
      <c r="DH31" s="42" t="n">
        <f aca="false">IF(Tasks[[#This Row],[_Res1Text]]="",0,IFERROR(MATCH(TRIM(LEFT(Tasks[[#This Row],[_Res1Text]],FIND("[",Tasks[[#This Row],[_Res1Text]]&amp;"[")-1)),res_Name,0),IFERROR(MATCH(TRIM(LEFT(Tasks[[#This Row],[_Res1Text]],FIND("[",Tasks[[#This Row],[_Res1Text]]&amp;"[")-1)),res_Initials,0),0)))</f>
        <v>0</v>
      </c>
      <c r="DI31" s="42" t="n">
        <f aca="false">IF(Tasks[[#This Row],[_Res2Text]]="",0,IFERROR(MATCH(TRIM(LEFT(Tasks[[#This Row],[_Res2Text]],FIND("[",Tasks[[#This Row],[_Res2Text]]&amp;"[")-1)),res_Name,0),IFERROR(MATCH(TRIM(LEFT(Tasks[[#This Row],[_Res2Text]],FIND("[",Tasks[[#This Row],[_Res2Text]]&amp;"[")-1)),res_Initials,0),0)))</f>
        <v>0</v>
      </c>
      <c r="DJ31" s="42" t="n">
        <f aca="false">IF(Tasks[[#This Row],[_Res3Text]]="",0,IFERROR(MATCH(TRIM(LEFT(Tasks[[#This Row],[_Res3Text]],FIND("[",Tasks[[#This Row],[_Res3Text]]&amp;"[")-1)),res_Name,0),IFERROR(MATCH(TRIM(LEFT(Tasks[[#This Row],[_Res3Text]],FIND("[",Tasks[[#This Row],[_Res3Text]]&amp;"[")-1)),res_Initials,0),0)))</f>
        <v>0</v>
      </c>
      <c r="DK31" s="42" t="n">
        <f aca="false">IF(Tasks[[#This Row],[_Res4Text]]="",0,IFERROR(MATCH(TRIM(LEFT(Tasks[[#This Row],[_Res4Text]],FIND("[",Tasks[[#This Row],[_Res4Text]]&amp;"[")-1)),res_Name,0),IFERROR(MATCH(TRIM(LEFT(Tasks[[#This Row],[_Res4Text]],FIND("[",Tasks[[#This Row],[_Res4Text]]&amp;"[")-1)),res_Initials,0),0)))</f>
        <v>0</v>
      </c>
      <c r="DL31" s="42" t="str">
        <f aca="false">IF(Tasks[[#This Row],[_Res1Text]]="","",IF(Tasks[[#This Row],[_Res1Row]]&gt;0,INDEX(res_Name,Tasks[[#This Row],[_Res1Row]]),TRIM(LEFT(Tasks[[#This Row],[_Res1Text]],FIND("[",Tasks[[#This Row],[_Res1Text]]&amp;"[")-1))))</f>
        <v/>
      </c>
      <c r="DM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1" s="42" t="n">
        <f aca="false">IF(NOT(Tasks[[#This Row],[_IsLeaf]]=1),0,(Tasks[[#This Row],[_Resource1]]&lt;&gt;"")+(Tasks[[#This Row],[_Res2]]&lt;&gt;"")+(Tasks[[#This Row],[_Res3]]&lt;&gt;"")+(Tasks[[#This Row],[_Res4]]&lt;&gt;""))</f>
        <v>0</v>
      </c>
      <c r="DO31" s="42" t="str">
        <f aca="false">IF(Tasks[[#This Row],[_Res2Text]]="","",IF(Tasks[[#This Row],[_Res2Row]]&gt;0,INDEX(res_Name,Tasks[[#This Row],[_Res2Row]]),TRIM(LEFT(Tasks[[#This Row],[_Res2Text]],FIND("[",Tasks[[#This Row],[_Res2Text]]&amp;"[")-1))))</f>
        <v/>
      </c>
      <c r="DP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1" s="42" t="n">
        <f aca="false">IF(OR(NOT(Tasks[[#This Row],[_IsLeaf]]=1),Tasks[[#This Row],[_Res2Row]]=0),0,N(Tasks[[#This Row],[_Days]])*HoursPerDay*IF(Tasks[[#This Row],[_Res2Units]]="",DefaultUnits,Tasks[[#This Row],[_Res2Units]]))</f>
        <v>0</v>
      </c>
      <c r="DR31" s="42" t="n">
        <f aca="false">IF(AND(AND(Tasks[[#This Row],[_IsLeaf]]=1,Tasks[[#This Row],[_LeafTotalWork]]&gt;0),Tasks[[#This Row],[_Res2Work]]&gt;0),Tasks[[#This Row],[_Res2Work]]/(Tasks[[#This Row],[_FinishWorkday]]-Tasks[[#This Row],[_StartWorkday]]+1),0)</f>
        <v>0</v>
      </c>
      <c r="DS31" s="42" t="n">
        <f aca="false">Tasks[[#This Row],[_Res2WorkPerWD]]*MAX(0,Tasks[[#This Row],[_StartWorkday]]-1)</f>
        <v>0</v>
      </c>
      <c r="DT31" s="42" t="n">
        <f aca="false">Tasks[[#This Row],[_Res2Work]]*Tasks[[#This Row],[_LeafProgress]]</f>
        <v>0</v>
      </c>
      <c r="DU31" s="42" t="str">
        <f aca="false">IF(Tasks[[#This Row],[_Res3Text]]="","",IF(Tasks[[#This Row],[_Res3Row]]&gt;0,INDEX(res_Name,Tasks[[#This Row],[_Res3Row]]),TRIM(LEFT(Tasks[[#This Row],[_Res3Text]],FIND("[",Tasks[[#This Row],[_Res3Text]]&amp;"[")-1))))</f>
        <v/>
      </c>
      <c r="DV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1" s="42" t="n">
        <f aca="false">IF(OR(NOT(Tasks[[#This Row],[_IsLeaf]]=1),Tasks[[#This Row],[_Res3Row]]=0),0,N(Tasks[[#This Row],[_Days]])*HoursPerDay*IF(Tasks[[#This Row],[_Res3Units]]="",DefaultUnits,Tasks[[#This Row],[_Res3Units]]))</f>
        <v>0</v>
      </c>
      <c r="DX31" s="42" t="n">
        <f aca="false">IF(AND(AND(Tasks[[#This Row],[_IsLeaf]]=1,Tasks[[#This Row],[_LeafTotalWork]]&gt;0),Tasks[[#This Row],[_Res3Work]]&gt;0),Tasks[[#This Row],[_Res3Work]]/(Tasks[[#This Row],[_FinishWorkday]]-Tasks[[#This Row],[_StartWorkday]]+1),0)</f>
        <v>0</v>
      </c>
      <c r="DY31" s="42" t="n">
        <f aca="false">Tasks[[#This Row],[_Res3WorkPerWD]]*MAX(0,Tasks[[#This Row],[_StartWorkday]]-1)</f>
        <v>0</v>
      </c>
      <c r="DZ31" s="42" t="n">
        <f aca="false">Tasks[[#This Row],[_Res3Work]]*Tasks[[#This Row],[_LeafProgress]]</f>
        <v>0</v>
      </c>
      <c r="EA31" s="42" t="str">
        <f aca="false">IF(Tasks[[#This Row],[_Res4Text]]="","",IF(Tasks[[#This Row],[_Res4Row]]&gt;0,INDEX(res_Name,Tasks[[#This Row],[_Res4Row]]),TRIM(LEFT(Tasks[[#This Row],[_Res4Text]],FIND("[",Tasks[[#This Row],[_Res4Text]]&amp;"[")-1))))</f>
        <v/>
      </c>
      <c r="EB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1" s="42" t="n">
        <f aca="false">IF(OR(NOT(Tasks[[#This Row],[_IsLeaf]]=1),Tasks[[#This Row],[_Res4Row]]=0),0,N(Tasks[[#This Row],[_Days]])*HoursPerDay*IF(Tasks[[#This Row],[_Res4Units]]="",DefaultUnits,Tasks[[#This Row],[_Res4Units]]))</f>
        <v>0</v>
      </c>
      <c r="ED31" s="42" t="n">
        <f aca="false">IF(AND(AND(Tasks[[#This Row],[_IsLeaf]]=1,Tasks[[#This Row],[_LeafTotalWork]]&gt;0),Tasks[[#This Row],[_Res4Work]]&gt;0),Tasks[[#This Row],[_Res4Work]]/(Tasks[[#This Row],[_FinishWorkday]]-Tasks[[#This Row],[_StartWorkday]]+1),0)</f>
        <v>0</v>
      </c>
      <c r="EE31" s="42" t="n">
        <f aca="false">Tasks[[#This Row],[_Res4WorkPerWD]]*MAX(0,Tasks[[#This Row],[_StartWorkday]]-1)</f>
        <v>0</v>
      </c>
      <c r="EF31" s="42" t="n">
        <f aca="false">Tasks[[#This Row],[_Res4Work]]*Tasks[[#This Row],[_LeafProgress]]</f>
        <v>0</v>
      </c>
      <c r="EG31" s="42" t="n">
        <f aca="false">IF(ISNUMBER(Tasks[[#This Row],[% Complete]]),Tasks[[#This Row],[% Complete]],IF(Tasks[[#This Row],[Stage]]="",0,IFERROR(INDEX(stg_Pct,MATCH(Tasks[[#This Row],[Stage]],stg_Name,0)),0)))</f>
        <v>0</v>
      </c>
      <c r="EH31" s="42" t="n">
        <f aca="false">IF(NOT(Tasks[[#This Row],[_IsLeaf]]=1),0,IF(N(Tasks[[#This Row],[Actual Finish]])&gt;0,1,MIN(1,Tasks[[#This Row],[_Pct]])))</f>
        <v>0</v>
      </c>
      <c r="EI31" s="42" t="n">
        <f aca="false">IF(OR(NOT(Tasks[[#This Row],[_IsLeaf]]=1),Tasks[[#This Row],[_Res1Row]]=0),0,N(Tasks[[#This Row],[_Days]])*HoursPerDay*IF(Tasks[[#This Row],[_Units1]]="",DefaultUnits,Tasks[[#This Row],[_Units1]]))</f>
        <v>0</v>
      </c>
      <c r="EJ31" s="42" t="n">
        <f aca="false">Tasks[[#This Row],[_LeafWork]]+Tasks[[#This Row],[_Res2Work]]+Tasks[[#This Row],[_Res3Work]]+Tasks[[#This Row],[_Res4Work]]</f>
        <v>0</v>
      </c>
      <c r="EK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1" s="42" t="n">
        <f aca="false">IF(NOT(Tasks[[#This Row],[_IsLeaf]]=1),0,MAX(_xlfn.MAXIFS(Tasks[_Row],Tasks[_Pred1UID],Tasks[[#This Row],[UID]]),_xlfn.MAXIFS(Tasks[_Row],Tasks[_Pred2UID],Tasks[[#This Row],[UID]]),_xlfn.MAXIFS(Tasks[_Row],Tasks[_Pred3UID],Tasks[[#This Row],[UID]]),_xlfn.MAXIFS(Tasks[_Row],Tasks[_Pred4UID],Tasks[[#This Row],[UID]])))</f>
        <v>0</v>
      </c>
      <c r="ET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1" s="89" t="str">
        <f aca="false">IF(NOT(Tasks[[#This Row],[_IsLeaf]]=1),"",IF(N(Tasks[[#This Row],[_Days]])&lt;=0,Tasks[[#This Row],[_LeafLateFinish]],WORKDAY.INTL(Tasks[[#This Row],[_LeafLateFinish]],-(Tasks[[#This Row],[_Days]]-1),WorkWeek,Holidays)))</f>
        <v/>
      </c>
      <c r="EW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1" s="88" t="b">
        <f aca="false">AND(Tasks[[#This Row],[_IsLeaf]]=1,Tasks[[#This Row],[_LeafProgress]]&lt;1,N(Tasks[[#This Row],[_LeafTotalSlack]])&lt;=CriticalSlackDays)</f>
        <v>0</v>
      </c>
      <c r="EY31" s="42" t="n">
        <f aca="false">IF(AND(Tasks[[#This Row],[_IsLeaf]]=1,Tasks[[#This Row],[_ConstraintCode]]=1,Tasks[[#This Row],[Mode]]&lt;&gt;"Manual",N(Tasks[[#This Row],[Actual Start]])=0),MAX(0,N(Tasks[[#This Row],[Free Slack]])),0)</f>
        <v>0</v>
      </c>
      <c r="EZ31" s="89" t="str">
        <f aca="false">IF(NOT(Tasks[[#This Row],[_IsLeaf]]=1),"",IF(Tasks[[#This Row],[_AlapShift]]=0,Tasks[[#This Row],[_LeafCalcStart]],WORKDAY.INTL(Tasks[[#This Row],[_LeafCalcStart]],Tasks[[#This Row],[_AlapShift]],WorkWeek,Holidays)))</f>
        <v/>
      </c>
      <c r="FA31" s="89" t="str">
        <f aca="false">IF(NOT(Tasks[[#This Row],[_IsLeaf]]=1),"",IF(Tasks[[#This Row],[_AlapShift]]=0,Tasks[[#This Row],[_LeafCalcFinish]],WORKDAY.INTL(Tasks[[#This Row],[_LeafCalcFinish]],Tasks[[#This Row],[_AlapShift]],WorkWeek,Holidays)))</f>
        <v/>
      </c>
      <c r="FB31" s="89" t="str">
        <f aca="false">IF(NOT(Tasks[[#This Row],[_IsLeaf]]=1),"",IF(Tasks[[#This Row],[_AlapShift]]=0,Tasks[[#This Row],[_LeafFcstStart]],WORKDAY.INTL(Tasks[[#This Row],[_LeafFcstStart]],Tasks[[#This Row],[_AlapShift]],WorkWeek,Holidays)))</f>
        <v/>
      </c>
      <c r="FC31" s="89" t="str">
        <f aca="false">IF(NOT(Tasks[[#This Row],[_IsLeaf]]=1),"",IF(Tasks[[#This Row],[_AlapShift]]=0,Tasks[[#This Row],[_LeafFcstFinish]],WORKDAY.INTL(Tasks[[#This Row],[_LeafFcstFinish]],Tasks[[#This Row],[_AlapShift]],WorkWeek,Holidays)))</f>
        <v/>
      </c>
      <c r="FD31" s="89" t="str">
        <f aca="false">IF(Tasks[[#This Row],[Task Name]]="","",IF(Tasks[[#This Row],[_IsSummary]],MIN(INDEX(Tasks[_ShownCalcStart],Tasks[[#This Row],[_Row]]+1):INDEX(Tasks[_ShownCalcStart],Tasks[[#This Row],[_Row]]+Tasks[[#This Row],[_Descendants]])),Tasks[[#This Row],[_ShownCalcStart]]))</f>
        <v/>
      </c>
      <c r="FE31" s="89" t="str">
        <f aca="false">IF(Tasks[[#This Row],[Task Name]]="","",IF(Tasks[[#This Row],[_IsSummary]],MAX(INDEX(Tasks[_ShownCalcFinish],Tasks[[#This Row],[_Row]]+1):INDEX(Tasks[_ShownCalcFinish],Tasks[[#This Row],[_Row]]+Tasks[[#This Row],[_Descendants]])),Tasks[[#This Row],[_ShownCalcFinish]]))</f>
        <v/>
      </c>
      <c r="FF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1" s="42" t="n">
        <f aca="false">IF(AND(Tasks[[#This Row],[_IsLeaf]]=1,Tasks[[#This Row],[_LeafTotalWork]]&gt;0),NETWORKDAYS.INTL(ProjectStart,Tasks[[#This Row],[_ShownFcstStart]],WorkWeek,Holidays),0)</f>
        <v>0</v>
      </c>
      <c r="FS31" s="42" t="n">
        <f aca="false">IF(AND(Tasks[[#This Row],[_IsLeaf]]=1,Tasks[[#This Row],[_LeafTotalWork]]&gt;0),MAX(Tasks[[#This Row],[_StartWorkday]],NETWORKDAYS.INTL(ProjectStart,Tasks[[#This Row],[_ShownFcstFinish]],WorkWeek,Holidays)),0)</f>
        <v>0</v>
      </c>
      <c r="FT31" s="42" t="n">
        <f aca="false">IF(AND(Tasks[[#This Row],[_IsLeaf]]=1,Tasks[[#This Row],[_LeafTotalWork]]&gt;0),Tasks[[#This Row],[_LeafWork]]/(Tasks[[#This Row],[_FinishWorkday]]-Tasks[[#This Row],[_StartWorkday]]+1),0)</f>
        <v>0</v>
      </c>
      <c r="FU31" s="42" t="n">
        <f aca="false">Tasks[[#This Row],[_WorkPerWorkday]]*(Tasks[[#This Row],[_StartWorkday]]-1)</f>
        <v>-0</v>
      </c>
      <c r="FV31" s="42" t="n">
        <f aca="false">IF(Tasks[[#This Row],[_IsLeaf]]=1,MAX(N(Tasks[[#This Row],[_Days]]),0.1),0)</f>
        <v>0</v>
      </c>
      <c r="FW31" s="42" t="n">
        <f aca="false">Tasks[[#This Row],[_WeightDur]]*Tasks[[#This Row],[_LeafProgress]]</f>
        <v>0</v>
      </c>
      <c r="FX31" s="42" t="n">
        <f aca="false">Tasks[[#This Row],[_WeightDur]]*Tasks[[#This Row],[_PlannedPct]]</f>
        <v>0</v>
      </c>
      <c r="FY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1" s="42" t="str">
        <f aca="false">IF(AND(Tasks[[#This Row],[_IsLeaf]]=1,N(Tasks[[#This Row],[_Days]])=0,Tasks[[#This Row],[_LeafProgress]]&lt;1),Tasks[[#This Row],[_ShownFcstFinish]]+Tasks[[#This Row],[_Row]]/100000,"")</f>
        <v/>
      </c>
      <c r="GA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1" s="42" t="str">
        <f aca="false">IF(Tasks[[#This Row],[Task Name]]="","",LEFT(Tasks[[#This Row],[WBS]],FIND(".",Tasks[[#This Row],[WBS]]&amp;".")-1))</f>
        <v/>
      </c>
      <c r="GC31" s="42" t="str">
        <f aca="false">IF(AND(Tasks[[#This Row],[Task Name]]&lt;&gt;"",Tasks[[#This Row],[_Level]]=1),Tasks[[#This Row],[_Row]],"")</f>
        <v/>
      </c>
      <c r="GD31" s="42" t="str">
        <f aca="false">IF(AND(Tasks[[#This Row],[_IsLeaf]]=1,N(Tasks[[#This Row],[_Days]])=0),Tasks[[#This Row],[Planned Finish]]+Tasks[[#This Row],[_Row]]/100000,"")</f>
        <v/>
      </c>
      <c r="GE31" s="42" t="str">
        <f aca="false">IF(AND(Tasks[[#This Row],[_IsLeaf]]=1,Tasks[[#This Row],[_LeafProgress]]&lt;1,OR(N(Tasks[[#This Row],[Finish Var]])&gt;0,Tasks[[#This Row],[Status]]="Late Start")),MAX(0,Tasks[[#This Row],[Finish Var]])+1-Tasks[[#This Row],[_Row]]/1000000,"")</f>
        <v/>
      </c>
      <c r="GF31" s="42" t="str">
        <f aca="false">IF(AND(Tasks[[#This Row],[_IsLeaf]]=1,N(Tasks[[#This Row],[Actual Start]])=0,Tasks[[#This Row],[_ShownFcstStart]]&gt;=StatusDate,Tasks[[#This Row],[_ShownFcstStart]]&lt;=LookaheadEnd),Tasks[[#This Row],[_ShownFcstStart]]+Tasks[[#This Row],[_Row]]/100000,"")</f>
        <v/>
      </c>
      <c r="GG31" s="42" t="str">
        <f aca="false">IF(AND(Tasks[[#This Row],[_IsLeaf]]=1,Tasks[[#This Row],[_LeafProgress]]&lt;1,Tasks[[#This Row],[_ShownFcstFinish]]&gt;=StatusDate,Tasks[[#This Row],[_ShownFcstFinish]]&lt;=LookaheadEnd),Tasks[[#This Row],[_ShownFcstFinish]]+Tasks[[#This Row],[_Row]]/100000,"")</f>
        <v/>
      </c>
      <c r="GH31" s="42" t="str">
        <f aca="false">IF(Tasks[[#This Row],[_LeafCritical]],Tasks[[#This Row],[_ShownFcstStart]]+Tasks[[#This Row],[_Row]]/100000,"")</f>
        <v/>
      </c>
      <c r="GI31" s="42" t="n">
        <f aca="false">Tasks[[#This Row],[_LeafWork]]*Tasks[[#This Row],[_LeafProgress]]</f>
        <v>0</v>
      </c>
      <c r="GJ31" s="89" t="str">
        <f aca="false">IF(AND(Tasks[[#This Row],[_IsLeaf]]=1,Tasks[[#This Row],[_LeafProgress]]&gt;=1),IF(N(Tasks[[#This Row],[Actual Finish]])&gt;0,Tasks[[#This Row],[Actual Finish]],Tasks[[#This Row],[_ShownFcstFinish]]),"")</f>
        <v/>
      </c>
      <c r="GK31" s="42" t="n">
        <f aca="false">IF(Tasks[[#This Row],[_IsLeaf]]=1,N(Tasks[[#This Row],[Story Points]]),0)</f>
        <v>0</v>
      </c>
      <c r="GL31" s="42" t="str">
        <f aca="false">""</f>
        <v/>
      </c>
      <c r="GM31" s="88" t="b">
        <f aca="false">IF(Tasks[[#This Row],[Task Name]]="",FALSE(),AND(Tasks[[#This Row],[_IsLeaf]]=1,N(Tasks[[#This Row],[_Days]])=0))</f>
        <v>0</v>
      </c>
      <c r="GN31" s="89" t="n">
        <f aca="false">IF(Tasks[[#This Row],[Task Name]]="",0,IF(AND(Tasks[[#This Row],[_IsLeaf]]=1,NOT(Tasks[[#This Row],[_IsMilestone]]),N(Tasks[[#This Row],[Progress]])&gt;0),Tasks[[#This Row],[Start]],0))</f>
        <v>0</v>
      </c>
      <c r="GO31" s="89" t="n">
        <f aca="false">IF(Tasks[[#This Row],[_DoneFrom]]=0,0,IF(Tasks[[#This Row],[Progress]]&gt;=1,Tasks[[#This Row],[Finish]],MAX(Tasks[[#This Row],[_DoneFrom]],Tasks[[#This Row],[Start]]+ROUND((Tasks[[#This Row],[Finish]]-Tasks[[#This Row],[Start]]+1)*Tasks[[#This Row],[Progress]],0)-1)))</f>
        <v>0</v>
      </c>
      <c r="GP31" s="89" t="n">
        <f aca="false">IF(Tasks[[#This Row],[Task Name]]="",0,IF(OR(NOT(Tasks[[#This Row],[_IsLeaf]]=1),Tasks[[#This Row],[_IsMilestone]],N(Tasks[[#This Row],[Progress]])&gt;=1),0,IF(Tasks[[#This Row],[_DoneTo]]&gt;0,Tasks[[#This Row],[_DoneTo]]+1,Tasks[[#This Row],[Start]])))</f>
        <v>0</v>
      </c>
      <c r="GQ31" s="89" t="n">
        <f aca="false">IF(Tasks[[#This Row],[_RemFrom]]=0,0,Tasks[[#This Row],[Finish]])</f>
        <v>0</v>
      </c>
      <c r="GR31" s="88" t="b">
        <f aca="false">IF(Tasks[[#This Row],[Task Name]]="",FALSE(),OR(NOT(BaselineSet),N(Tasks[[#This Row],[Baseline Start]])&gt;0))</f>
        <v>0</v>
      </c>
      <c r="GS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1" s="90" t="str">
        <f aca="false">IF(Tasks[[#This Row],[_IsLeaf]]=1,Tasks[[#This Row],[_Row]],"")</f>
        <v/>
      </c>
      <c r="GW31" s="90" t="str">
        <f aca="false">IFERROR(INDEX(Tasks[UID],SMALL(Tasks[_PickKey],Tasks[[#This Row],[_Row]]))&amp;" "&amp;INDEX(Tasks[Task Name],SMALL(Tasks[_PickKey],Tasks[[#This Row],[_Row]])),"")</f>
        <v/>
      </c>
      <c r="GX31" s="42" t="str">
        <f aca="false">IF(Tasks[[#This Row],[Task Name]]="","",IF(Tasks[[#This Row],[_IsSummary]],NETWORKDAYS.INTL(Tasks[[#This Row],[Start]],Tasks[[#This Row],[Finish]],WorkWeek,Holidays),N(Tasks[[#This Row],[_Days]])))</f>
        <v/>
      </c>
    </row>
    <row r="32" customFormat="false" ht="15" hidden="false" customHeight="false" outlineLevel="0" collapsed="false">
      <c r="A32" s="21" t="str">
        <f aca="false">IF(Tasks[[#This Row],[Task Name]]="","",COUNTA(Tasks[[#Headers],[Task Name]]:Tasks[[#This Row],[Task Name]])-1)</f>
        <v/>
      </c>
      <c r="B32" s="22" t="n">
        <v>40</v>
      </c>
      <c r="C32" s="22"/>
      <c r="D32" s="23"/>
      <c r="E32" s="22"/>
      <c r="F32" s="23"/>
      <c r="G32" s="22"/>
      <c r="H32" s="22"/>
      <c r="I32" s="23"/>
      <c r="J32" s="22"/>
      <c r="K32" s="22"/>
      <c r="L32" s="23"/>
      <c r="M32" s="22"/>
      <c r="N32" s="22"/>
      <c r="O32" s="23"/>
      <c r="P32" s="22"/>
      <c r="Q32" s="22"/>
      <c r="R32" s="23"/>
      <c r="S32" s="23"/>
      <c r="T32" s="83"/>
      <c r="U32" s="23"/>
      <c r="V32" s="83"/>
      <c r="W32" s="23"/>
      <c r="X32" s="83"/>
      <c r="Y32" s="23"/>
      <c r="Z32" s="83"/>
      <c r="AA32" s="23"/>
      <c r="AB32" s="23"/>
      <c r="AC32" s="7"/>
      <c r="AD32" s="7"/>
      <c r="AE32" s="62" t="str">
        <f aca="false">IF(Tasks[[#This Row],[Task Name]]="","",IF(Tasks[[#This Row],[_IsSummary]],MIN(INDEX(Tasks[_ShownFcstStart],Tasks[[#This Row],[_Row]]+1):INDEX(Tasks[_ShownFcstStart],Tasks[[#This Row],[_Row]]+Tasks[[#This Row],[_Descendants]])),Tasks[[#This Row],[_ShownFcstStart]]))</f>
        <v/>
      </c>
      <c r="AF32" s="62" t="str">
        <f aca="false">IF(Tasks[[#This Row],[Task Name]]="","",IF(Tasks[[#This Row],[_IsSummary]],MAX(INDEX(Tasks[_ShownFcstFinish],Tasks[[#This Row],[_Row]]+1):INDEX(Tasks[_ShownFcstFinish],Tasks[[#This Row],[_Row]]+Tasks[[#This Row],[_Descendants]])),Tasks[[#This Row],[_ShownFcstFinish]]))</f>
        <v/>
      </c>
      <c r="AG32" s="21" t="str">
        <f aca="false">""</f>
        <v/>
      </c>
      <c r="AH32" s="23"/>
      <c r="AI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2" s="7"/>
      <c r="AK32" s="22"/>
      <c r="AL32" s="23"/>
      <c r="AM32" s="7"/>
      <c r="AN32" s="46" t="str">
        <f aca="false">IF(Tasks[[#This Row],[Task Name]]="","",IF(Tasks[[#This Row],[Finish]]&gt;=Tasks[[#This Row],[Planned Finish]],NETWORKDAYS.INTL(Tasks[[#This Row],[Planned Finish]],Tasks[[#This Row],[Finish]],WorkWeek,Holidays)-1,1-NETWORKDAYS.INTL(Tasks[[#This Row],[Finish]],Tasks[[#This Row],[Planned Finish]],WorkWeek,Holidays)))</f>
        <v/>
      </c>
      <c r="AO32" s="21" t="str">
        <f aca="false">IF(Tasks[[#This Row],[Task Name]]="","",IF(Tasks[[#This Row],[Progress]]&gt;=1,"Complete",IF(OR(N(Tasks[[#This Row],[Actual Start]])&gt;0,Tasks[[#This Row],[Progress]]&gt;0),IF(Tasks[[#This Row],[Finish Var]]&gt;0,"Behind","In Progress"),IF(Tasks[[#This Row],[Planned Start]]&lt;StatusDate,"Late Start","Not Started"))))</f>
        <v/>
      </c>
      <c r="AP32" s="21" t="str">
        <f aca="false">IF(Tasks[[#This Row],[Task Name]]="","",IF(IF(Tasks[[#This Row],[_IsSummary]],COUNTIF(INDEX(Tasks[_LeafCritical],Tasks[[#This Row],[_Row]]+1):INDEX(Tasks[_LeafCritical],Tasks[[#This Row],[_Row]]+Tasks[[#This Row],[_Descendants]]),TRUE())&gt;0,Tasks[[#This Row],[_LeafCritical]]),"Yes",""))</f>
        <v/>
      </c>
      <c r="AQ32" s="62" t="str">
        <f aca="false">IF(Tasks[[#This Row],[Task Name]]="","",IF(N(Tasks[[#This Row],[Baseline Start]])&gt;0,Tasks[[#This Row],[Baseline Start]],Tasks[[#This Row],[_CalcStart]]))</f>
        <v/>
      </c>
      <c r="AR32" s="62" t="str">
        <f aca="false">IF(Tasks[[#This Row],[Task Name]]="","",IF(N(Tasks[[#This Row],[Baseline Finish]])&gt;0,Tasks[[#This Row],[Baseline Finish]],Tasks[[#This Row],[_CalcFinish]]))</f>
        <v/>
      </c>
      <c r="AS32" s="46" t="str">
        <f aca="false">IF(Tasks[[#This Row],[Task Name]]="","",IF(Tasks[[#This Row],[Start]]&gt;=Tasks[[#This Row],[Planned Start]],NETWORKDAYS.INTL(Tasks[[#This Row],[Planned Start]],Tasks[[#This Row],[Start]],WorkWeek,Holidays)-1,1-NETWORKDAYS.INTL(Tasks[[#This Row],[Start]],Tasks[[#This Row],[Planned Start]],WorkWeek,Holidays)))</f>
        <v/>
      </c>
      <c r="AT32" s="62" t="str">
        <f aca="false">IF(Tasks[[#This Row],[Task Name]]="","",IF(Tasks[[#This Row],[_IsSummary]],MIN(INDEX(Tasks[_LeafLateStart],Tasks[[#This Row],[_Row]]+1):INDEX(Tasks[_LeafLateStart],Tasks[[#This Row],[_Row]]+Tasks[[#This Row],[_Descendants]])),Tasks[[#This Row],[_LeafLateStart]]))</f>
        <v/>
      </c>
      <c r="AU32" s="62" t="str">
        <f aca="false">IF(Tasks[[#This Row],[Task Name]]="","",IF(Tasks[[#This Row],[_IsSummary]],MAX(INDEX(Tasks[_LeafLateFinish],Tasks[[#This Row],[_Row]]+1):INDEX(Tasks[_LeafLateFinish],Tasks[[#This Row],[_Row]]+Tasks[[#This Row],[_Descendants]])),Tasks[[#This Row],[_LeafLateFinish]]))</f>
        <v/>
      </c>
      <c r="AV32" s="46" t="str">
        <f aca="false">IF(Tasks[[#This Row],[Task Name]]="","",IF(Tasks[[#This Row],[_IsSummary]],MIN(INDEX(Tasks[_LeafTotalSlack],Tasks[[#This Row],[_Row]]+1):INDEX(Tasks[_LeafTotalSlack],Tasks[[#This Row],[_Row]]+Tasks[[#This Row],[_Descendants]])),Tasks[[#This Row],[_LeafTotalSlack]]))</f>
        <v/>
      </c>
      <c r="AW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4"/>
      <c r="BA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t="str">
        <f aca="false">IF(Tasks[[#This Row],[Task Name]]="","",IF(Tasks[[#This Row],[_Level]]&lt;=OutlineShowLevel,"Yes","No"))</f>
        <v/>
      </c>
      <c r="BE32" s="85" t="str">
        <f aca="false">IF(Tasks[[#This Row],[Task Name]]="","",IF(Tasks[[#This Row],[_IsSummary]],SUM(INDEX(Tasks[_LeafTotalWork],Tasks[[#This Row],[_Row]]+1):INDEX(Tasks[_LeafTotalWork],Tasks[[#This Row],[_Row]]+Tasks[[#This Row],[_Descendants]])),Tasks[[#This Row],[_LeafTotalWork]]))</f>
        <v/>
      </c>
      <c r="BF32" s="23"/>
      <c r="BG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t="str">
        <f aca="false">""</f>
        <v/>
      </c>
      <c r="BI32" s="86"/>
      <c r="BJ32" s="22"/>
      <c r="BK32" s="46" t="str">
        <f aca="false">IF(OR(Tasks[[#This Row],[Task Name]]="",Tasks[[#This Row],[Baseline Duration]]=""),"",Tasks[[#This Row],[_SpanDays]]-N(Tasks[[#This Row],[Baseline Duration]]))</f>
        <v/>
      </c>
      <c r="BL32" s="85" t="str">
        <f aca="false">IF(OR(Tasks[[#This Row],[Task Name]]="",Tasks[[#This Row],[Baseline Work]]=""),"",Tasks[[#This Row],[Work]]-N(Tasks[[#This Row],[Baseline Work]]))</f>
        <v/>
      </c>
      <c r="BM32" s="62" t="str">
        <f aca="false">IF(Tasks[[#This Row],[Task Name]]="","",IF(OR(TakeBaseline="Yes",N(Tasks[[#This Row],[Baseline Start]])=0),Tasks[[#This Row],[Start]],Tasks[[#This Row],[Baseline Start]]))</f>
        <v/>
      </c>
      <c r="BN32" s="62" t="str">
        <f aca="false">IF(Tasks[[#This Row],[Task Name]]="","",IF(OR(TakeBaseline="Yes",N(Tasks[[#This Row],[Baseline Finish]])=0),Tasks[[#This Row],[Finish]],Tasks[[#This Row],[Baseline Finish]]))</f>
        <v/>
      </c>
      <c r="BO32" s="21" t="str">
        <f aca="false">IF(Tasks[[#This Row],[Task Name]]="","",IF(OR(TakeBaseline="Yes",N(Tasks[[#This Row],[Baseline Duration]])=0),Tasks[[#This Row],[_SpanDays]],Tasks[[#This Row],[Baseline Duration]]))</f>
        <v/>
      </c>
      <c r="BP32" s="85" t="str">
        <f aca="false">IF(Tasks[[#This Row],[Task Name]]="","",IF(OR(TakeBaseline="Yes",N(Tasks[[#This Row],[Baseline Work]])=0),Tasks[[#This Row],[Work]],Tasks[[#This Row],[Baseline Work]]))</f>
        <v/>
      </c>
      <c r="BQ32" s="7"/>
      <c r="BR32" s="7"/>
      <c r="BS32" s="22"/>
      <c r="BT32" s="87"/>
      <c r="BU32" s="42" t="str">
        <f aca="false">IF(Tasks[[#This Row],[Task Name]]="","",MAX(1,N(Tasks[[#This Row],[Level]])))</f>
        <v/>
      </c>
      <c r="BV32" s="42" t="n">
        <f aca="false">ROW()-ROW(Tasks[[#Headers],[ID]])</f>
        <v>27</v>
      </c>
      <c r="BW32" s="42" t="n">
        <f aca="false">IF(OR(Tasks[[#This Row],[Task Name]]="",Tasks[[#This Row],[_Level]]&lt;=1),0,IFERROR(LOOKUP(2,1/(Tasks[[#Headers],[_Level]]:Tasks[[#This Row],[_Level]]=Tasks[[#This Row],[_Level]]-1),ROW(Tasks[[#Headers],[_Level]]:Tasks[[#This Row],[_Level]])),0))</f>
        <v>0</v>
      </c>
      <c r="BX32" s="42" t="n">
        <f aca="false">IFERROR(N(INDEX(Tasks[_Level],Tasks[[#This Row],[_Row]]+1)),0)</f>
        <v>0</v>
      </c>
      <c r="BY32" s="88" t="b">
        <f aca="false">AND(Tasks[[#This Row],[Task Name]]&lt;&gt;"",Tasks[[#This Row],[_NextLevel]]&gt;Tasks[[#This Row],[_Level]])</f>
        <v>0</v>
      </c>
      <c r="BZ32" s="42" t="n">
        <f aca="false">IF(Tasks[[#This Row],[_IsSummary]],COUNTIF(Tasks[WBS],Tasks[[#This Row],[WBS]]&amp;".*"),0)</f>
        <v>0</v>
      </c>
      <c r="CA32" s="42" t="n">
        <f aca="false">IF(AND(Tasks[[#This Row],[Task Name]]&lt;&gt;"",NOT(Tasks[[#This Row],[_IsSummary]])),1,0)</f>
        <v>0</v>
      </c>
      <c r="CB32" s="42" t="n">
        <f aca="false">IF(N(Tasks[[#This Row],[_Pred1UID]])=0,0,IFERROR(MATCH(Tasks[[#This Row],[_Pred1UID]],Tasks[UID],0),-1))</f>
        <v>0</v>
      </c>
      <c r="CC32" s="42" t="n">
        <f aca="false">IF(N(Tasks[[#This Row],[_Pred2UID]])=0,0,IFERROR(MATCH(Tasks[[#This Row],[_Pred2UID]],Tasks[UID],0),-1))</f>
        <v>0</v>
      </c>
      <c r="CD32" s="42" t="n">
        <f aca="false">IF(N(Tasks[[#This Row],[_Pred3UID]])=0,0,IFERROR(MATCH(Tasks[[#This Row],[_Pred3UID]],Tasks[UID],0),-1))</f>
        <v>0</v>
      </c>
      <c r="CE32" s="42" t="n">
        <f aca="false">IF(N(Tasks[[#This Row],[_Pred4UID]])=0,0,IFERROR(MATCH(Tasks[[#This Row],[_Pred4UID]],Tasks[UID],0),-1))</f>
        <v>0</v>
      </c>
      <c r="CF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2" s="89" t="n">
        <f aca="false">IF(OR(Tasks[[#This Row],[_ConstraintCode]]=2,Tasks[[#This Row],[_ConstraintCode]]=3,Tasks[[#This Row],[_ConstraintCode]]=4,Tasks[[#This Row],[_ConstraintCode]]=6),Tasks[[#This Row],[_ConstraintStart]],0)</f>
        <v>0</v>
      </c>
      <c r="CI32" s="89" t="n">
        <f aca="false">IF(OR(Tasks[[#This Row],[_ConstraintCode]]=2,Tasks[[#This Row],[_ConstraintCode]]=3,Tasks[[#This Row],[_ConstraintCode]]=5,Tasks[[#This Row],[_ConstraintCode]]=7),Tasks[[#This Row],[_ConstraintStart]],2958465)</f>
        <v>2958465</v>
      </c>
      <c r="CJ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2" s="89" t="str">
        <f aca="false">IF(NOT(Tasks[[#This Row],[_IsLeaf]]=1),"",IF(N(Tasks[[#This Row],[_Days]])&lt;=0,Tasks[[#This Row],[_LeafCalcStart]],WORKDAY.INTL(Tasks[[#This Row],[_LeafCalcStart]],Tasks[[#This Row],[_Days]]-1,WorkWeek,Holidays)))</f>
        <v/>
      </c>
      <c r="CL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2" s="42" t="str">
        <f aca="false">IF(Tasks[[#This Row],[_Predecessors]]="","",TRIM(MID(SUBSTITUTE(SUBSTITUTE(SUBSTITUTE(UPPER(Tasks[[#This Row],[_Predecessors]]),";",",")," ",""),",",REPT(" ",99)),1,99)))</f>
        <v/>
      </c>
      <c r="CO32" s="42" t="str">
        <f aca="false">IF(Tasks[[#This Row],[_Pred1Text]]="","",IFERROR(VALUE(LEFT(Tasks[[#This Row],[_Pred1Text]],MIN(FIND("F",Tasks[[#This Row],[_Pred1Text]]&amp;"F"),FIND("S",Tasks[[#This Row],[_Pred1Text]]&amp;"S"),FIND("+",Tasks[[#This Row],[_Pred1Text]]&amp;"+"),FIND("-",Tasks[[#This Row],[_Pred1Text]]&amp;"-"))-1)),""))</f>
        <v/>
      </c>
      <c r="CP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2" s="42" t="str">
        <f aca="false">IF(Tasks[[#This Row],[_Pred1Text]]="","",TRIM(MID(SUBSTITUTE(SUBSTITUTE(SUBSTITUTE(UPPER(Tasks[[#This Row],[_Predecessors]]),";",",")," ",""),",",REPT(" ",99)),100,99)))</f>
        <v/>
      </c>
      <c r="CS32" s="42" t="str">
        <f aca="false">IF(Tasks[[#This Row],[_Pred2Text]]="","",IFERROR(VALUE(LEFT(Tasks[[#This Row],[_Pred2Text]],MIN(FIND("F",Tasks[[#This Row],[_Pred2Text]]&amp;"F"),FIND("S",Tasks[[#This Row],[_Pred2Text]]&amp;"S"),FIND("+",Tasks[[#This Row],[_Pred2Text]]&amp;"+"),FIND("-",Tasks[[#This Row],[_Pred2Text]]&amp;"-"))-1)),""))</f>
        <v/>
      </c>
      <c r="CT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2" s="42" t="str">
        <f aca="false">IF(Tasks[[#This Row],[_Pred2Text]]="","",TRIM(MID(SUBSTITUTE(SUBSTITUTE(SUBSTITUTE(UPPER(Tasks[[#This Row],[_Predecessors]]),";",",")," ",""),",",REPT(" ",99)),199,99)))</f>
        <v/>
      </c>
      <c r="CW32" s="42" t="str">
        <f aca="false">IF(Tasks[[#This Row],[_Pred3Text]]="","",IFERROR(VALUE(LEFT(Tasks[[#This Row],[_Pred3Text]],MIN(FIND("F",Tasks[[#This Row],[_Pred3Text]]&amp;"F"),FIND("S",Tasks[[#This Row],[_Pred3Text]]&amp;"S"),FIND("+",Tasks[[#This Row],[_Pred3Text]]&amp;"+"),FIND("-",Tasks[[#This Row],[_Pred3Text]]&amp;"-"))-1)),""))</f>
        <v/>
      </c>
      <c r="CX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2" s="42" t="str">
        <f aca="false">IF(Tasks[[#This Row],[_Pred3Text]]="","",TRIM(MID(SUBSTITUTE(SUBSTITUTE(SUBSTITUTE(UPPER(Tasks[[#This Row],[_Predecessors]]),";",",")," ",""),",",REPT(" ",99)),298,99)))</f>
        <v/>
      </c>
      <c r="DA32" s="42" t="str">
        <f aca="false">IF(Tasks[[#This Row],[_Pred4Text]]="","",IFERROR(VALUE(LEFT(Tasks[[#This Row],[_Pred4Text]],MIN(FIND("F",Tasks[[#This Row],[_Pred4Text]]&amp;"F"),FIND("S",Tasks[[#This Row],[_Pred4Text]]&amp;"S"),FIND("+",Tasks[[#This Row],[_Pred4Text]]&amp;"+"),FIND("-",Tasks[[#This Row],[_Pred4Text]]&amp;"-"))-1)),""))</f>
        <v/>
      </c>
      <c r="DB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2" s="42" t="str">
        <f aca="false">IF(OR(Tasks[[#This Row],[Task Name]]="",Tasks[[#This Row],[_Resources]]=""),"",TRIM(MID(SUBSTITUTE(Tasks[[#This Row],[_Resources]],",",REPT(" ",99)),1,99)))</f>
        <v/>
      </c>
      <c r="DE32" s="42" t="str">
        <f aca="false">IF(Tasks[[#This Row],[_Res1Text]]="","",TRIM(MID(SUBSTITUTE(Tasks[[#This Row],[_Resources]],",",REPT(" ",99)),100,99)))</f>
        <v/>
      </c>
      <c r="DF32" s="42" t="str">
        <f aca="false">IF(Tasks[[#This Row],[_Res2Text]]="","",TRIM(MID(SUBSTITUTE(Tasks[[#This Row],[_Resources]],",",REPT(" ",99)),199,99)))</f>
        <v/>
      </c>
      <c r="DG32" s="42" t="str">
        <f aca="false">IF(Tasks[[#This Row],[_Res3Text]]="","",TRIM(MID(SUBSTITUTE(Tasks[[#This Row],[_Resources]],",",REPT(" ",99)),298,99)))</f>
        <v/>
      </c>
      <c r="DH32" s="42" t="n">
        <f aca="false">IF(Tasks[[#This Row],[_Res1Text]]="",0,IFERROR(MATCH(TRIM(LEFT(Tasks[[#This Row],[_Res1Text]],FIND("[",Tasks[[#This Row],[_Res1Text]]&amp;"[")-1)),res_Name,0),IFERROR(MATCH(TRIM(LEFT(Tasks[[#This Row],[_Res1Text]],FIND("[",Tasks[[#This Row],[_Res1Text]]&amp;"[")-1)),res_Initials,0),0)))</f>
        <v>0</v>
      </c>
      <c r="DI32" s="42" t="n">
        <f aca="false">IF(Tasks[[#This Row],[_Res2Text]]="",0,IFERROR(MATCH(TRIM(LEFT(Tasks[[#This Row],[_Res2Text]],FIND("[",Tasks[[#This Row],[_Res2Text]]&amp;"[")-1)),res_Name,0),IFERROR(MATCH(TRIM(LEFT(Tasks[[#This Row],[_Res2Text]],FIND("[",Tasks[[#This Row],[_Res2Text]]&amp;"[")-1)),res_Initials,0),0)))</f>
        <v>0</v>
      </c>
      <c r="DJ32" s="42" t="n">
        <f aca="false">IF(Tasks[[#This Row],[_Res3Text]]="",0,IFERROR(MATCH(TRIM(LEFT(Tasks[[#This Row],[_Res3Text]],FIND("[",Tasks[[#This Row],[_Res3Text]]&amp;"[")-1)),res_Name,0),IFERROR(MATCH(TRIM(LEFT(Tasks[[#This Row],[_Res3Text]],FIND("[",Tasks[[#This Row],[_Res3Text]]&amp;"[")-1)),res_Initials,0),0)))</f>
        <v>0</v>
      </c>
      <c r="DK32" s="42" t="n">
        <f aca="false">IF(Tasks[[#This Row],[_Res4Text]]="",0,IFERROR(MATCH(TRIM(LEFT(Tasks[[#This Row],[_Res4Text]],FIND("[",Tasks[[#This Row],[_Res4Text]]&amp;"[")-1)),res_Name,0),IFERROR(MATCH(TRIM(LEFT(Tasks[[#This Row],[_Res4Text]],FIND("[",Tasks[[#This Row],[_Res4Text]]&amp;"[")-1)),res_Initials,0),0)))</f>
        <v>0</v>
      </c>
      <c r="DL32" s="42" t="str">
        <f aca="false">IF(Tasks[[#This Row],[_Res1Text]]="","",IF(Tasks[[#This Row],[_Res1Row]]&gt;0,INDEX(res_Name,Tasks[[#This Row],[_Res1Row]]),TRIM(LEFT(Tasks[[#This Row],[_Res1Text]],FIND("[",Tasks[[#This Row],[_Res1Text]]&amp;"[")-1))))</f>
        <v/>
      </c>
      <c r="DM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2" s="42" t="n">
        <f aca="false">IF(NOT(Tasks[[#This Row],[_IsLeaf]]=1),0,(Tasks[[#This Row],[_Resource1]]&lt;&gt;"")+(Tasks[[#This Row],[_Res2]]&lt;&gt;"")+(Tasks[[#This Row],[_Res3]]&lt;&gt;"")+(Tasks[[#This Row],[_Res4]]&lt;&gt;""))</f>
        <v>0</v>
      </c>
      <c r="DO32" s="42" t="str">
        <f aca="false">IF(Tasks[[#This Row],[_Res2Text]]="","",IF(Tasks[[#This Row],[_Res2Row]]&gt;0,INDEX(res_Name,Tasks[[#This Row],[_Res2Row]]),TRIM(LEFT(Tasks[[#This Row],[_Res2Text]],FIND("[",Tasks[[#This Row],[_Res2Text]]&amp;"[")-1))))</f>
        <v/>
      </c>
      <c r="DP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2" s="42" t="n">
        <f aca="false">IF(OR(NOT(Tasks[[#This Row],[_IsLeaf]]=1),Tasks[[#This Row],[_Res2Row]]=0),0,N(Tasks[[#This Row],[_Days]])*HoursPerDay*IF(Tasks[[#This Row],[_Res2Units]]="",DefaultUnits,Tasks[[#This Row],[_Res2Units]]))</f>
        <v>0</v>
      </c>
      <c r="DR32" s="42" t="n">
        <f aca="false">IF(AND(AND(Tasks[[#This Row],[_IsLeaf]]=1,Tasks[[#This Row],[_LeafTotalWork]]&gt;0),Tasks[[#This Row],[_Res2Work]]&gt;0),Tasks[[#This Row],[_Res2Work]]/(Tasks[[#This Row],[_FinishWorkday]]-Tasks[[#This Row],[_StartWorkday]]+1),0)</f>
        <v>0</v>
      </c>
      <c r="DS32" s="42" t="n">
        <f aca="false">Tasks[[#This Row],[_Res2WorkPerWD]]*MAX(0,Tasks[[#This Row],[_StartWorkday]]-1)</f>
        <v>0</v>
      </c>
      <c r="DT32" s="42" t="n">
        <f aca="false">Tasks[[#This Row],[_Res2Work]]*Tasks[[#This Row],[_LeafProgress]]</f>
        <v>0</v>
      </c>
      <c r="DU32" s="42" t="str">
        <f aca="false">IF(Tasks[[#This Row],[_Res3Text]]="","",IF(Tasks[[#This Row],[_Res3Row]]&gt;0,INDEX(res_Name,Tasks[[#This Row],[_Res3Row]]),TRIM(LEFT(Tasks[[#This Row],[_Res3Text]],FIND("[",Tasks[[#This Row],[_Res3Text]]&amp;"[")-1))))</f>
        <v/>
      </c>
      <c r="DV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2" s="42" t="n">
        <f aca="false">IF(OR(NOT(Tasks[[#This Row],[_IsLeaf]]=1),Tasks[[#This Row],[_Res3Row]]=0),0,N(Tasks[[#This Row],[_Days]])*HoursPerDay*IF(Tasks[[#This Row],[_Res3Units]]="",DefaultUnits,Tasks[[#This Row],[_Res3Units]]))</f>
        <v>0</v>
      </c>
      <c r="DX32" s="42" t="n">
        <f aca="false">IF(AND(AND(Tasks[[#This Row],[_IsLeaf]]=1,Tasks[[#This Row],[_LeafTotalWork]]&gt;0),Tasks[[#This Row],[_Res3Work]]&gt;0),Tasks[[#This Row],[_Res3Work]]/(Tasks[[#This Row],[_FinishWorkday]]-Tasks[[#This Row],[_StartWorkday]]+1),0)</f>
        <v>0</v>
      </c>
      <c r="DY32" s="42" t="n">
        <f aca="false">Tasks[[#This Row],[_Res3WorkPerWD]]*MAX(0,Tasks[[#This Row],[_StartWorkday]]-1)</f>
        <v>0</v>
      </c>
      <c r="DZ32" s="42" t="n">
        <f aca="false">Tasks[[#This Row],[_Res3Work]]*Tasks[[#This Row],[_LeafProgress]]</f>
        <v>0</v>
      </c>
      <c r="EA32" s="42" t="str">
        <f aca="false">IF(Tasks[[#This Row],[_Res4Text]]="","",IF(Tasks[[#This Row],[_Res4Row]]&gt;0,INDEX(res_Name,Tasks[[#This Row],[_Res4Row]]),TRIM(LEFT(Tasks[[#This Row],[_Res4Text]],FIND("[",Tasks[[#This Row],[_Res4Text]]&amp;"[")-1))))</f>
        <v/>
      </c>
      <c r="EB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2" s="42" t="n">
        <f aca="false">IF(OR(NOT(Tasks[[#This Row],[_IsLeaf]]=1),Tasks[[#This Row],[_Res4Row]]=0),0,N(Tasks[[#This Row],[_Days]])*HoursPerDay*IF(Tasks[[#This Row],[_Res4Units]]="",DefaultUnits,Tasks[[#This Row],[_Res4Units]]))</f>
        <v>0</v>
      </c>
      <c r="ED32" s="42" t="n">
        <f aca="false">IF(AND(AND(Tasks[[#This Row],[_IsLeaf]]=1,Tasks[[#This Row],[_LeafTotalWork]]&gt;0),Tasks[[#This Row],[_Res4Work]]&gt;0),Tasks[[#This Row],[_Res4Work]]/(Tasks[[#This Row],[_FinishWorkday]]-Tasks[[#This Row],[_StartWorkday]]+1),0)</f>
        <v>0</v>
      </c>
      <c r="EE32" s="42" t="n">
        <f aca="false">Tasks[[#This Row],[_Res4WorkPerWD]]*MAX(0,Tasks[[#This Row],[_StartWorkday]]-1)</f>
        <v>0</v>
      </c>
      <c r="EF32" s="42" t="n">
        <f aca="false">Tasks[[#This Row],[_Res4Work]]*Tasks[[#This Row],[_LeafProgress]]</f>
        <v>0</v>
      </c>
      <c r="EG32" s="42" t="n">
        <f aca="false">IF(ISNUMBER(Tasks[[#This Row],[% Complete]]),Tasks[[#This Row],[% Complete]],IF(Tasks[[#This Row],[Stage]]="",0,IFERROR(INDEX(stg_Pct,MATCH(Tasks[[#This Row],[Stage]],stg_Name,0)),0)))</f>
        <v>0</v>
      </c>
      <c r="EH32" s="42" t="n">
        <f aca="false">IF(NOT(Tasks[[#This Row],[_IsLeaf]]=1),0,IF(N(Tasks[[#This Row],[Actual Finish]])&gt;0,1,MIN(1,Tasks[[#This Row],[_Pct]])))</f>
        <v>0</v>
      </c>
      <c r="EI32" s="42" t="n">
        <f aca="false">IF(OR(NOT(Tasks[[#This Row],[_IsLeaf]]=1),Tasks[[#This Row],[_Res1Row]]=0),0,N(Tasks[[#This Row],[_Days]])*HoursPerDay*IF(Tasks[[#This Row],[_Units1]]="",DefaultUnits,Tasks[[#This Row],[_Units1]]))</f>
        <v>0</v>
      </c>
      <c r="EJ32" s="42" t="n">
        <f aca="false">Tasks[[#This Row],[_LeafWork]]+Tasks[[#This Row],[_Res2Work]]+Tasks[[#This Row],[_Res3Work]]+Tasks[[#This Row],[_Res4Work]]</f>
        <v>0</v>
      </c>
      <c r="EK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2" s="42" t="n">
        <f aca="false">IF(NOT(Tasks[[#This Row],[_IsLeaf]]=1),0,MAX(_xlfn.MAXIFS(Tasks[_Row],Tasks[_Pred1UID],Tasks[[#This Row],[UID]]),_xlfn.MAXIFS(Tasks[_Row],Tasks[_Pred2UID],Tasks[[#This Row],[UID]]),_xlfn.MAXIFS(Tasks[_Row],Tasks[_Pred3UID],Tasks[[#This Row],[UID]]),_xlfn.MAXIFS(Tasks[_Row],Tasks[_Pred4UID],Tasks[[#This Row],[UID]])))</f>
        <v>0</v>
      </c>
      <c r="ET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2" s="89" t="str">
        <f aca="false">IF(NOT(Tasks[[#This Row],[_IsLeaf]]=1),"",IF(N(Tasks[[#This Row],[_Days]])&lt;=0,Tasks[[#This Row],[_LeafLateFinish]],WORKDAY.INTL(Tasks[[#This Row],[_LeafLateFinish]],-(Tasks[[#This Row],[_Days]]-1),WorkWeek,Holidays)))</f>
        <v/>
      </c>
      <c r="EW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2" s="88" t="b">
        <f aca="false">AND(Tasks[[#This Row],[_IsLeaf]]=1,Tasks[[#This Row],[_LeafProgress]]&lt;1,N(Tasks[[#This Row],[_LeafTotalSlack]])&lt;=CriticalSlackDays)</f>
        <v>0</v>
      </c>
      <c r="EY32" s="42" t="n">
        <f aca="false">IF(AND(Tasks[[#This Row],[_IsLeaf]]=1,Tasks[[#This Row],[_ConstraintCode]]=1,Tasks[[#This Row],[Mode]]&lt;&gt;"Manual",N(Tasks[[#This Row],[Actual Start]])=0),MAX(0,N(Tasks[[#This Row],[Free Slack]])),0)</f>
        <v>0</v>
      </c>
      <c r="EZ32" s="89" t="str">
        <f aca="false">IF(NOT(Tasks[[#This Row],[_IsLeaf]]=1),"",IF(Tasks[[#This Row],[_AlapShift]]=0,Tasks[[#This Row],[_LeafCalcStart]],WORKDAY.INTL(Tasks[[#This Row],[_LeafCalcStart]],Tasks[[#This Row],[_AlapShift]],WorkWeek,Holidays)))</f>
        <v/>
      </c>
      <c r="FA32" s="89" t="str">
        <f aca="false">IF(NOT(Tasks[[#This Row],[_IsLeaf]]=1),"",IF(Tasks[[#This Row],[_AlapShift]]=0,Tasks[[#This Row],[_LeafCalcFinish]],WORKDAY.INTL(Tasks[[#This Row],[_LeafCalcFinish]],Tasks[[#This Row],[_AlapShift]],WorkWeek,Holidays)))</f>
        <v/>
      </c>
      <c r="FB32" s="89" t="str">
        <f aca="false">IF(NOT(Tasks[[#This Row],[_IsLeaf]]=1),"",IF(Tasks[[#This Row],[_AlapShift]]=0,Tasks[[#This Row],[_LeafFcstStart]],WORKDAY.INTL(Tasks[[#This Row],[_LeafFcstStart]],Tasks[[#This Row],[_AlapShift]],WorkWeek,Holidays)))</f>
        <v/>
      </c>
      <c r="FC32" s="89" t="str">
        <f aca="false">IF(NOT(Tasks[[#This Row],[_IsLeaf]]=1),"",IF(Tasks[[#This Row],[_AlapShift]]=0,Tasks[[#This Row],[_LeafFcstFinish]],WORKDAY.INTL(Tasks[[#This Row],[_LeafFcstFinish]],Tasks[[#This Row],[_AlapShift]],WorkWeek,Holidays)))</f>
        <v/>
      </c>
      <c r="FD32" s="89" t="str">
        <f aca="false">IF(Tasks[[#This Row],[Task Name]]="","",IF(Tasks[[#This Row],[_IsSummary]],MIN(INDEX(Tasks[_ShownCalcStart],Tasks[[#This Row],[_Row]]+1):INDEX(Tasks[_ShownCalcStart],Tasks[[#This Row],[_Row]]+Tasks[[#This Row],[_Descendants]])),Tasks[[#This Row],[_ShownCalcStart]]))</f>
        <v/>
      </c>
      <c r="FE32" s="89" t="str">
        <f aca="false">IF(Tasks[[#This Row],[Task Name]]="","",IF(Tasks[[#This Row],[_IsSummary]],MAX(INDEX(Tasks[_ShownCalcFinish],Tasks[[#This Row],[_Row]]+1):INDEX(Tasks[_ShownCalcFinish],Tasks[[#This Row],[_Row]]+Tasks[[#This Row],[_Descendants]])),Tasks[[#This Row],[_ShownCalcFinish]]))</f>
        <v/>
      </c>
      <c r="FF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2" s="42" t="n">
        <f aca="false">IF(AND(Tasks[[#This Row],[_IsLeaf]]=1,Tasks[[#This Row],[_LeafTotalWork]]&gt;0),NETWORKDAYS.INTL(ProjectStart,Tasks[[#This Row],[_ShownFcstStart]],WorkWeek,Holidays),0)</f>
        <v>0</v>
      </c>
      <c r="FS32" s="42" t="n">
        <f aca="false">IF(AND(Tasks[[#This Row],[_IsLeaf]]=1,Tasks[[#This Row],[_LeafTotalWork]]&gt;0),MAX(Tasks[[#This Row],[_StartWorkday]],NETWORKDAYS.INTL(ProjectStart,Tasks[[#This Row],[_ShownFcstFinish]],WorkWeek,Holidays)),0)</f>
        <v>0</v>
      </c>
      <c r="FT32" s="42" t="n">
        <f aca="false">IF(AND(Tasks[[#This Row],[_IsLeaf]]=1,Tasks[[#This Row],[_LeafTotalWork]]&gt;0),Tasks[[#This Row],[_LeafWork]]/(Tasks[[#This Row],[_FinishWorkday]]-Tasks[[#This Row],[_StartWorkday]]+1),0)</f>
        <v>0</v>
      </c>
      <c r="FU32" s="42" t="n">
        <f aca="false">Tasks[[#This Row],[_WorkPerWorkday]]*(Tasks[[#This Row],[_StartWorkday]]-1)</f>
        <v>-0</v>
      </c>
      <c r="FV32" s="42" t="n">
        <f aca="false">IF(Tasks[[#This Row],[_IsLeaf]]=1,MAX(N(Tasks[[#This Row],[_Days]]),0.1),0)</f>
        <v>0</v>
      </c>
      <c r="FW32" s="42" t="n">
        <f aca="false">Tasks[[#This Row],[_WeightDur]]*Tasks[[#This Row],[_LeafProgress]]</f>
        <v>0</v>
      </c>
      <c r="FX32" s="42" t="n">
        <f aca="false">Tasks[[#This Row],[_WeightDur]]*Tasks[[#This Row],[_PlannedPct]]</f>
        <v>0</v>
      </c>
      <c r="FY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2" s="42" t="str">
        <f aca="false">IF(AND(Tasks[[#This Row],[_IsLeaf]]=1,N(Tasks[[#This Row],[_Days]])=0,Tasks[[#This Row],[_LeafProgress]]&lt;1),Tasks[[#This Row],[_ShownFcstFinish]]+Tasks[[#This Row],[_Row]]/100000,"")</f>
        <v/>
      </c>
      <c r="GA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2" s="42" t="str">
        <f aca="false">IF(Tasks[[#This Row],[Task Name]]="","",LEFT(Tasks[[#This Row],[WBS]],FIND(".",Tasks[[#This Row],[WBS]]&amp;".")-1))</f>
        <v/>
      </c>
      <c r="GC32" s="42" t="str">
        <f aca="false">IF(AND(Tasks[[#This Row],[Task Name]]&lt;&gt;"",Tasks[[#This Row],[_Level]]=1),Tasks[[#This Row],[_Row]],"")</f>
        <v/>
      </c>
      <c r="GD32" s="42" t="str">
        <f aca="false">IF(AND(Tasks[[#This Row],[_IsLeaf]]=1,N(Tasks[[#This Row],[_Days]])=0),Tasks[[#This Row],[Planned Finish]]+Tasks[[#This Row],[_Row]]/100000,"")</f>
        <v/>
      </c>
      <c r="GE32" s="42" t="str">
        <f aca="false">IF(AND(Tasks[[#This Row],[_IsLeaf]]=1,Tasks[[#This Row],[_LeafProgress]]&lt;1,OR(N(Tasks[[#This Row],[Finish Var]])&gt;0,Tasks[[#This Row],[Status]]="Late Start")),MAX(0,Tasks[[#This Row],[Finish Var]])+1-Tasks[[#This Row],[_Row]]/1000000,"")</f>
        <v/>
      </c>
      <c r="GF32" s="42" t="str">
        <f aca="false">IF(AND(Tasks[[#This Row],[_IsLeaf]]=1,N(Tasks[[#This Row],[Actual Start]])=0,Tasks[[#This Row],[_ShownFcstStart]]&gt;=StatusDate,Tasks[[#This Row],[_ShownFcstStart]]&lt;=LookaheadEnd),Tasks[[#This Row],[_ShownFcstStart]]+Tasks[[#This Row],[_Row]]/100000,"")</f>
        <v/>
      </c>
      <c r="GG32" s="42" t="str">
        <f aca="false">IF(AND(Tasks[[#This Row],[_IsLeaf]]=1,Tasks[[#This Row],[_LeafProgress]]&lt;1,Tasks[[#This Row],[_ShownFcstFinish]]&gt;=StatusDate,Tasks[[#This Row],[_ShownFcstFinish]]&lt;=LookaheadEnd),Tasks[[#This Row],[_ShownFcstFinish]]+Tasks[[#This Row],[_Row]]/100000,"")</f>
        <v/>
      </c>
      <c r="GH32" s="42" t="str">
        <f aca="false">IF(Tasks[[#This Row],[_LeafCritical]],Tasks[[#This Row],[_ShownFcstStart]]+Tasks[[#This Row],[_Row]]/100000,"")</f>
        <v/>
      </c>
      <c r="GI32" s="42" t="n">
        <f aca="false">Tasks[[#This Row],[_LeafWork]]*Tasks[[#This Row],[_LeafProgress]]</f>
        <v>0</v>
      </c>
      <c r="GJ32" s="89" t="str">
        <f aca="false">IF(AND(Tasks[[#This Row],[_IsLeaf]]=1,Tasks[[#This Row],[_LeafProgress]]&gt;=1),IF(N(Tasks[[#This Row],[Actual Finish]])&gt;0,Tasks[[#This Row],[Actual Finish]],Tasks[[#This Row],[_ShownFcstFinish]]),"")</f>
        <v/>
      </c>
      <c r="GK32" s="42" t="n">
        <f aca="false">IF(Tasks[[#This Row],[_IsLeaf]]=1,N(Tasks[[#This Row],[Story Points]]),0)</f>
        <v>0</v>
      </c>
      <c r="GL32" s="42" t="str">
        <f aca="false">""</f>
        <v/>
      </c>
      <c r="GM32" s="88" t="b">
        <f aca="false">IF(Tasks[[#This Row],[Task Name]]="",FALSE(),AND(Tasks[[#This Row],[_IsLeaf]]=1,N(Tasks[[#This Row],[_Days]])=0))</f>
        <v>0</v>
      </c>
      <c r="GN32" s="89" t="n">
        <f aca="false">IF(Tasks[[#This Row],[Task Name]]="",0,IF(AND(Tasks[[#This Row],[_IsLeaf]]=1,NOT(Tasks[[#This Row],[_IsMilestone]]),N(Tasks[[#This Row],[Progress]])&gt;0),Tasks[[#This Row],[Start]],0))</f>
        <v>0</v>
      </c>
      <c r="GO32" s="89" t="n">
        <f aca="false">IF(Tasks[[#This Row],[_DoneFrom]]=0,0,IF(Tasks[[#This Row],[Progress]]&gt;=1,Tasks[[#This Row],[Finish]],MAX(Tasks[[#This Row],[_DoneFrom]],Tasks[[#This Row],[Start]]+ROUND((Tasks[[#This Row],[Finish]]-Tasks[[#This Row],[Start]]+1)*Tasks[[#This Row],[Progress]],0)-1)))</f>
        <v>0</v>
      </c>
      <c r="GP32" s="89" t="n">
        <f aca="false">IF(Tasks[[#This Row],[Task Name]]="",0,IF(OR(NOT(Tasks[[#This Row],[_IsLeaf]]=1),Tasks[[#This Row],[_IsMilestone]],N(Tasks[[#This Row],[Progress]])&gt;=1),0,IF(Tasks[[#This Row],[_DoneTo]]&gt;0,Tasks[[#This Row],[_DoneTo]]+1,Tasks[[#This Row],[Start]])))</f>
        <v>0</v>
      </c>
      <c r="GQ32" s="89" t="n">
        <f aca="false">IF(Tasks[[#This Row],[_RemFrom]]=0,0,Tasks[[#This Row],[Finish]])</f>
        <v>0</v>
      </c>
      <c r="GR32" s="88" t="b">
        <f aca="false">IF(Tasks[[#This Row],[Task Name]]="",FALSE(),OR(NOT(BaselineSet),N(Tasks[[#This Row],[Baseline Start]])&gt;0))</f>
        <v>0</v>
      </c>
      <c r="GS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2" s="90" t="str">
        <f aca="false">IF(Tasks[[#This Row],[_IsLeaf]]=1,Tasks[[#This Row],[_Row]],"")</f>
        <v/>
      </c>
      <c r="GW32" s="90" t="str">
        <f aca="false">IFERROR(INDEX(Tasks[UID],SMALL(Tasks[_PickKey],Tasks[[#This Row],[_Row]]))&amp;" "&amp;INDEX(Tasks[Task Name],SMALL(Tasks[_PickKey],Tasks[[#This Row],[_Row]])),"")</f>
        <v/>
      </c>
      <c r="GX32" s="42" t="str">
        <f aca="false">IF(Tasks[[#This Row],[Task Name]]="","",IF(Tasks[[#This Row],[_IsSummary]],NETWORKDAYS.INTL(Tasks[[#This Row],[Start]],Tasks[[#This Row],[Finish]],WorkWeek,Holidays),N(Tasks[[#This Row],[_Days]])))</f>
        <v/>
      </c>
    </row>
    <row r="33" customFormat="false" ht="15" hidden="false" customHeight="false" outlineLevel="0" collapsed="false">
      <c r="A33" s="21" t="str">
        <f aca="false">IF(Tasks[[#This Row],[Task Name]]="","",COUNTA(Tasks[[#Headers],[Task Name]]:Tasks[[#This Row],[Task Name]])-1)</f>
        <v/>
      </c>
      <c r="B33" s="22" t="n">
        <v>41</v>
      </c>
      <c r="C33" s="22"/>
      <c r="D33" s="23"/>
      <c r="E33" s="22"/>
      <c r="F33" s="23"/>
      <c r="G33" s="22"/>
      <c r="H33" s="22"/>
      <c r="I33" s="23"/>
      <c r="J33" s="22"/>
      <c r="K33" s="22"/>
      <c r="L33" s="23"/>
      <c r="M33" s="22"/>
      <c r="N33" s="22"/>
      <c r="O33" s="23"/>
      <c r="P33" s="22"/>
      <c r="Q33" s="22"/>
      <c r="R33" s="23"/>
      <c r="S33" s="23"/>
      <c r="T33" s="83"/>
      <c r="U33" s="23"/>
      <c r="V33" s="83"/>
      <c r="W33" s="23"/>
      <c r="X33" s="83"/>
      <c r="Y33" s="23"/>
      <c r="Z33" s="83"/>
      <c r="AA33" s="23"/>
      <c r="AB33" s="23"/>
      <c r="AC33" s="7"/>
      <c r="AD33" s="7"/>
      <c r="AE33" s="62" t="str">
        <f aca="false">IF(Tasks[[#This Row],[Task Name]]="","",IF(Tasks[[#This Row],[_IsSummary]],MIN(INDEX(Tasks[_ShownFcstStart],Tasks[[#This Row],[_Row]]+1):INDEX(Tasks[_ShownFcstStart],Tasks[[#This Row],[_Row]]+Tasks[[#This Row],[_Descendants]])),Tasks[[#This Row],[_ShownFcstStart]]))</f>
        <v/>
      </c>
      <c r="AF33" s="62" t="str">
        <f aca="false">IF(Tasks[[#This Row],[Task Name]]="","",IF(Tasks[[#This Row],[_IsSummary]],MAX(INDEX(Tasks[_ShownFcstFinish],Tasks[[#This Row],[_Row]]+1):INDEX(Tasks[_ShownFcstFinish],Tasks[[#This Row],[_Row]]+Tasks[[#This Row],[_Descendants]])),Tasks[[#This Row],[_ShownFcstFinish]]))</f>
        <v/>
      </c>
      <c r="AG33" s="21" t="str">
        <f aca="false">""</f>
        <v/>
      </c>
      <c r="AH33" s="23"/>
      <c r="AI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3" s="7"/>
      <c r="AK33" s="22"/>
      <c r="AL33" s="23"/>
      <c r="AM33" s="7"/>
      <c r="AN33" s="46" t="str">
        <f aca="false">IF(Tasks[[#This Row],[Task Name]]="","",IF(Tasks[[#This Row],[Finish]]&gt;=Tasks[[#This Row],[Planned Finish]],NETWORKDAYS.INTL(Tasks[[#This Row],[Planned Finish]],Tasks[[#This Row],[Finish]],WorkWeek,Holidays)-1,1-NETWORKDAYS.INTL(Tasks[[#This Row],[Finish]],Tasks[[#This Row],[Planned Finish]],WorkWeek,Holidays)))</f>
        <v/>
      </c>
      <c r="AO33" s="21" t="str">
        <f aca="false">IF(Tasks[[#This Row],[Task Name]]="","",IF(Tasks[[#This Row],[Progress]]&gt;=1,"Complete",IF(OR(N(Tasks[[#This Row],[Actual Start]])&gt;0,Tasks[[#This Row],[Progress]]&gt;0),IF(Tasks[[#This Row],[Finish Var]]&gt;0,"Behind","In Progress"),IF(Tasks[[#This Row],[Planned Start]]&lt;StatusDate,"Late Start","Not Started"))))</f>
        <v/>
      </c>
      <c r="AP33" s="21" t="str">
        <f aca="false">IF(Tasks[[#This Row],[Task Name]]="","",IF(IF(Tasks[[#This Row],[_IsSummary]],COUNTIF(INDEX(Tasks[_LeafCritical],Tasks[[#This Row],[_Row]]+1):INDEX(Tasks[_LeafCritical],Tasks[[#This Row],[_Row]]+Tasks[[#This Row],[_Descendants]]),TRUE())&gt;0,Tasks[[#This Row],[_LeafCritical]]),"Yes",""))</f>
        <v/>
      </c>
      <c r="AQ33" s="62" t="str">
        <f aca="false">IF(Tasks[[#This Row],[Task Name]]="","",IF(N(Tasks[[#This Row],[Baseline Start]])&gt;0,Tasks[[#This Row],[Baseline Start]],Tasks[[#This Row],[_CalcStart]]))</f>
        <v/>
      </c>
      <c r="AR33" s="62" t="str">
        <f aca="false">IF(Tasks[[#This Row],[Task Name]]="","",IF(N(Tasks[[#This Row],[Baseline Finish]])&gt;0,Tasks[[#This Row],[Baseline Finish]],Tasks[[#This Row],[_CalcFinish]]))</f>
        <v/>
      </c>
      <c r="AS33" s="46" t="str">
        <f aca="false">IF(Tasks[[#This Row],[Task Name]]="","",IF(Tasks[[#This Row],[Start]]&gt;=Tasks[[#This Row],[Planned Start]],NETWORKDAYS.INTL(Tasks[[#This Row],[Planned Start]],Tasks[[#This Row],[Start]],WorkWeek,Holidays)-1,1-NETWORKDAYS.INTL(Tasks[[#This Row],[Start]],Tasks[[#This Row],[Planned Start]],WorkWeek,Holidays)))</f>
        <v/>
      </c>
      <c r="AT33" s="62" t="str">
        <f aca="false">IF(Tasks[[#This Row],[Task Name]]="","",IF(Tasks[[#This Row],[_IsSummary]],MIN(INDEX(Tasks[_LeafLateStart],Tasks[[#This Row],[_Row]]+1):INDEX(Tasks[_LeafLateStart],Tasks[[#This Row],[_Row]]+Tasks[[#This Row],[_Descendants]])),Tasks[[#This Row],[_LeafLateStart]]))</f>
        <v/>
      </c>
      <c r="AU33" s="62" t="str">
        <f aca="false">IF(Tasks[[#This Row],[Task Name]]="","",IF(Tasks[[#This Row],[_IsSummary]],MAX(INDEX(Tasks[_LeafLateFinish],Tasks[[#This Row],[_Row]]+1):INDEX(Tasks[_LeafLateFinish],Tasks[[#This Row],[_Row]]+Tasks[[#This Row],[_Descendants]])),Tasks[[#This Row],[_LeafLateFinish]]))</f>
        <v/>
      </c>
      <c r="AV33" s="46" t="str">
        <f aca="false">IF(Tasks[[#This Row],[Task Name]]="","",IF(Tasks[[#This Row],[_IsSummary]],MIN(INDEX(Tasks[_LeafTotalSlack],Tasks[[#This Row],[_Row]]+1):INDEX(Tasks[_LeafTotalSlack],Tasks[[#This Row],[_Row]]+Tasks[[#This Row],[_Descendants]])),Tasks[[#This Row],[_LeafTotalSlack]]))</f>
        <v/>
      </c>
      <c r="AW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4"/>
      <c r="BA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t="str">
        <f aca="false">IF(Tasks[[#This Row],[Task Name]]="","",IF(Tasks[[#This Row],[_Level]]&lt;=OutlineShowLevel,"Yes","No"))</f>
        <v/>
      </c>
      <c r="BE33" s="85" t="str">
        <f aca="false">IF(Tasks[[#This Row],[Task Name]]="","",IF(Tasks[[#This Row],[_IsSummary]],SUM(INDEX(Tasks[_LeafTotalWork],Tasks[[#This Row],[_Row]]+1):INDEX(Tasks[_LeafTotalWork],Tasks[[#This Row],[_Row]]+Tasks[[#This Row],[_Descendants]])),Tasks[[#This Row],[_LeafTotalWork]]))</f>
        <v/>
      </c>
      <c r="BF33" s="23"/>
      <c r="BG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t="str">
        <f aca="false">""</f>
        <v/>
      </c>
      <c r="BI33" s="86"/>
      <c r="BJ33" s="22"/>
      <c r="BK33" s="46" t="str">
        <f aca="false">IF(OR(Tasks[[#This Row],[Task Name]]="",Tasks[[#This Row],[Baseline Duration]]=""),"",Tasks[[#This Row],[_SpanDays]]-N(Tasks[[#This Row],[Baseline Duration]]))</f>
        <v/>
      </c>
      <c r="BL33" s="85" t="str">
        <f aca="false">IF(OR(Tasks[[#This Row],[Task Name]]="",Tasks[[#This Row],[Baseline Work]]=""),"",Tasks[[#This Row],[Work]]-N(Tasks[[#This Row],[Baseline Work]]))</f>
        <v/>
      </c>
      <c r="BM33" s="62" t="str">
        <f aca="false">IF(Tasks[[#This Row],[Task Name]]="","",IF(OR(TakeBaseline="Yes",N(Tasks[[#This Row],[Baseline Start]])=0),Tasks[[#This Row],[Start]],Tasks[[#This Row],[Baseline Start]]))</f>
        <v/>
      </c>
      <c r="BN33" s="62" t="str">
        <f aca="false">IF(Tasks[[#This Row],[Task Name]]="","",IF(OR(TakeBaseline="Yes",N(Tasks[[#This Row],[Baseline Finish]])=0),Tasks[[#This Row],[Finish]],Tasks[[#This Row],[Baseline Finish]]))</f>
        <v/>
      </c>
      <c r="BO33" s="21" t="str">
        <f aca="false">IF(Tasks[[#This Row],[Task Name]]="","",IF(OR(TakeBaseline="Yes",N(Tasks[[#This Row],[Baseline Duration]])=0),Tasks[[#This Row],[_SpanDays]],Tasks[[#This Row],[Baseline Duration]]))</f>
        <v/>
      </c>
      <c r="BP33" s="85" t="str">
        <f aca="false">IF(Tasks[[#This Row],[Task Name]]="","",IF(OR(TakeBaseline="Yes",N(Tasks[[#This Row],[Baseline Work]])=0),Tasks[[#This Row],[Work]],Tasks[[#This Row],[Baseline Work]]))</f>
        <v/>
      </c>
      <c r="BQ33" s="7"/>
      <c r="BR33" s="7"/>
      <c r="BS33" s="22"/>
      <c r="BT33" s="87"/>
      <c r="BU33" s="42" t="str">
        <f aca="false">IF(Tasks[[#This Row],[Task Name]]="","",MAX(1,N(Tasks[[#This Row],[Level]])))</f>
        <v/>
      </c>
      <c r="BV33" s="42" t="n">
        <f aca="false">ROW()-ROW(Tasks[[#Headers],[ID]])</f>
        <v>28</v>
      </c>
      <c r="BW33" s="42" t="n">
        <f aca="false">IF(OR(Tasks[[#This Row],[Task Name]]="",Tasks[[#This Row],[_Level]]&lt;=1),0,IFERROR(LOOKUP(2,1/(Tasks[[#Headers],[_Level]]:Tasks[[#This Row],[_Level]]=Tasks[[#This Row],[_Level]]-1),ROW(Tasks[[#Headers],[_Level]]:Tasks[[#This Row],[_Level]])),0))</f>
        <v>0</v>
      </c>
      <c r="BX33" s="42" t="n">
        <f aca="false">IFERROR(N(INDEX(Tasks[_Level],Tasks[[#This Row],[_Row]]+1)),0)</f>
        <v>0</v>
      </c>
      <c r="BY33" s="88" t="b">
        <f aca="false">AND(Tasks[[#This Row],[Task Name]]&lt;&gt;"",Tasks[[#This Row],[_NextLevel]]&gt;Tasks[[#This Row],[_Level]])</f>
        <v>0</v>
      </c>
      <c r="BZ33" s="42" t="n">
        <f aca="false">IF(Tasks[[#This Row],[_IsSummary]],COUNTIF(Tasks[WBS],Tasks[[#This Row],[WBS]]&amp;".*"),0)</f>
        <v>0</v>
      </c>
      <c r="CA33" s="42" t="n">
        <f aca="false">IF(AND(Tasks[[#This Row],[Task Name]]&lt;&gt;"",NOT(Tasks[[#This Row],[_IsSummary]])),1,0)</f>
        <v>0</v>
      </c>
      <c r="CB33" s="42" t="n">
        <f aca="false">IF(N(Tasks[[#This Row],[_Pred1UID]])=0,0,IFERROR(MATCH(Tasks[[#This Row],[_Pred1UID]],Tasks[UID],0),-1))</f>
        <v>0</v>
      </c>
      <c r="CC33" s="42" t="n">
        <f aca="false">IF(N(Tasks[[#This Row],[_Pred2UID]])=0,0,IFERROR(MATCH(Tasks[[#This Row],[_Pred2UID]],Tasks[UID],0),-1))</f>
        <v>0</v>
      </c>
      <c r="CD33" s="42" t="n">
        <f aca="false">IF(N(Tasks[[#This Row],[_Pred3UID]])=0,0,IFERROR(MATCH(Tasks[[#This Row],[_Pred3UID]],Tasks[UID],0),-1))</f>
        <v>0</v>
      </c>
      <c r="CE33" s="42" t="n">
        <f aca="false">IF(N(Tasks[[#This Row],[_Pred4UID]])=0,0,IFERROR(MATCH(Tasks[[#This Row],[_Pred4UID]],Tasks[UID],0),-1))</f>
        <v>0</v>
      </c>
      <c r="CF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3" s="89" t="n">
        <f aca="false">IF(OR(Tasks[[#This Row],[_ConstraintCode]]=2,Tasks[[#This Row],[_ConstraintCode]]=3,Tasks[[#This Row],[_ConstraintCode]]=4,Tasks[[#This Row],[_ConstraintCode]]=6),Tasks[[#This Row],[_ConstraintStart]],0)</f>
        <v>0</v>
      </c>
      <c r="CI33" s="89" t="n">
        <f aca="false">IF(OR(Tasks[[#This Row],[_ConstraintCode]]=2,Tasks[[#This Row],[_ConstraintCode]]=3,Tasks[[#This Row],[_ConstraintCode]]=5,Tasks[[#This Row],[_ConstraintCode]]=7),Tasks[[#This Row],[_ConstraintStart]],2958465)</f>
        <v>2958465</v>
      </c>
      <c r="CJ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3" s="89" t="str">
        <f aca="false">IF(NOT(Tasks[[#This Row],[_IsLeaf]]=1),"",IF(N(Tasks[[#This Row],[_Days]])&lt;=0,Tasks[[#This Row],[_LeafCalcStart]],WORKDAY.INTL(Tasks[[#This Row],[_LeafCalcStart]],Tasks[[#This Row],[_Days]]-1,WorkWeek,Holidays)))</f>
        <v/>
      </c>
      <c r="CL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3" s="42" t="str">
        <f aca="false">IF(Tasks[[#This Row],[_Predecessors]]="","",TRIM(MID(SUBSTITUTE(SUBSTITUTE(SUBSTITUTE(UPPER(Tasks[[#This Row],[_Predecessors]]),";",",")," ",""),",",REPT(" ",99)),1,99)))</f>
        <v/>
      </c>
      <c r="CO33" s="42" t="str">
        <f aca="false">IF(Tasks[[#This Row],[_Pred1Text]]="","",IFERROR(VALUE(LEFT(Tasks[[#This Row],[_Pred1Text]],MIN(FIND("F",Tasks[[#This Row],[_Pred1Text]]&amp;"F"),FIND("S",Tasks[[#This Row],[_Pred1Text]]&amp;"S"),FIND("+",Tasks[[#This Row],[_Pred1Text]]&amp;"+"),FIND("-",Tasks[[#This Row],[_Pred1Text]]&amp;"-"))-1)),""))</f>
        <v/>
      </c>
      <c r="CP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3" s="42" t="str">
        <f aca="false">IF(Tasks[[#This Row],[_Pred1Text]]="","",TRIM(MID(SUBSTITUTE(SUBSTITUTE(SUBSTITUTE(UPPER(Tasks[[#This Row],[_Predecessors]]),";",",")," ",""),",",REPT(" ",99)),100,99)))</f>
        <v/>
      </c>
      <c r="CS33" s="42" t="str">
        <f aca="false">IF(Tasks[[#This Row],[_Pred2Text]]="","",IFERROR(VALUE(LEFT(Tasks[[#This Row],[_Pred2Text]],MIN(FIND("F",Tasks[[#This Row],[_Pred2Text]]&amp;"F"),FIND("S",Tasks[[#This Row],[_Pred2Text]]&amp;"S"),FIND("+",Tasks[[#This Row],[_Pred2Text]]&amp;"+"),FIND("-",Tasks[[#This Row],[_Pred2Text]]&amp;"-"))-1)),""))</f>
        <v/>
      </c>
      <c r="CT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3" s="42" t="str">
        <f aca="false">IF(Tasks[[#This Row],[_Pred2Text]]="","",TRIM(MID(SUBSTITUTE(SUBSTITUTE(SUBSTITUTE(UPPER(Tasks[[#This Row],[_Predecessors]]),";",",")," ",""),",",REPT(" ",99)),199,99)))</f>
        <v/>
      </c>
      <c r="CW33" s="42" t="str">
        <f aca="false">IF(Tasks[[#This Row],[_Pred3Text]]="","",IFERROR(VALUE(LEFT(Tasks[[#This Row],[_Pred3Text]],MIN(FIND("F",Tasks[[#This Row],[_Pred3Text]]&amp;"F"),FIND("S",Tasks[[#This Row],[_Pred3Text]]&amp;"S"),FIND("+",Tasks[[#This Row],[_Pred3Text]]&amp;"+"),FIND("-",Tasks[[#This Row],[_Pred3Text]]&amp;"-"))-1)),""))</f>
        <v/>
      </c>
      <c r="CX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3" s="42" t="str">
        <f aca="false">IF(Tasks[[#This Row],[_Pred3Text]]="","",TRIM(MID(SUBSTITUTE(SUBSTITUTE(SUBSTITUTE(UPPER(Tasks[[#This Row],[_Predecessors]]),";",",")," ",""),",",REPT(" ",99)),298,99)))</f>
        <v/>
      </c>
      <c r="DA33" s="42" t="str">
        <f aca="false">IF(Tasks[[#This Row],[_Pred4Text]]="","",IFERROR(VALUE(LEFT(Tasks[[#This Row],[_Pred4Text]],MIN(FIND("F",Tasks[[#This Row],[_Pred4Text]]&amp;"F"),FIND("S",Tasks[[#This Row],[_Pred4Text]]&amp;"S"),FIND("+",Tasks[[#This Row],[_Pred4Text]]&amp;"+"),FIND("-",Tasks[[#This Row],[_Pred4Text]]&amp;"-"))-1)),""))</f>
        <v/>
      </c>
      <c r="DB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3" s="42" t="str">
        <f aca="false">IF(OR(Tasks[[#This Row],[Task Name]]="",Tasks[[#This Row],[_Resources]]=""),"",TRIM(MID(SUBSTITUTE(Tasks[[#This Row],[_Resources]],",",REPT(" ",99)),1,99)))</f>
        <v/>
      </c>
      <c r="DE33" s="42" t="str">
        <f aca="false">IF(Tasks[[#This Row],[_Res1Text]]="","",TRIM(MID(SUBSTITUTE(Tasks[[#This Row],[_Resources]],",",REPT(" ",99)),100,99)))</f>
        <v/>
      </c>
      <c r="DF33" s="42" t="str">
        <f aca="false">IF(Tasks[[#This Row],[_Res2Text]]="","",TRIM(MID(SUBSTITUTE(Tasks[[#This Row],[_Resources]],",",REPT(" ",99)),199,99)))</f>
        <v/>
      </c>
      <c r="DG33" s="42" t="str">
        <f aca="false">IF(Tasks[[#This Row],[_Res3Text]]="","",TRIM(MID(SUBSTITUTE(Tasks[[#This Row],[_Resources]],",",REPT(" ",99)),298,99)))</f>
        <v/>
      </c>
      <c r="DH33" s="42" t="n">
        <f aca="false">IF(Tasks[[#This Row],[_Res1Text]]="",0,IFERROR(MATCH(TRIM(LEFT(Tasks[[#This Row],[_Res1Text]],FIND("[",Tasks[[#This Row],[_Res1Text]]&amp;"[")-1)),res_Name,0),IFERROR(MATCH(TRIM(LEFT(Tasks[[#This Row],[_Res1Text]],FIND("[",Tasks[[#This Row],[_Res1Text]]&amp;"[")-1)),res_Initials,0),0)))</f>
        <v>0</v>
      </c>
      <c r="DI33" s="42" t="n">
        <f aca="false">IF(Tasks[[#This Row],[_Res2Text]]="",0,IFERROR(MATCH(TRIM(LEFT(Tasks[[#This Row],[_Res2Text]],FIND("[",Tasks[[#This Row],[_Res2Text]]&amp;"[")-1)),res_Name,0),IFERROR(MATCH(TRIM(LEFT(Tasks[[#This Row],[_Res2Text]],FIND("[",Tasks[[#This Row],[_Res2Text]]&amp;"[")-1)),res_Initials,0),0)))</f>
        <v>0</v>
      </c>
      <c r="DJ33" s="42" t="n">
        <f aca="false">IF(Tasks[[#This Row],[_Res3Text]]="",0,IFERROR(MATCH(TRIM(LEFT(Tasks[[#This Row],[_Res3Text]],FIND("[",Tasks[[#This Row],[_Res3Text]]&amp;"[")-1)),res_Name,0),IFERROR(MATCH(TRIM(LEFT(Tasks[[#This Row],[_Res3Text]],FIND("[",Tasks[[#This Row],[_Res3Text]]&amp;"[")-1)),res_Initials,0),0)))</f>
        <v>0</v>
      </c>
      <c r="DK33" s="42" t="n">
        <f aca="false">IF(Tasks[[#This Row],[_Res4Text]]="",0,IFERROR(MATCH(TRIM(LEFT(Tasks[[#This Row],[_Res4Text]],FIND("[",Tasks[[#This Row],[_Res4Text]]&amp;"[")-1)),res_Name,0),IFERROR(MATCH(TRIM(LEFT(Tasks[[#This Row],[_Res4Text]],FIND("[",Tasks[[#This Row],[_Res4Text]]&amp;"[")-1)),res_Initials,0),0)))</f>
        <v>0</v>
      </c>
      <c r="DL33" s="42" t="str">
        <f aca="false">IF(Tasks[[#This Row],[_Res1Text]]="","",IF(Tasks[[#This Row],[_Res1Row]]&gt;0,INDEX(res_Name,Tasks[[#This Row],[_Res1Row]]),TRIM(LEFT(Tasks[[#This Row],[_Res1Text]],FIND("[",Tasks[[#This Row],[_Res1Text]]&amp;"[")-1))))</f>
        <v/>
      </c>
      <c r="DM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3" s="42" t="n">
        <f aca="false">IF(NOT(Tasks[[#This Row],[_IsLeaf]]=1),0,(Tasks[[#This Row],[_Resource1]]&lt;&gt;"")+(Tasks[[#This Row],[_Res2]]&lt;&gt;"")+(Tasks[[#This Row],[_Res3]]&lt;&gt;"")+(Tasks[[#This Row],[_Res4]]&lt;&gt;""))</f>
        <v>0</v>
      </c>
      <c r="DO33" s="42" t="str">
        <f aca="false">IF(Tasks[[#This Row],[_Res2Text]]="","",IF(Tasks[[#This Row],[_Res2Row]]&gt;0,INDEX(res_Name,Tasks[[#This Row],[_Res2Row]]),TRIM(LEFT(Tasks[[#This Row],[_Res2Text]],FIND("[",Tasks[[#This Row],[_Res2Text]]&amp;"[")-1))))</f>
        <v/>
      </c>
      <c r="DP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3" s="42" t="n">
        <f aca="false">IF(OR(NOT(Tasks[[#This Row],[_IsLeaf]]=1),Tasks[[#This Row],[_Res2Row]]=0),0,N(Tasks[[#This Row],[_Days]])*HoursPerDay*IF(Tasks[[#This Row],[_Res2Units]]="",DefaultUnits,Tasks[[#This Row],[_Res2Units]]))</f>
        <v>0</v>
      </c>
      <c r="DR33" s="42" t="n">
        <f aca="false">IF(AND(AND(Tasks[[#This Row],[_IsLeaf]]=1,Tasks[[#This Row],[_LeafTotalWork]]&gt;0),Tasks[[#This Row],[_Res2Work]]&gt;0),Tasks[[#This Row],[_Res2Work]]/(Tasks[[#This Row],[_FinishWorkday]]-Tasks[[#This Row],[_StartWorkday]]+1),0)</f>
        <v>0</v>
      </c>
      <c r="DS33" s="42" t="n">
        <f aca="false">Tasks[[#This Row],[_Res2WorkPerWD]]*MAX(0,Tasks[[#This Row],[_StartWorkday]]-1)</f>
        <v>0</v>
      </c>
      <c r="DT33" s="42" t="n">
        <f aca="false">Tasks[[#This Row],[_Res2Work]]*Tasks[[#This Row],[_LeafProgress]]</f>
        <v>0</v>
      </c>
      <c r="DU33" s="42" t="str">
        <f aca="false">IF(Tasks[[#This Row],[_Res3Text]]="","",IF(Tasks[[#This Row],[_Res3Row]]&gt;0,INDEX(res_Name,Tasks[[#This Row],[_Res3Row]]),TRIM(LEFT(Tasks[[#This Row],[_Res3Text]],FIND("[",Tasks[[#This Row],[_Res3Text]]&amp;"[")-1))))</f>
        <v/>
      </c>
      <c r="DV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3" s="42" t="n">
        <f aca="false">IF(OR(NOT(Tasks[[#This Row],[_IsLeaf]]=1),Tasks[[#This Row],[_Res3Row]]=0),0,N(Tasks[[#This Row],[_Days]])*HoursPerDay*IF(Tasks[[#This Row],[_Res3Units]]="",DefaultUnits,Tasks[[#This Row],[_Res3Units]]))</f>
        <v>0</v>
      </c>
      <c r="DX33" s="42" t="n">
        <f aca="false">IF(AND(AND(Tasks[[#This Row],[_IsLeaf]]=1,Tasks[[#This Row],[_LeafTotalWork]]&gt;0),Tasks[[#This Row],[_Res3Work]]&gt;0),Tasks[[#This Row],[_Res3Work]]/(Tasks[[#This Row],[_FinishWorkday]]-Tasks[[#This Row],[_StartWorkday]]+1),0)</f>
        <v>0</v>
      </c>
      <c r="DY33" s="42" t="n">
        <f aca="false">Tasks[[#This Row],[_Res3WorkPerWD]]*MAX(0,Tasks[[#This Row],[_StartWorkday]]-1)</f>
        <v>0</v>
      </c>
      <c r="DZ33" s="42" t="n">
        <f aca="false">Tasks[[#This Row],[_Res3Work]]*Tasks[[#This Row],[_LeafProgress]]</f>
        <v>0</v>
      </c>
      <c r="EA33" s="42" t="str">
        <f aca="false">IF(Tasks[[#This Row],[_Res4Text]]="","",IF(Tasks[[#This Row],[_Res4Row]]&gt;0,INDEX(res_Name,Tasks[[#This Row],[_Res4Row]]),TRIM(LEFT(Tasks[[#This Row],[_Res4Text]],FIND("[",Tasks[[#This Row],[_Res4Text]]&amp;"[")-1))))</f>
        <v/>
      </c>
      <c r="EB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3" s="42" t="n">
        <f aca="false">IF(OR(NOT(Tasks[[#This Row],[_IsLeaf]]=1),Tasks[[#This Row],[_Res4Row]]=0),0,N(Tasks[[#This Row],[_Days]])*HoursPerDay*IF(Tasks[[#This Row],[_Res4Units]]="",DefaultUnits,Tasks[[#This Row],[_Res4Units]]))</f>
        <v>0</v>
      </c>
      <c r="ED33" s="42" t="n">
        <f aca="false">IF(AND(AND(Tasks[[#This Row],[_IsLeaf]]=1,Tasks[[#This Row],[_LeafTotalWork]]&gt;0),Tasks[[#This Row],[_Res4Work]]&gt;0),Tasks[[#This Row],[_Res4Work]]/(Tasks[[#This Row],[_FinishWorkday]]-Tasks[[#This Row],[_StartWorkday]]+1),0)</f>
        <v>0</v>
      </c>
      <c r="EE33" s="42" t="n">
        <f aca="false">Tasks[[#This Row],[_Res4WorkPerWD]]*MAX(0,Tasks[[#This Row],[_StartWorkday]]-1)</f>
        <v>0</v>
      </c>
      <c r="EF33" s="42" t="n">
        <f aca="false">Tasks[[#This Row],[_Res4Work]]*Tasks[[#This Row],[_LeafProgress]]</f>
        <v>0</v>
      </c>
      <c r="EG33" s="42" t="n">
        <f aca="false">IF(ISNUMBER(Tasks[[#This Row],[% Complete]]),Tasks[[#This Row],[% Complete]],IF(Tasks[[#This Row],[Stage]]="",0,IFERROR(INDEX(stg_Pct,MATCH(Tasks[[#This Row],[Stage]],stg_Name,0)),0)))</f>
        <v>0</v>
      </c>
      <c r="EH33" s="42" t="n">
        <f aca="false">IF(NOT(Tasks[[#This Row],[_IsLeaf]]=1),0,IF(N(Tasks[[#This Row],[Actual Finish]])&gt;0,1,MIN(1,Tasks[[#This Row],[_Pct]])))</f>
        <v>0</v>
      </c>
      <c r="EI33" s="42" t="n">
        <f aca="false">IF(OR(NOT(Tasks[[#This Row],[_IsLeaf]]=1),Tasks[[#This Row],[_Res1Row]]=0),0,N(Tasks[[#This Row],[_Days]])*HoursPerDay*IF(Tasks[[#This Row],[_Units1]]="",DefaultUnits,Tasks[[#This Row],[_Units1]]))</f>
        <v>0</v>
      </c>
      <c r="EJ33" s="42" t="n">
        <f aca="false">Tasks[[#This Row],[_LeafWork]]+Tasks[[#This Row],[_Res2Work]]+Tasks[[#This Row],[_Res3Work]]+Tasks[[#This Row],[_Res4Work]]</f>
        <v>0</v>
      </c>
      <c r="EK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3" s="42" t="n">
        <f aca="false">IF(NOT(Tasks[[#This Row],[_IsLeaf]]=1),0,MAX(_xlfn.MAXIFS(Tasks[_Row],Tasks[_Pred1UID],Tasks[[#This Row],[UID]]),_xlfn.MAXIFS(Tasks[_Row],Tasks[_Pred2UID],Tasks[[#This Row],[UID]]),_xlfn.MAXIFS(Tasks[_Row],Tasks[_Pred3UID],Tasks[[#This Row],[UID]]),_xlfn.MAXIFS(Tasks[_Row],Tasks[_Pred4UID],Tasks[[#This Row],[UID]])))</f>
        <v>0</v>
      </c>
      <c r="ET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3" s="89" t="str">
        <f aca="false">IF(NOT(Tasks[[#This Row],[_IsLeaf]]=1),"",IF(N(Tasks[[#This Row],[_Days]])&lt;=0,Tasks[[#This Row],[_LeafLateFinish]],WORKDAY.INTL(Tasks[[#This Row],[_LeafLateFinish]],-(Tasks[[#This Row],[_Days]]-1),WorkWeek,Holidays)))</f>
        <v/>
      </c>
      <c r="EW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3" s="88" t="b">
        <f aca="false">AND(Tasks[[#This Row],[_IsLeaf]]=1,Tasks[[#This Row],[_LeafProgress]]&lt;1,N(Tasks[[#This Row],[_LeafTotalSlack]])&lt;=CriticalSlackDays)</f>
        <v>0</v>
      </c>
      <c r="EY33" s="42" t="n">
        <f aca="false">IF(AND(Tasks[[#This Row],[_IsLeaf]]=1,Tasks[[#This Row],[_ConstraintCode]]=1,Tasks[[#This Row],[Mode]]&lt;&gt;"Manual",N(Tasks[[#This Row],[Actual Start]])=0),MAX(0,N(Tasks[[#This Row],[Free Slack]])),0)</f>
        <v>0</v>
      </c>
      <c r="EZ33" s="89" t="str">
        <f aca="false">IF(NOT(Tasks[[#This Row],[_IsLeaf]]=1),"",IF(Tasks[[#This Row],[_AlapShift]]=0,Tasks[[#This Row],[_LeafCalcStart]],WORKDAY.INTL(Tasks[[#This Row],[_LeafCalcStart]],Tasks[[#This Row],[_AlapShift]],WorkWeek,Holidays)))</f>
        <v/>
      </c>
      <c r="FA33" s="89" t="str">
        <f aca="false">IF(NOT(Tasks[[#This Row],[_IsLeaf]]=1),"",IF(Tasks[[#This Row],[_AlapShift]]=0,Tasks[[#This Row],[_LeafCalcFinish]],WORKDAY.INTL(Tasks[[#This Row],[_LeafCalcFinish]],Tasks[[#This Row],[_AlapShift]],WorkWeek,Holidays)))</f>
        <v/>
      </c>
      <c r="FB33" s="89" t="str">
        <f aca="false">IF(NOT(Tasks[[#This Row],[_IsLeaf]]=1),"",IF(Tasks[[#This Row],[_AlapShift]]=0,Tasks[[#This Row],[_LeafFcstStart]],WORKDAY.INTL(Tasks[[#This Row],[_LeafFcstStart]],Tasks[[#This Row],[_AlapShift]],WorkWeek,Holidays)))</f>
        <v/>
      </c>
      <c r="FC33" s="89" t="str">
        <f aca="false">IF(NOT(Tasks[[#This Row],[_IsLeaf]]=1),"",IF(Tasks[[#This Row],[_AlapShift]]=0,Tasks[[#This Row],[_LeafFcstFinish]],WORKDAY.INTL(Tasks[[#This Row],[_LeafFcstFinish]],Tasks[[#This Row],[_AlapShift]],WorkWeek,Holidays)))</f>
        <v/>
      </c>
      <c r="FD33" s="89" t="str">
        <f aca="false">IF(Tasks[[#This Row],[Task Name]]="","",IF(Tasks[[#This Row],[_IsSummary]],MIN(INDEX(Tasks[_ShownCalcStart],Tasks[[#This Row],[_Row]]+1):INDEX(Tasks[_ShownCalcStart],Tasks[[#This Row],[_Row]]+Tasks[[#This Row],[_Descendants]])),Tasks[[#This Row],[_ShownCalcStart]]))</f>
        <v/>
      </c>
      <c r="FE33" s="89" t="str">
        <f aca="false">IF(Tasks[[#This Row],[Task Name]]="","",IF(Tasks[[#This Row],[_IsSummary]],MAX(INDEX(Tasks[_ShownCalcFinish],Tasks[[#This Row],[_Row]]+1):INDEX(Tasks[_ShownCalcFinish],Tasks[[#This Row],[_Row]]+Tasks[[#This Row],[_Descendants]])),Tasks[[#This Row],[_ShownCalcFinish]]))</f>
        <v/>
      </c>
      <c r="FF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3" s="42" t="n">
        <f aca="false">IF(AND(Tasks[[#This Row],[_IsLeaf]]=1,Tasks[[#This Row],[_LeafTotalWork]]&gt;0),NETWORKDAYS.INTL(ProjectStart,Tasks[[#This Row],[_ShownFcstStart]],WorkWeek,Holidays),0)</f>
        <v>0</v>
      </c>
      <c r="FS33" s="42" t="n">
        <f aca="false">IF(AND(Tasks[[#This Row],[_IsLeaf]]=1,Tasks[[#This Row],[_LeafTotalWork]]&gt;0),MAX(Tasks[[#This Row],[_StartWorkday]],NETWORKDAYS.INTL(ProjectStart,Tasks[[#This Row],[_ShownFcstFinish]],WorkWeek,Holidays)),0)</f>
        <v>0</v>
      </c>
      <c r="FT33" s="42" t="n">
        <f aca="false">IF(AND(Tasks[[#This Row],[_IsLeaf]]=1,Tasks[[#This Row],[_LeafTotalWork]]&gt;0),Tasks[[#This Row],[_LeafWork]]/(Tasks[[#This Row],[_FinishWorkday]]-Tasks[[#This Row],[_StartWorkday]]+1),0)</f>
        <v>0</v>
      </c>
      <c r="FU33" s="42" t="n">
        <f aca="false">Tasks[[#This Row],[_WorkPerWorkday]]*(Tasks[[#This Row],[_StartWorkday]]-1)</f>
        <v>-0</v>
      </c>
      <c r="FV33" s="42" t="n">
        <f aca="false">IF(Tasks[[#This Row],[_IsLeaf]]=1,MAX(N(Tasks[[#This Row],[_Days]]),0.1),0)</f>
        <v>0</v>
      </c>
      <c r="FW33" s="42" t="n">
        <f aca="false">Tasks[[#This Row],[_WeightDur]]*Tasks[[#This Row],[_LeafProgress]]</f>
        <v>0</v>
      </c>
      <c r="FX33" s="42" t="n">
        <f aca="false">Tasks[[#This Row],[_WeightDur]]*Tasks[[#This Row],[_PlannedPct]]</f>
        <v>0</v>
      </c>
      <c r="FY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3" s="42" t="str">
        <f aca="false">IF(AND(Tasks[[#This Row],[_IsLeaf]]=1,N(Tasks[[#This Row],[_Days]])=0,Tasks[[#This Row],[_LeafProgress]]&lt;1),Tasks[[#This Row],[_ShownFcstFinish]]+Tasks[[#This Row],[_Row]]/100000,"")</f>
        <v/>
      </c>
      <c r="GA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3" s="42" t="str">
        <f aca="false">IF(Tasks[[#This Row],[Task Name]]="","",LEFT(Tasks[[#This Row],[WBS]],FIND(".",Tasks[[#This Row],[WBS]]&amp;".")-1))</f>
        <v/>
      </c>
      <c r="GC33" s="42" t="str">
        <f aca="false">IF(AND(Tasks[[#This Row],[Task Name]]&lt;&gt;"",Tasks[[#This Row],[_Level]]=1),Tasks[[#This Row],[_Row]],"")</f>
        <v/>
      </c>
      <c r="GD33" s="42" t="str">
        <f aca="false">IF(AND(Tasks[[#This Row],[_IsLeaf]]=1,N(Tasks[[#This Row],[_Days]])=0),Tasks[[#This Row],[Planned Finish]]+Tasks[[#This Row],[_Row]]/100000,"")</f>
        <v/>
      </c>
      <c r="GE33" s="42" t="str">
        <f aca="false">IF(AND(Tasks[[#This Row],[_IsLeaf]]=1,Tasks[[#This Row],[_LeafProgress]]&lt;1,OR(N(Tasks[[#This Row],[Finish Var]])&gt;0,Tasks[[#This Row],[Status]]="Late Start")),MAX(0,Tasks[[#This Row],[Finish Var]])+1-Tasks[[#This Row],[_Row]]/1000000,"")</f>
        <v/>
      </c>
      <c r="GF33" s="42" t="str">
        <f aca="false">IF(AND(Tasks[[#This Row],[_IsLeaf]]=1,N(Tasks[[#This Row],[Actual Start]])=0,Tasks[[#This Row],[_ShownFcstStart]]&gt;=StatusDate,Tasks[[#This Row],[_ShownFcstStart]]&lt;=LookaheadEnd),Tasks[[#This Row],[_ShownFcstStart]]+Tasks[[#This Row],[_Row]]/100000,"")</f>
        <v/>
      </c>
      <c r="GG33" s="42" t="str">
        <f aca="false">IF(AND(Tasks[[#This Row],[_IsLeaf]]=1,Tasks[[#This Row],[_LeafProgress]]&lt;1,Tasks[[#This Row],[_ShownFcstFinish]]&gt;=StatusDate,Tasks[[#This Row],[_ShownFcstFinish]]&lt;=LookaheadEnd),Tasks[[#This Row],[_ShownFcstFinish]]+Tasks[[#This Row],[_Row]]/100000,"")</f>
        <v/>
      </c>
      <c r="GH33" s="42" t="str">
        <f aca="false">IF(Tasks[[#This Row],[_LeafCritical]],Tasks[[#This Row],[_ShownFcstStart]]+Tasks[[#This Row],[_Row]]/100000,"")</f>
        <v/>
      </c>
      <c r="GI33" s="42" t="n">
        <f aca="false">Tasks[[#This Row],[_LeafWork]]*Tasks[[#This Row],[_LeafProgress]]</f>
        <v>0</v>
      </c>
      <c r="GJ33" s="89" t="str">
        <f aca="false">IF(AND(Tasks[[#This Row],[_IsLeaf]]=1,Tasks[[#This Row],[_LeafProgress]]&gt;=1),IF(N(Tasks[[#This Row],[Actual Finish]])&gt;0,Tasks[[#This Row],[Actual Finish]],Tasks[[#This Row],[_ShownFcstFinish]]),"")</f>
        <v/>
      </c>
      <c r="GK33" s="42" t="n">
        <f aca="false">IF(Tasks[[#This Row],[_IsLeaf]]=1,N(Tasks[[#This Row],[Story Points]]),0)</f>
        <v>0</v>
      </c>
      <c r="GL33" s="42" t="str">
        <f aca="false">""</f>
        <v/>
      </c>
      <c r="GM33" s="88" t="b">
        <f aca="false">IF(Tasks[[#This Row],[Task Name]]="",FALSE(),AND(Tasks[[#This Row],[_IsLeaf]]=1,N(Tasks[[#This Row],[_Days]])=0))</f>
        <v>0</v>
      </c>
      <c r="GN33" s="89" t="n">
        <f aca="false">IF(Tasks[[#This Row],[Task Name]]="",0,IF(AND(Tasks[[#This Row],[_IsLeaf]]=1,NOT(Tasks[[#This Row],[_IsMilestone]]),N(Tasks[[#This Row],[Progress]])&gt;0),Tasks[[#This Row],[Start]],0))</f>
        <v>0</v>
      </c>
      <c r="GO33" s="89" t="n">
        <f aca="false">IF(Tasks[[#This Row],[_DoneFrom]]=0,0,IF(Tasks[[#This Row],[Progress]]&gt;=1,Tasks[[#This Row],[Finish]],MAX(Tasks[[#This Row],[_DoneFrom]],Tasks[[#This Row],[Start]]+ROUND((Tasks[[#This Row],[Finish]]-Tasks[[#This Row],[Start]]+1)*Tasks[[#This Row],[Progress]],0)-1)))</f>
        <v>0</v>
      </c>
      <c r="GP33" s="89" t="n">
        <f aca="false">IF(Tasks[[#This Row],[Task Name]]="",0,IF(OR(NOT(Tasks[[#This Row],[_IsLeaf]]=1),Tasks[[#This Row],[_IsMilestone]],N(Tasks[[#This Row],[Progress]])&gt;=1),0,IF(Tasks[[#This Row],[_DoneTo]]&gt;0,Tasks[[#This Row],[_DoneTo]]+1,Tasks[[#This Row],[Start]])))</f>
        <v>0</v>
      </c>
      <c r="GQ33" s="89" t="n">
        <f aca="false">IF(Tasks[[#This Row],[_RemFrom]]=0,0,Tasks[[#This Row],[Finish]])</f>
        <v>0</v>
      </c>
      <c r="GR33" s="88" t="b">
        <f aca="false">IF(Tasks[[#This Row],[Task Name]]="",FALSE(),OR(NOT(BaselineSet),N(Tasks[[#This Row],[Baseline Start]])&gt;0))</f>
        <v>0</v>
      </c>
      <c r="GS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3" s="90" t="str">
        <f aca="false">IF(Tasks[[#This Row],[_IsLeaf]]=1,Tasks[[#This Row],[_Row]],"")</f>
        <v/>
      </c>
      <c r="GW33" s="90" t="str">
        <f aca="false">IFERROR(INDEX(Tasks[UID],SMALL(Tasks[_PickKey],Tasks[[#This Row],[_Row]]))&amp;" "&amp;INDEX(Tasks[Task Name],SMALL(Tasks[_PickKey],Tasks[[#This Row],[_Row]])),"")</f>
        <v/>
      </c>
      <c r="GX33" s="42" t="str">
        <f aca="false">IF(Tasks[[#This Row],[Task Name]]="","",IF(Tasks[[#This Row],[_IsSummary]],NETWORKDAYS.INTL(Tasks[[#This Row],[Start]],Tasks[[#This Row],[Finish]],WorkWeek,Holidays),N(Tasks[[#This Row],[_Days]])))</f>
        <v/>
      </c>
    </row>
    <row r="34" customFormat="false" ht="15" hidden="false" customHeight="false" outlineLevel="0" collapsed="false">
      <c r="A34" s="21" t="str">
        <f aca="false">IF(Tasks[[#This Row],[Task Name]]="","",COUNTA(Tasks[[#Headers],[Task Name]]:Tasks[[#This Row],[Task Name]])-1)</f>
        <v/>
      </c>
      <c r="B34" s="22" t="n">
        <v>42</v>
      </c>
      <c r="C34" s="22"/>
      <c r="D34" s="23"/>
      <c r="E34" s="22"/>
      <c r="F34" s="23"/>
      <c r="G34" s="22"/>
      <c r="H34" s="22"/>
      <c r="I34" s="23"/>
      <c r="J34" s="22"/>
      <c r="K34" s="22"/>
      <c r="L34" s="23"/>
      <c r="M34" s="22"/>
      <c r="N34" s="22"/>
      <c r="O34" s="23"/>
      <c r="P34" s="22"/>
      <c r="Q34" s="22"/>
      <c r="R34" s="23"/>
      <c r="S34" s="23"/>
      <c r="T34" s="83"/>
      <c r="U34" s="23"/>
      <c r="V34" s="83"/>
      <c r="W34" s="23"/>
      <c r="X34" s="83"/>
      <c r="Y34" s="23"/>
      <c r="Z34" s="83"/>
      <c r="AA34" s="23"/>
      <c r="AB34" s="23"/>
      <c r="AC34" s="7"/>
      <c r="AD34" s="7"/>
      <c r="AE34" s="62" t="str">
        <f aca="false">IF(Tasks[[#This Row],[Task Name]]="","",IF(Tasks[[#This Row],[_IsSummary]],MIN(INDEX(Tasks[_ShownFcstStart],Tasks[[#This Row],[_Row]]+1):INDEX(Tasks[_ShownFcstStart],Tasks[[#This Row],[_Row]]+Tasks[[#This Row],[_Descendants]])),Tasks[[#This Row],[_ShownFcstStart]]))</f>
        <v/>
      </c>
      <c r="AF34" s="62" t="str">
        <f aca="false">IF(Tasks[[#This Row],[Task Name]]="","",IF(Tasks[[#This Row],[_IsSummary]],MAX(INDEX(Tasks[_ShownFcstFinish],Tasks[[#This Row],[_Row]]+1):INDEX(Tasks[_ShownFcstFinish],Tasks[[#This Row],[_Row]]+Tasks[[#This Row],[_Descendants]])),Tasks[[#This Row],[_ShownFcstFinish]]))</f>
        <v/>
      </c>
      <c r="AG34" s="21" t="str">
        <f aca="false">""</f>
        <v/>
      </c>
      <c r="AH34" s="23"/>
      <c r="AI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4" s="7"/>
      <c r="AK34" s="22"/>
      <c r="AL34" s="23"/>
      <c r="AM34" s="7"/>
      <c r="AN34" s="46" t="str">
        <f aca="false">IF(Tasks[[#This Row],[Task Name]]="","",IF(Tasks[[#This Row],[Finish]]&gt;=Tasks[[#This Row],[Planned Finish]],NETWORKDAYS.INTL(Tasks[[#This Row],[Planned Finish]],Tasks[[#This Row],[Finish]],WorkWeek,Holidays)-1,1-NETWORKDAYS.INTL(Tasks[[#This Row],[Finish]],Tasks[[#This Row],[Planned Finish]],WorkWeek,Holidays)))</f>
        <v/>
      </c>
      <c r="AO34" s="21" t="str">
        <f aca="false">IF(Tasks[[#This Row],[Task Name]]="","",IF(Tasks[[#This Row],[Progress]]&gt;=1,"Complete",IF(OR(N(Tasks[[#This Row],[Actual Start]])&gt;0,Tasks[[#This Row],[Progress]]&gt;0),IF(Tasks[[#This Row],[Finish Var]]&gt;0,"Behind","In Progress"),IF(Tasks[[#This Row],[Planned Start]]&lt;StatusDate,"Late Start","Not Started"))))</f>
        <v/>
      </c>
      <c r="AP34" s="21" t="str">
        <f aca="false">IF(Tasks[[#This Row],[Task Name]]="","",IF(IF(Tasks[[#This Row],[_IsSummary]],COUNTIF(INDEX(Tasks[_LeafCritical],Tasks[[#This Row],[_Row]]+1):INDEX(Tasks[_LeafCritical],Tasks[[#This Row],[_Row]]+Tasks[[#This Row],[_Descendants]]),TRUE())&gt;0,Tasks[[#This Row],[_LeafCritical]]),"Yes",""))</f>
        <v/>
      </c>
      <c r="AQ34" s="62" t="str">
        <f aca="false">IF(Tasks[[#This Row],[Task Name]]="","",IF(N(Tasks[[#This Row],[Baseline Start]])&gt;0,Tasks[[#This Row],[Baseline Start]],Tasks[[#This Row],[_CalcStart]]))</f>
        <v/>
      </c>
      <c r="AR34" s="62" t="str">
        <f aca="false">IF(Tasks[[#This Row],[Task Name]]="","",IF(N(Tasks[[#This Row],[Baseline Finish]])&gt;0,Tasks[[#This Row],[Baseline Finish]],Tasks[[#This Row],[_CalcFinish]]))</f>
        <v/>
      </c>
      <c r="AS34" s="46" t="str">
        <f aca="false">IF(Tasks[[#This Row],[Task Name]]="","",IF(Tasks[[#This Row],[Start]]&gt;=Tasks[[#This Row],[Planned Start]],NETWORKDAYS.INTL(Tasks[[#This Row],[Planned Start]],Tasks[[#This Row],[Start]],WorkWeek,Holidays)-1,1-NETWORKDAYS.INTL(Tasks[[#This Row],[Start]],Tasks[[#This Row],[Planned Start]],WorkWeek,Holidays)))</f>
        <v/>
      </c>
      <c r="AT34" s="62" t="str">
        <f aca="false">IF(Tasks[[#This Row],[Task Name]]="","",IF(Tasks[[#This Row],[_IsSummary]],MIN(INDEX(Tasks[_LeafLateStart],Tasks[[#This Row],[_Row]]+1):INDEX(Tasks[_LeafLateStart],Tasks[[#This Row],[_Row]]+Tasks[[#This Row],[_Descendants]])),Tasks[[#This Row],[_LeafLateStart]]))</f>
        <v/>
      </c>
      <c r="AU34" s="62" t="str">
        <f aca="false">IF(Tasks[[#This Row],[Task Name]]="","",IF(Tasks[[#This Row],[_IsSummary]],MAX(INDEX(Tasks[_LeafLateFinish],Tasks[[#This Row],[_Row]]+1):INDEX(Tasks[_LeafLateFinish],Tasks[[#This Row],[_Row]]+Tasks[[#This Row],[_Descendants]])),Tasks[[#This Row],[_LeafLateFinish]]))</f>
        <v/>
      </c>
      <c r="AV34" s="46" t="str">
        <f aca="false">IF(Tasks[[#This Row],[Task Name]]="","",IF(Tasks[[#This Row],[_IsSummary]],MIN(INDEX(Tasks[_LeafTotalSlack],Tasks[[#This Row],[_Row]]+1):INDEX(Tasks[_LeafTotalSlack],Tasks[[#This Row],[_Row]]+Tasks[[#This Row],[_Descendants]])),Tasks[[#This Row],[_LeafTotalSlack]]))</f>
        <v/>
      </c>
      <c r="AW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4"/>
      <c r="BA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t="str">
        <f aca="false">IF(Tasks[[#This Row],[Task Name]]="","",IF(Tasks[[#This Row],[_Level]]&lt;=OutlineShowLevel,"Yes","No"))</f>
        <v/>
      </c>
      <c r="BE34" s="85" t="str">
        <f aca="false">IF(Tasks[[#This Row],[Task Name]]="","",IF(Tasks[[#This Row],[_IsSummary]],SUM(INDEX(Tasks[_LeafTotalWork],Tasks[[#This Row],[_Row]]+1):INDEX(Tasks[_LeafTotalWork],Tasks[[#This Row],[_Row]]+Tasks[[#This Row],[_Descendants]])),Tasks[[#This Row],[_LeafTotalWork]]))</f>
        <v/>
      </c>
      <c r="BF34" s="23"/>
      <c r="BG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t="str">
        <f aca="false">""</f>
        <v/>
      </c>
      <c r="BI34" s="86"/>
      <c r="BJ34" s="22"/>
      <c r="BK34" s="46" t="str">
        <f aca="false">IF(OR(Tasks[[#This Row],[Task Name]]="",Tasks[[#This Row],[Baseline Duration]]=""),"",Tasks[[#This Row],[_SpanDays]]-N(Tasks[[#This Row],[Baseline Duration]]))</f>
        <v/>
      </c>
      <c r="BL34" s="85" t="str">
        <f aca="false">IF(OR(Tasks[[#This Row],[Task Name]]="",Tasks[[#This Row],[Baseline Work]]=""),"",Tasks[[#This Row],[Work]]-N(Tasks[[#This Row],[Baseline Work]]))</f>
        <v/>
      </c>
      <c r="BM34" s="62" t="str">
        <f aca="false">IF(Tasks[[#This Row],[Task Name]]="","",IF(OR(TakeBaseline="Yes",N(Tasks[[#This Row],[Baseline Start]])=0),Tasks[[#This Row],[Start]],Tasks[[#This Row],[Baseline Start]]))</f>
        <v/>
      </c>
      <c r="BN34" s="62" t="str">
        <f aca="false">IF(Tasks[[#This Row],[Task Name]]="","",IF(OR(TakeBaseline="Yes",N(Tasks[[#This Row],[Baseline Finish]])=0),Tasks[[#This Row],[Finish]],Tasks[[#This Row],[Baseline Finish]]))</f>
        <v/>
      </c>
      <c r="BO34" s="21" t="str">
        <f aca="false">IF(Tasks[[#This Row],[Task Name]]="","",IF(OR(TakeBaseline="Yes",N(Tasks[[#This Row],[Baseline Duration]])=0),Tasks[[#This Row],[_SpanDays]],Tasks[[#This Row],[Baseline Duration]]))</f>
        <v/>
      </c>
      <c r="BP34" s="85" t="str">
        <f aca="false">IF(Tasks[[#This Row],[Task Name]]="","",IF(OR(TakeBaseline="Yes",N(Tasks[[#This Row],[Baseline Work]])=0),Tasks[[#This Row],[Work]],Tasks[[#This Row],[Baseline Work]]))</f>
        <v/>
      </c>
      <c r="BQ34" s="7"/>
      <c r="BR34" s="7"/>
      <c r="BS34" s="22"/>
      <c r="BT34" s="87"/>
      <c r="BU34" s="42" t="str">
        <f aca="false">IF(Tasks[[#This Row],[Task Name]]="","",MAX(1,N(Tasks[[#This Row],[Level]])))</f>
        <v/>
      </c>
      <c r="BV34" s="42" t="n">
        <f aca="false">ROW()-ROW(Tasks[[#Headers],[ID]])</f>
        <v>29</v>
      </c>
      <c r="BW34" s="42" t="n">
        <f aca="false">IF(OR(Tasks[[#This Row],[Task Name]]="",Tasks[[#This Row],[_Level]]&lt;=1),0,IFERROR(LOOKUP(2,1/(Tasks[[#Headers],[_Level]]:Tasks[[#This Row],[_Level]]=Tasks[[#This Row],[_Level]]-1),ROW(Tasks[[#Headers],[_Level]]:Tasks[[#This Row],[_Level]])),0))</f>
        <v>0</v>
      </c>
      <c r="BX34" s="42" t="n">
        <f aca="false">IFERROR(N(INDEX(Tasks[_Level],Tasks[[#This Row],[_Row]]+1)),0)</f>
        <v>0</v>
      </c>
      <c r="BY34" s="88" t="b">
        <f aca="false">AND(Tasks[[#This Row],[Task Name]]&lt;&gt;"",Tasks[[#This Row],[_NextLevel]]&gt;Tasks[[#This Row],[_Level]])</f>
        <v>0</v>
      </c>
      <c r="BZ34" s="42" t="n">
        <f aca="false">IF(Tasks[[#This Row],[_IsSummary]],COUNTIF(Tasks[WBS],Tasks[[#This Row],[WBS]]&amp;".*"),0)</f>
        <v>0</v>
      </c>
      <c r="CA34" s="42" t="n">
        <f aca="false">IF(AND(Tasks[[#This Row],[Task Name]]&lt;&gt;"",NOT(Tasks[[#This Row],[_IsSummary]])),1,0)</f>
        <v>0</v>
      </c>
      <c r="CB34" s="42" t="n">
        <f aca="false">IF(N(Tasks[[#This Row],[_Pred1UID]])=0,0,IFERROR(MATCH(Tasks[[#This Row],[_Pred1UID]],Tasks[UID],0),-1))</f>
        <v>0</v>
      </c>
      <c r="CC34" s="42" t="n">
        <f aca="false">IF(N(Tasks[[#This Row],[_Pred2UID]])=0,0,IFERROR(MATCH(Tasks[[#This Row],[_Pred2UID]],Tasks[UID],0),-1))</f>
        <v>0</v>
      </c>
      <c r="CD34" s="42" t="n">
        <f aca="false">IF(N(Tasks[[#This Row],[_Pred3UID]])=0,0,IFERROR(MATCH(Tasks[[#This Row],[_Pred3UID]],Tasks[UID],0),-1))</f>
        <v>0</v>
      </c>
      <c r="CE34" s="42" t="n">
        <f aca="false">IF(N(Tasks[[#This Row],[_Pred4UID]])=0,0,IFERROR(MATCH(Tasks[[#This Row],[_Pred4UID]],Tasks[UID],0),-1))</f>
        <v>0</v>
      </c>
      <c r="CF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4" s="89" t="n">
        <f aca="false">IF(OR(Tasks[[#This Row],[_ConstraintCode]]=2,Tasks[[#This Row],[_ConstraintCode]]=3,Tasks[[#This Row],[_ConstraintCode]]=4,Tasks[[#This Row],[_ConstraintCode]]=6),Tasks[[#This Row],[_ConstraintStart]],0)</f>
        <v>0</v>
      </c>
      <c r="CI34" s="89" t="n">
        <f aca="false">IF(OR(Tasks[[#This Row],[_ConstraintCode]]=2,Tasks[[#This Row],[_ConstraintCode]]=3,Tasks[[#This Row],[_ConstraintCode]]=5,Tasks[[#This Row],[_ConstraintCode]]=7),Tasks[[#This Row],[_ConstraintStart]],2958465)</f>
        <v>2958465</v>
      </c>
      <c r="CJ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4" s="89" t="str">
        <f aca="false">IF(NOT(Tasks[[#This Row],[_IsLeaf]]=1),"",IF(N(Tasks[[#This Row],[_Days]])&lt;=0,Tasks[[#This Row],[_LeafCalcStart]],WORKDAY.INTL(Tasks[[#This Row],[_LeafCalcStart]],Tasks[[#This Row],[_Days]]-1,WorkWeek,Holidays)))</f>
        <v/>
      </c>
      <c r="CL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4" s="42" t="str">
        <f aca="false">IF(Tasks[[#This Row],[_Predecessors]]="","",TRIM(MID(SUBSTITUTE(SUBSTITUTE(SUBSTITUTE(UPPER(Tasks[[#This Row],[_Predecessors]]),";",",")," ",""),",",REPT(" ",99)),1,99)))</f>
        <v/>
      </c>
      <c r="CO34" s="42" t="str">
        <f aca="false">IF(Tasks[[#This Row],[_Pred1Text]]="","",IFERROR(VALUE(LEFT(Tasks[[#This Row],[_Pred1Text]],MIN(FIND("F",Tasks[[#This Row],[_Pred1Text]]&amp;"F"),FIND("S",Tasks[[#This Row],[_Pred1Text]]&amp;"S"),FIND("+",Tasks[[#This Row],[_Pred1Text]]&amp;"+"),FIND("-",Tasks[[#This Row],[_Pred1Text]]&amp;"-"))-1)),""))</f>
        <v/>
      </c>
      <c r="CP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4" s="42" t="str">
        <f aca="false">IF(Tasks[[#This Row],[_Pred1Text]]="","",TRIM(MID(SUBSTITUTE(SUBSTITUTE(SUBSTITUTE(UPPER(Tasks[[#This Row],[_Predecessors]]),";",",")," ",""),",",REPT(" ",99)),100,99)))</f>
        <v/>
      </c>
      <c r="CS34" s="42" t="str">
        <f aca="false">IF(Tasks[[#This Row],[_Pred2Text]]="","",IFERROR(VALUE(LEFT(Tasks[[#This Row],[_Pred2Text]],MIN(FIND("F",Tasks[[#This Row],[_Pred2Text]]&amp;"F"),FIND("S",Tasks[[#This Row],[_Pred2Text]]&amp;"S"),FIND("+",Tasks[[#This Row],[_Pred2Text]]&amp;"+"),FIND("-",Tasks[[#This Row],[_Pred2Text]]&amp;"-"))-1)),""))</f>
        <v/>
      </c>
      <c r="CT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4" s="42" t="str">
        <f aca="false">IF(Tasks[[#This Row],[_Pred2Text]]="","",TRIM(MID(SUBSTITUTE(SUBSTITUTE(SUBSTITUTE(UPPER(Tasks[[#This Row],[_Predecessors]]),";",",")," ",""),",",REPT(" ",99)),199,99)))</f>
        <v/>
      </c>
      <c r="CW34" s="42" t="str">
        <f aca="false">IF(Tasks[[#This Row],[_Pred3Text]]="","",IFERROR(VALUE(LEFT(Tasks[[#This Row],[_Pred3Text]],MIN(FIND("F",Tasks[[#This Row],[_Pred3Text]]&amp;"F"),FIND("S",Tasks[[#This Row],[_Pred3Text]]&amp;"S"),FIND("+",Tasks[[#This Row],[_Pred3Text]]&amp;"+"),FIND("-",Tasks[[#This Row],[_Pred3Text]]&amp;"-"))-1)),""))</f>
        <v/>
      </c>
      <c r="CX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4" s="42" t="str">
        <f aca="false">IF(Tasks[[#This Row],[_Pred3Text]]="","",TRIM(MID(SUBSTITUTE(SUBSTITUTE(SUBSTITUTE(UPPER(Tasks[[#This Row],[_Predecessors]]),";",",")," ",""),",",REPT(" ",99)),298,99)))</f>
        <v/>
      </c>
      <c r="DA34" s="42" t="str">
        <f aca="false">IF(Tasks[[#This Row],[_Pred4Text]]="","",IFERROR(VALUE(LEFT(Tasks[[#This Row],[_Pred4Text]],MIN(FIND("F",Tasks[[#This Row],[_Pred4Text]]&amp;"F"),FIND("S",Tasks[[#This Row],[_Pred4Text]]&amp;"S"),FIND("+",Tasks[[#This Row],[_Pred4Text]]&amp;"+"),FIND("-",Tasks[[#This Row],[_Pred4Text]]&amp;"-"))-1)),""))</f>
        <v/>
      </c>
      <c r="DB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4" s="42" t="str">
        <f aca="false">IF(OR(Tasks[[#This Row],[Task Name]]="",Tasks[[#This Row],[_Resources]]=""),"",TRIM(MID(SUBSTITUTE(Tasks[[#This Row],[_Resources]],",",REPT(" ",99)),1,99)))</f>
        <v/>
      </c>
      <c r="DE34" s="42" t="str">
        <f aca="false">IF(Tasks[[#This Row],[_Res1Text]]="","",TRIM(MID(SUBSTITUTE(Tasks[[#This Row],[_Resources]],",",REPT(" ",99)),100,99)))</f>
        <v/>
      </c>
      <c r="DF34" s="42" t="str">
        <f aca="false">IF(Tasks[[#This Row],[_Res2Text]]="","",TRIM(MID(SUBSTITUTE(Tasks[[#This Row],[_Resources]],",",REPT(" ",99)),199,99)))</f>
        <v/>
      </c>
      <c r="DG34" s="42" t="str">
        <f aca="false">IF(Tasks[[#This Row],[_Res3Text]]="","",TRIM(MID(SUBSTITUTE(Tasks[[#This Row],[_Resources]],",",REPT(" ",99)),298,99)))</f>
        <v/>
      </c>
      <c r="DH34" s="42" t="n">
        <f aca="false">IF(Tasks[[#This Row],[_Res1Text]]="",0,IFERROR(MATCH(TRIM(LEFT(Tasks[[#This Row],[_Res1Text]],FIND("[",Tasks[[#This Row],[_Res1Text]]&amp;"[")-1)),res_Name,0),IFERROR(MATCH(TRIM(LEFT(Tasks[[#This Row],[_Res1Text]],FIND("[",Tasks[[#This Row],[_Res1Text]]&amp;"[")-1)),res_Initials,0),0)))</f>
        <v>0</v>
      </c>
      <c r="DI34" s="42" t="n">
        <f aca="false">IF(Tasks[[#This Row],[_Res2Text]]="",0,IFERROR(MATCH(TRIM(LEFT(Tasks[[#This Row],[_Res2Text]],FIND("[",Tasks[[#This Row],[_Res2Text]]&amp;"[")-1)),res_Name,0),IFERROR(MATCH(TRIM(LEFT(Tasks[[#This Row],[_Res2Text]],FIND("[",Tasks[[#This Row],[_Res2Text]]&amp;"[")-1)),res_Initials,0),0)))</f>
        <v>0</v>
      </c>
      <c r="DJ34" s="42" t="n">
        <f aca="false">IF(Tasks[[#This Row],[_Res3Text]]="",0,IFERROR(MATCH(TRIM(LEFT(Tasks[[#This Row],[_Res3Text]],FIND("[",Tasks[[#This Row],[_Res3Text]]&amp;"[")-1)),res_Name,0),IFERROR(MATCH(TRIM(LEFT(Tasks[[#This Row],[_Res3Text]],FIND("[",Tasks[[#This Row],[_Res3Text]]&amp;"[")-1)),res_Initials,0),0)))</f>
        <v>0</v>
      </c>
      <c r="DK34" s="42" t="n">
        <f aca="false">IF(Tasks[[#This Row],[_Res4Text]]="",0,IFERROR(MATCH(TRIM(LEFT(Tasks[[#This Row],[_Res4Text]],FIND("[",Tasks[[#This Row],[_Res4Text]]&amp;"[")-1)),res_Name,0),IFERROR(MATCH(TRIM(LEFT(Tasks[[#This Row],[_Res4Text]],FIND("[",Tasks[[#This Row],[_Res4Text]]&amp;"[")-1)),res_Initials,0),0)))</f>
        <v>0</v>
      </c>
      <c r="DL34" s="42" t="str">
        <f aca="false">IF(Tasks[[#This Row],[_Res1Text]]="","",IF(Tasks[[#This Row],[_Res1Row]]&gt;0,INDEX(res_Name,Tasks[[#This Row],[_Res1Row]]),TRIM(LEFT(Tasks[[#This Row],[_Res1Text]],FIND("[",Tasks[[#This Row],[_Res1Text]]&amp;"[")-1))))</f>
        <v/>
      </c>
      <c r="DM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4" s="42" t="n">
        <f aca="false">IF(NOT(Tasks[[#This Row],[_IsLeaf]]=1),0,(Tasks[[#This Row],[_Resource1]]&lt;&gt;"")+(Tasks[[#This Row],[_Res2]]&lt;&gt;"")+(Tasks[[#This Row],[_Res3]]&lt;&gt;"")+(Tasks[[#This Row],[_Res4]]&lt;&gt;""))</f>
        <v>0</v>
      </c>
      <c r="DO34" s="42" t="str">
        <f aca="false">IF(Tasks[[#This Row],[_Res2Text]]="","",IF(Tasks[[#This Row],[_Res2Row]]&gt;0,INDEX(res_Name,Tasks[[#This Row],[_Res2Row]]),TRIM(LEFT(Tasks[[#This Row],[_Res2Text]],FIND("[",Tasks[[#This Row],[_Res2Text]]&amp;"[")-1))))</f>
        <v/>
      </c>
      <c r="DP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4" s="42" t="n">
        <f aca="false">IF(OR(NOT(Tasks[[#This Row],[_IsLeaf]]=1),Tasks[[#This Row],[_Res2Row]]=0),0,N(Tasks[[#This Row],[_Days]])*HoursPerDay*IF(Tasks[[#This Row],[_Res2Units]]="",DefaultUnits,Tasks[[#This Row],[_Res2Units]]))</f>
        <v>0</v>
      </c>
      <c r="DR34" s="42" t="n">
        <f aca="false">IF(AND(AND(Tasks[[#This Row],[_IsLeaf]]=1,Tasks[[#This Row],[_LeafTotalWork]]&gt;0),Tasks[[#This Row],[_Res2Work]]&gt;0),Tasks[[#This Row],[_Res2Work]]/(Tasks[[#This Row],[_FinishWorkday]]-Tasks[[#This Row],[_StartWorkday]]+1),0)</f>
        <v>0</v>
      </c>
      <c r="DS34" s="42" t="n">
        <f aca="false">Tasks[[#This Row],[_Res2WorkPerWD]]*MAX(0,Tasks[[#This Row],[_StartWorkday]]-1)</f>
        <v>0</v>
      </c>
      <c r="DT34" s="42" t="n">
        <f aca="false">Tasks[[#This Row],[_Res2Work]]*Tasks[[#This Row],[_LeafProgress]]</f>
        <v>0</v>
      </c>
      <c r="DU34" s="42" t="str">
        <f aca="false">IF(Tasks[[#This Row],[_Res3Text]]="","",IF(Tasks[[#This Row],[_Res3Row]]&gt;0,INDEX(res_Name,Tasks[[#This Row],[_Res3Row]]),TRIM(LEFT(Tasks[[#This Row],[_Res3Text]],FIND("[",Tasks[[#This Row],[_Res3Text]]&amp;"[")-1))))</f>
        <v/>
      </c>
      <c r="DV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4" s="42" t="n">
        <f aca="false">IF(OR(NOT(Tasks[[#This Row],[_IsLeaf]]=1),Tasks[[#This Row],[_Res3Row]]=0),0,N(Tasks[[#This Row],[_Days]])*HoursPerDay*IF(Tasks[[#This Row],[_Res3Units]]="",DefaultUnits,Tasks[[#This Row],[_Res3Units]]))</f>
        <v>0</v>
      </c>
      <c r="DX34" s="42" t="n">
        <f aca="false">IF(AND(AND(Tasks[[#This Row],[_IsLeaf]]=1,Tasks[[#This Row],[_LeafTotalWork]]&gt;0),Tasks[[#This Row],[_Res3Work]]&gt;0),Tasks[[#This Row],[_Res3Work]]/(Tasks[[#This Row],[_FinishWorkday]]-Tasks[[#This Row],[_StartWorkday]]+1),0)</f>
        <v>0</v>
      </c>
      <c r="DY34" s="42" t="n">
        <f aca="false">Tasks[[#This Row],[_Res3WorkPerWD]]*MAX(0,Tasks[[#This Row],[_StartWorkday]]-1)</f>
        <v>0</v>
      </c>
      <c r="DZ34" s="42" t="n">
        <f aca="false">Tasks[[#This Row],[_Res3Work]]*Tasks[[#This Row],[_LeafProgress]]</f>
        <v>0</v>
      </c>
      <c r="EA34" s="42" t="str">
        <f aca="false">IF(Tasks[[#This Row],[_Res4Text]]="","",IF(Tasks[[#This Row],[_Res4Row]]&gt;0,INDEX(res_Name,Tasks[[#This Row],[_Res4Row]]),TRIM(LEFT(Tasks[[#This Row],[_Res4Text]],FIND("[",Tasks[[#This Row],[_Res4Text]]&amp;"[")-1))))</f>
        <v/>
      </c>
      <c r="EB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4" s="42" t="n">
        <f aca="false">IF(OR(NOT(Tasks[[#This Row],[_IsLeaf]]=1),Tasks[[#This Row],[_Res4Row]]=0),0,N(Tasks[[#This Row],[_Days]])*HoursPerDay*IF(Tasks[[#This Row],[_Res4Units]]="",DefaultUnits,Tasks[[#This Row],[_Res4Units]]))</f>
        <v>0</v>
      </c>
      <c r="ED34" s="42" t="n">
        <f aca="false">IF(AND(AND(Tasks[[#This Row],[_IsLeaf]]=1,Tasks[[#This Row],[_LeafTotalWork]]&gt;0),Tasks[[#This Row],[_Res4Work]]&gt;0),Tasks[[#This Row],[_Res4Work]]/(Tasks[[#This Row],[_FinishWorkday]]-Tasks[[#This Row],[_StartWorkday]]+1),0)</f>
        <v>0</v>
      </c>
      <c r="EE34" s="42" t="n">
        <f aca="false">Tasks[[#This Row],[_Res4WorkPerWD]]*MAX(0,Tasks[[#This Row],[_StartWorkday]]-1)</f>
        <v>0</v>
      </c>
      <c r="EF34" s="42" t="n">
        <f aca="false">Tasks[[#This Row],[_Res4Work]]*Tasks[[#This Row],[_LeafProgress]]</f>
        <v>0</v>
      </c>
      <c r="EG34" s="42" t="n">
        <f aca="false">IF(ISNUMBER(Tasks[[#This Row],[% Complete]]),Tasks[[#This Row],[% Complete]],IF(Tasks[[#This Row],[Stage]]="",0,IFERROR(INDEX(stg_Pct,MATCH(Tasks[[#This Row],[Stage]],stg_Name,0)),0)))</f>
        <v>0</v>
      </c>
      <c r="EH34" s="42" t="n">
        <f aca="false">IF(NOT(Tasks[[#This Row],[_IsLeaf]]=1),0,IF(N(Tasks[[#This Row],[Actual Finish]])&gt;0,1,MIN(1,Tasks[[#This Row],[_Pct]])))</f>
        <v>0</v>
      </c>
      <c r="EI34" s="42" t="n">
        <f aca="false">IF(OR(NOT(Tasks[[#This Row],[_IsLeaf]]=1),Tasks[[#This Row],[_Res1Row]]=0),0,N(Tasks[[#This Row],[_Days]])*HoursPerDay*IF(Tasks[[#This Row],[_Units1]]="",DefaultUnits,Tasks[[#This Row],[_Units1]]))</f>
        <v>0</v>
      </c>
      <c r="EJ34" s="42" t="n">
        <f aca="false">Tasks[[#This Row],[_LeafWork]]+Tasks[[#This Row],[_Res2Work]]+Tasks[[#This Row],[_Res3Work]]+Tasks[[#This Row],[_Res4Work]]</f>
        <v>0</v>
      </c>
      <c r="EK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4" s="42" t="n">
        <f aca="false">IF(NOT(Tasks[[#This Row],[_IsLeaf]]=1),0,MAX(_xlfn.MAXIFS(Tasks[_Row],Tasks[_Pred1UID],Tasks[[#This Row],[UID]]),_xlfn.MAXIFS(Tasks[_Row],Tasks[_Pred2UID],Tasks[[#This Row],[UID]]),_xlfn.MAXIFS(Tasks[_Row],Tasks[_Pred3UID],Tasks[[#This Row],[UID]]),_xlfn.MAXIFS(Tasks[_Row],Tasks[_Pred4UID],Tasks[[#This Row],[UID]])))</f>
        <v>0</v>
      </c>
      <c r="ET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4" s="89" t="str">
        <f aca="false">IF(NOT(Tasks[[#This Row],[_IsLeaf]]=1),"",IF(N(Tasks[[#This Row],[_Days]])&lt;=0,Tasks[[#This Row],[_LeafLateFinish]],WORKDAY.INTL(Tasks[[#This Row],[_LeafLateFinish]],-(Tasks[[#This Row],[_Days]]-1),WorkWeek,Holidays)))</f>
        <v/>
      </c>
      <c r="EW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4" s="88" t="b">
        <f aca="false">AND(Tasks[[#This Row],[_IsLeaf]]=1,Tasks[[#This Row],[_LeafProgress]]&lt;1,N(Tasks[[#This Row],[_LeafTotalSlack]])&lt;=CriticalSlackDays)</f>
        <v>0</v>
      </c>
      <c r="EY34" s="42" t="n">
        <f aca="false">IF(AND(Tasks[[#This Row],[_IsLeaf]]=1,Tasks[[#This Row],[_ConstraintCode]]=1,Tasks[[#This Row],[Mode]]&lt;&gt;"Manual",N(Tasks[[#This Row],[Actual Start]])=0),MAX(0,N(Tasks[[#This Row],[Free Slack]])),0)</f>
        <v>0</v>
      </c>
      <c r="EZ34" s="89" t="str">
        <f aca="false">IF(NOT(Tasks[[#This Row],[_IsLeaf]]=1),"",IF(Tasks[[#This Row],[_AlapShift]]=0,Tasks[[#This Row],[_LeafCalcStart]],WORKDAY.INTL(Tasks[[#This Row],[_LeafCalcStart]],Tasks[[#This Row],[_AlapShift]],WorkWeek,Holidays)))</f>
        <v/>
      </c>
      <c r="FA34" s="89" t="str">
        <f aca="false">IF(NOT(Tasks[[#This Row],[_IsLeaf]]=1),"",IF(Tasks[[#This Row],[_AlapShift]]=0,Tasks[[#This Row],[_LeafCalcFinish]],WORKDAY.INTL(Tasks[[#This Row],[_LeafCalcFinish]],Tasks[[#This Row],[_AlapShift]],WorkWeek,Holidays)))</f>
        <v/>
      </c>
      <c r="FB34" s="89" t="str">
        <f aca="false">IF(NOT(Tasks[[#This Row],[_IsLeaf]]=1),"",IF(Tasks[[#This Row],[_AlapShift]]=0,Tasks[[#This Row],[_LeafFcstStart]],WORKDAY.INTL(Tasks[[#This Row],[_LeafFcstStart]],Tasks[[#This Row],[_AlapShift]],WorkWeek,Holidays)))</f>
        <v/>
      </c>
      <c r="FC34" s="89" t="str">
        <f aca="false">IF(NOT(Tasks[[#This Row],[_IsLeaf]]=1),"",IF(Tasks[[#This Row],[_AlapShift]]=0,Tasks[[#This Row],[_LeafFcstFinish]],WORKDAY.INTL(Tasks[[#This Row],[_LeafFcstFinish]],Tasks[[#This Row],[_AlapShift]],WorkWeek,Holidays)))</f>
        <v/>
      </c>
      <c r="FD34" s="89" t="str">
        <f aca="false">IF(Tasks[[#This Row],[Task Name]]="","",IF(Tasks[[#This Row],[_IsSummary]],MIN(INDEX(Tasks[_ShownCalcStart],Tasks[[#This Row],[_Row]]+1):INDEX(Tasks[_ShownCalcStart],Tasks[[#This Row],[_Row]]+Tasks[[#This Row],[_Descendants]])),Tasks[[#This Row],[_ShownCalcStart]]))</f>
        <v/>
      </c>
      <c r="FE34" s="89" t="str">
        <f aca="false">IF(Tasks[[#This Row],[Task Name]]="","",IF(Tasks[[#This Row],[_IsSummary]],MAX(INDEX(Tasks[_ShownCalcFinish],Tasks[[#This Row],[_Row]]+1):INDEX(Tasks[_ShownCalcFinish],Tasks[[#This Row],[_Row]]+Tasks[[#This Row],[_Descendants]])),Tasks[[#This Row],[_ShownCalcFinish]]))</f>
        <v/>
      </c>
      <c r="FF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4" s="42" t="n">
        <f aca="false">IF(AND(Tasks[[#This Row],[_IsLeaf]]=1,Tasks[[#This Row],[_LeafTotalWork]]&gt;0),NETWORKDAYS.INTL(ProjectStart,Tasks[[#This Row],[_ShownFcstStart]],WorkWeek,Holidays),0)</f>
        <v>0</v>
      </c>
      <c r="FS34" s="42" t="n">
        <f aca="false">IF(AND(Tasks[[#This Row],[_IsLeaf]]=1,Tasks[[#This Row],[_LeafTotalWork]]&gt;0),MAX(Tasks[[#This Row],[_StartWorkday]],NETWORKDAYS.INTL(ProjectStart,Tasks[[#This Row],[_ShownFcstFinish]],WorkWeek,Holidays)),0)</f>
        <v>0</v>
      </c>
      <c r="FT34" s="42" t="n">
        <f aca="false">IF(AND(Tasks[[#This Row],[_IsLeaf]]=1,Tasks[[#This Row],[_LeafTotalWork]]&gt;0),Tasks[[#This Row],[_LeafWork]]/(Tasks[[#This Row],[_FinishWorkday]]-Tasks[[#This Row],[_StartWorkday]]+1),0)</f>
        <v>0</v>
      </c>
      <c r="FU34" s="42" t="n">
        <f aca="false">Tasks[[#This Row],[_WorkPerWorkday]]*(Tasks[[#This Row],[_StartWorkday]]-1)</f>
        <v>-0</v>
      </c>
      <c r="FV34" s="42" t="n">
        <f aca="false">IF(Tasks[[#This Row],[_IsLeaf]]=1,MAX(N(Tasks[[#This Row],[_Days]]),0.1),0)</f>
        <v>0</v>
      </c>
      <c r="FW34" s="42" t="n">
        <f aca="false">Tasks[[#This Row],[_WeightDur]]*Tasks[[#This Row],[_LeafProgress]]</f>
        <v>0</v>
      </c>
      <c r="FX34" s="42" t="n">
        <f aca="false">Tasks[[#This Row],[_WeightDur]]*Tasks[[#This Row],[_PlannedPct]]</f>
        <v>0</v>
      </c>
      <c r="FY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4" s="42" t="str">
        <f aca="false">IF(AND(Tasks[[#This Row],[_IsLeaf]]=1,N(Tasks[[#This Row],[_Days]])=0,Tasks[[#This Row],[_LeafProgress]]&lt;1),Tasks[[#This Row],[_ShownFcstFinish]]+Tasks[[#This Row],[_Row]]/100000,"")</f>
        <v/>
      </c>
      <c r="GA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4" s="42" t="str">
        <f aca="false">IF(Tasks[[#This Row],[Task Name]]="","",LEFT(Tasks[[#This Row],[WBS]],FIND(".",Tasks[[#This Row],[WBS]]&amp;".")-1))</f>
        <v/>
      </c>
      <c r="GC34" s="42" t="str">
        <f aca="false">IF(AND(Tasks[[#This Row],[Task Name]]&lt;&gt;"",Tasks[[#This Row],[_Level]]=1),Tasks[[#This Row],[_Row]],"")</f>
        <v/>
      </c>
      <c r="GD34" s="42" t="str">
        <f aca="false">IF(AND(Tasks[[#This Row],[_IsLeaf]]=1,N(Tasks[[#This Row],[_Days]])=0),Tasks[[#This Row],[Planned Finish]]+Tasks[[#This Row],[_Row]]/100000,"")</f>
        <v/>
      </c>
      <c r="GE34" s="42" t="str">
        <f aca="false">IF(AND(Tasks[[#This Row],[_IsLeaf]]=1,Tasks[[#This Row],[_LeafProgress]]&lt;1,OR(N(Tasks[[#This Row],[Finish Var]])&gt;0,Tasks[[#This Row],[Status]]="Late Start")),MAX(0,Tasks[[#This Row],[Finish Var]])+1-Tasks[[#This Row],[_Row]]/1000000,"")</f>
        <v/>
      </c>
      <c r="GF34" s="42" t="str">
        <f aca="false">IF(AND(Tasks[[#This Row],[_IsLeaf]]=1,N(Tasks[[#This Row],[Actual Start]])=0,Tasks[[#This Row],[_ShownFcstStart]]&gt;=StatusDate,Tasks[[#This Row],[_ShownFcstStart]]&lt;=LookaheadEnd),Tasks[[#This Row],[_ShownFcstStart]]+Tasks[[#This Row],[_Row]]/100000,"")</f>
        <v/>
      </c>
      <c r="GG34" s="42" t="str">
        <f aca="false">IF(AND(Tasks[[#This Row],[_IsLeaf]]=1,Tasks[[#This Row],[_LeafProgress]]&lt;1,Tasks[[#This Row],[_ShownFcstFinish]]&gt;=StatusDate,Tasks[[#This Row],[_ShownFcstFinish]]&lt;=LookaheadEnd),Tasks[[#This Row],[_ShownFcstFinish]]+Tasks[[#This Row],[_Row]]/100000,"")</f>
        <v/>
      </c>
      <c r="GH34" s="42" t="str">
        <f aca="false">IF(Tasks[[#This Row],[_LeafCritical]],Tasks[[#This Row],[_ShownFcstStart]]+Tasks[[#This Row],[_Row]]/100000,"")</f>
        <v/>
      </c>
      <c r="GI34" s="42" t="n">
        <f aca="false">Tasks[[#This Row],[_LeafWork]]*Tasks[[#This Row],[_LeafProgress]]</f>
        <v>0</v>
      </c>
      <c r="GJ34" s="89" t="str">
        <f aca="false">IF(AND(Tasks[[#This Row],[_IsLeaf]]=1,Tasks[[#This Row],[_LeafProgress]]&gt;=1),IF(N(Tasks[[#This Row],[Actual Finish]])&gt;0,Tasks[[#This Row],[Actual Finish]],Tasks[[#This Row],[_ShownFcstFinish]]),"")</f>
        <v/>
      </c>
      <c r="GK34" s="42" t="n">
        <f aca="false">IF(Tasks[[#This Row],[_IsLeaf]]=1,N(Tasks[[#This Row],[Story Points]]),0)</f>
        <v>0</v>
      </c>
      <c r="GL34" s="42" t="str">
        <f aca="false">""</f>
        <v/>
      </c>
      <c r="GM34" s="88" t="b">
        <f aca="false">IF(Tasks[[#This Row],[Task Name]]="",FALSE(),AND(Tasks[[#This Row],[_IsLeaf]]=1,N(Tasks[[#This Row],[_Days]])=0))</f>
        <v>0</v>
      </c>
      <c r="GN34" s="89" t="n">
        <f aca="false">IF(Tasks[[#This Row],[Task Name]]="",0,IF(AND(Tasks[[#This Row],[_IsLeaf]]=1,NOT(Tasks[[#This Row],[_IsMilestone]]),N(Tasks[[#This Row],[Progress]])&gt;0),Tasks[[#This Row],[Start]],0))</f>
        <v>0</v>
      </c>
      <c r="GO34" s="89" t="n">
        <f aca="false">IF(Tasks[[#This Row],[_DoneFrom]]=0,0,IF(Tasks[[#This Row],[Progress]]&gt;=1,Tasks[[#This Row],[Finish]],MAX(Tasks[[#This Row],[_DoneFrom]],Tasks[[#This Row],[Start]]+ROUND((Tasks[[#This Row],[Finish]]-Tasks[[#This Row],[Start]]+1)*Tasks[[#This Row],[Progress]],0)-1)))</f>
        <v>0</v>
      </c>
      <c r="GP34" s="89" t="n">
        <f aca="false">IF(Tasks[[#This Row],[Task Name]]="",0,IF(OR(NOT(Tasks[[#This Row],[_IsLeaf]]=1),Tasks[[#This Row],[_IsMilestone]],N(Tasks[[#This Row],[Progress]])&gt;=1),0,IF(Tasks[[#This Row],[_DoneTo]]&gt;0,Tasks[[#This Row],[_DoneTo]]+1,Tasks[[#This Row],[Start]])))</f>
        <v>0</v>
      </c>
      <c r="GQ34" s="89" t="n">
        <f aca="false">IF(Tasks[[#This Row],[_RemFrom]]=0,0,Tasks[[#This Row],[Finish]])</f>
        <v>0</v>
      </c>
      <c r="GR34" s="88" t="b">
        <f aca="false">IF(Tasks[[#This Row],[Task Name]]="",FALSE(),OR(NOT(BaselineSet),N(Tasks[[#This Row],[Baseline Start]])&gt;0))</f>
        <v>0</v>
      </c>
      <c r="GS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4" s="90" t="str">
        <f aca="false">IF(Tasks[[#This Row],[_IsLeaf]]=1,Tasks[[#This Row],[_Row]],"")</f>
        <v/>
      </c>
      <c r="GW34" s="90" t="str">
        <f aca="false">IFERROR(INDEX(Tasks[UID],SMALL(Tasks[_PickKey],Tasks[[#This Row],[_Row]]))&amp;" "&amp;INDEX(Tasks[Task Name],SMALL(Tasks[_PickKey],Tasks[[#This Row],[_Row]])),"")</f>
        <v/>
      </c>
      <c r="GX34" s="42" t="str">
        <f aca="false">IF(Tasks[[#This Row],[Task Name]]="","",IF(Tasks[[#This Row],[_IsSummary]],NETWORKDAYS.INTL(Tasks[[#This Row],[Start]],Tasks[[#This Row],[Finish]],WorkWeek,Holidays),N(Tasks[[#This Row],[_Days]])))</f>
        <v/>
      </c>
    </row>
    <row r="35" customFormat="false" ht="15" hidden="false" customHeight="false" outlineLevel="0" collapsed="false">
      <c r="A35" s="21" t="str">
        <f aca="false">IF(Tasks[[#This Row],[Task Name]]="","",COUNTA(Tasks[[#Headers],[Task Name]]:Tasks[[#This Row],[Task Name]])-1)</f>
        <v/>
      </c>
      <c r="B35" s="22" t="n">
        <v>43</v>
      </c>
      <c r="C35" s="22"/>
      <c r="D35" s="23"/>
      <c r="E35" s="22"/>
      <c r="F35" s="23"/>
      <c r="G35" s="22"/>
      <c r="H35" s="22"/>
      <c r="I35" s="23"/>
      <c r="J35" s="22"/>
      <c r="K35" s="22"/>
      <c r="L35" s="23"/>
      <c r="M35" s="22"/>
      <c r="N35" s="22"/>
      <c r="O35" s="23"/>
      <c r="P35" s="22"/>
      <c r="Q35" s="22"/>
      <c r="R35" s="23"/>
      <c r="S35" s="23"/>
      <c r="T35" s="83"/>
      <c r="U35" s="23"/>
      <c r="V35" s="83"/>
      <c r="W35" s="23"/>
      <c r="X35" s="83"/>
      <c r="Y35" s="23"/>
      <c r="Z35" s="83"/>
      <c r="AA35" s="23"/>
      <c r="AB35" s="23"/>
      <c r="AC35" s="7"/>
      <c r="AD35" s="7"/>
      <c r="AE35" s="62" t="str">
        <f aca="false">IF(Tasks[[#This Row],[Task Name]]="","",IF(Tasks[[#This Row],[_IsSummary]],MIN(INDEX(Tasks[_ShownFcstStart],Tasks[[#This Row],[_Row]]+1):INDEX(Tasks[_ShownFcstStart],Tasks[[#This Row],[_Row]]+Tasks[[#This Row],[_Descendants]])),Tasks[[#This Row],[_ShownFcstStart]]))</f>
        <v/>
      </c>
      <c r="AF35" s="62" t="str">
        <f aca="false">IF(Tasks[[#This Row],[Task Name]]="","",IF(Tasks[[#This Row],[_IsSummary]],MAX(INDEX(Tasks[_ShownFcstFinish],Tasks[[#This Row],[_Row]]+1):INDEX(Tasks[_ShownFcstFinish],Tasks[[#This Row],[_Row]]+Tasks[[#This Row],[_Descendants]])),Tasks[[#This Row],[_ShownFcstFinish]]))</f>
        <v/>
      </c>
      <c r="AG35" s="21" t="str">
        <f aca="false">""</f>
        <v/>
      </c>
      <c r="AH35" s="23"/>
      <c r="AI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5" s="7"/>
      <c r="AK35" s="22"/>
      <c r="AL35" s="23"/>
      <c r="AM35" s="7"/>
      <c r="AN35" s="46" t="str">
        <f aca="false">IF(Tasks[[#This Row],[Task Name]]="","",IF(Tasks[[#This Row],[Finish]]&gt;=Tasks[[#This Row],[Planned Finish]],NETWORKDAYS.INTL(Tasks[[#This Row],[Planned Finish]],Tasks[[#This Row],[Finish]],WorkWeek,Holidays)-1,1-NETWORKDAYS.INTL(Tasks[[#This Row],[Finish]],Tasks[[#This Row],[Planned Finish]],WorkWeek,Holidays)))</f>
        <v/>
      </c>
      <c r="AO35" s="21" t="str">
        <f aca="false">IF(Tasks[[#This Row],[Task Name]]="","",IF(Tasks[[#This Row],[Progress]]&gt;=1,"Complete",IF(OR(N(Tasks[[#This Row],[Actual Start]])&gt;0,Tasks[[#This Row],[Progress]]&gt;0),IF(Tasks[[#This Row],[Finish Var]]&gt;0,"Behind","In Progress"),IF(Tasks[[#This Row],[Planned Start]]&lt;StatusDate,"Late Start","Not Started"))))</f>
        <v/>
      </c>
      <c r="AP35" s="21" t="str">
        <f aca="false">IF(Tasks[[#This Row],[Task Name]]="","",IF(IF(Tasks[[#This Row],[_IsSummary]],COUNTIF(INDEX(Tasks[_LeafCritical],Tasks[[#This Row],[_Row]]+1):INDEX(Tasks[_LeafCritical],Tasks[[#This Row],[_Row]]+Tasks[[#This Row],[_Descendants]]),TRUE())&gt;0,Tasks[[#This Row],[_LeafCritical]]),"Yes",""))</f>
        <v/>
      </c>
      <c r="AQ35" s="62" t="str">
        <f aca="false">IF(Tasks[[#This Row],[Task Name]]="","",IF(N(Tasks[[#This Row],[Baseline Start]])&gt;0,Tasks[[#This Row],[Baseline Start]],Tasks[[#This Row],[_CalcStart]]))</f>
        <v/>
      </c>
      <c r="AR35" s="62" t="str">
        <f aca="false">IF(Tasks[[#This Row],[Task Name]]="","",IF(N(Tasks[[#This Row],[Baseline Finish]])&gt;0,Tasks[[#This Row],[Baseline Finish]],Tasks[[#This Row],[_CalcFinish]]))</f>
        <v/>
      </c>
      <c r="AS35" s="46" t="str">
        <f aca="false">IF(Tasks[[#This Row],[Task Name]]="","",IF(Tasks[[#This Row],[Start]]&gt;=Tasks[[#This Row],[Planned Start]],NETWORKDAYS.INTL(Tasks[[#This Row],[Planned Start]],Tasks[[#This Row],[Start]],WorkWeek,Holidays)-1,1-NETWORKDAYS.INTL(Tasks[[#This Row],[Start]],Tasks[[#This Row],[Planned Start]],WorkWeek,Holidays)))</f>
        <v/>
      </c>
      <c r="AT35" s="62" t="str">
        <f aca="false">IF(Tasks[[#This Row],[Task Name]]="","",IF(Tasks[[#This Row],[_IsSummary]],MIN(INDEX(Tasks[_LeafLateStart],Tasks[[#This Row],[_Row]]+1):INDEX(Tasks[_LeafLateStart],Tasks[[#This Row],[_Row]]+Tasks[[#This Row],[_Descendants]])),Tasks[[#This Row],[_LeafLateStart]]))</f>
        <v/>
      </c>
      <c r="AU35" s="62" t="str">
        <f aca="false">IF(Tasks[[#This Row],[Task Name]]="","",IF(Tasks[[#This Row],[_IsSummary]],MAX(INDEX(Tasks[_LeafLateFinish],Tasks[[#This Row],[_Row]]+1):INDEX(Tasks[_LeafLateFinish],Tasks[[#This Row],[_Row]]+Tasks[[#This Row],[_Descendants]])),Tasks[[#This Row],[_LeafLateFinish]]))</f>
        <v/>
      </c>
      <c r="AV35" s="46" t="str">
        <f aca="false">IF(Tasks[[#This Row],[Task Name]]="","",IF(Tasks[[#This Row],[_IsSummary]],MIN(INDEX(Tasks[_LeafTotalSlack],Tasks[[#This Row],[_Row]]+1):INDEX(Tasks[_LeafTotalSlack],Tasks[[#This Row],[_Row]]+Tasks[[#This Row],[_Descendants]])),Tasks[[#This Row],[_LeafTotalSlack]]))</f>
        <v/>
      </c>
      <c r="AW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4"/>
      <c r="BA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t="str">
        <f aca="false">IF(Tasks[[#This Row],[Task Name]]="","",IF(Tasks[[#This Row],[_Level]]&lt;=OutlineShowLevel,"Yes","No"))</f>
        <v/>
      </c>
      <c r="BE35" s="85" t="str">
        <f aca="false">IF(Tasks[[#This Row],[Task Name]]="","",IF(Tasks[[#This Row],[_IsSummary]],SUM(INDEX(Tasks[_LeafTotalWork],Tasks[[#This Row],[_Row]]+1):INDEX(Tasks[_LeafTotalWork],Tasks[[#This Row],[_Row]]+Tasks[[#This Row],[_Descendants]])),Tasks[[#This Row],[_LeafTotalWork]]))</f>
        <v/>
      </c>
      <c r="BF35" s="23"/>
      <c r="BG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t="str">
        <f aca="false">""</f>
        <v/>
      </c>
      <c r="BI35" s="86"/>
      <c r="BJ35" s="22"/>
      <c r="BK35" s="46" t="str">
        <f aca="false">IF(OR(Tasks[[#This Row],[Task Name]]="",Tasks[[#This Row],[Baseline Duration]]=""),"",Tasks[[#This Row],[_SpanDays]]-N(Tasks[[#This Row],[Baseline Duration]]))</f>
        <v/>
      </c>
      <c r="BL35" s="85" t="str">
        <f aca="false">IF(OR(Tasks[[#This Row],[Task Name]]="",Tasks[[#This Row],[Baseline Work]]=""),"",Tasks[[#This Row],[Work]]-N(Tasks[[#This Row],[Baseline Work]]))</f>
        <v/>
      </c>
      <c r="BM35" s="62" t="str">
        <f aca="false">IF(Tasks[[#This Row],[Task Name]]="","",IF(OR(TakeBaseline="Yes",N(Tasks[[#This Row],[Baseline Start]])=0),Tasks[[#This Row],[Start]],Tasks[[#This Row],[Baseline Start]]))</f>
        <v/>
      </c>
      <c r="BN35" s="62" t="str">
        <f aca="false">IF(Tasks[[#This Row],[Task Name]]="","",IF(OR(TakeBaseline="Yes",N(Tasks[[#This Row],[Baseline Finish]])=0),Tasks[[#This Row],[Finish]],Tasks[[#This Row],[Baseline Finish]]))</f>
        <v/>
      </c>
      <c r="BO35" s="21" t="str">
        <f aca="false">IF(Tasks[[#This Row],[Task Name]]="","",IF(OR(TakeBaseline="Yes",N(Tasks[[#This Row],[Baseline Duration]])=0),Tasks[[#This Row],[_SpanDays]],Tasks[[#This Row],[Baseline Duration]]))</f>
        <v/>
      </c>
      <c r="BP35" s="85" t="str">
        <f aca="false">IF(Tasks[[#This Row],[Task Name]]="","",IF(OR(TakeBaseline="Yes",N(Tasks[[#This Row],[Baseline Work]])=0),Tasks[[#This Row],[Work]],Tasks[[#This Row],[Baseline Work]]))</f>
        <v/>
      </c>
      <c r="BQ35" s="7"/>
      <c r="BR35" s="7"/>
      <c r="BS35" s="22"/>
      <c r="BT35" s="87"/>
      <c r="BU35" s="42" t="str">
        <f aca="false">IF(Tasks[[#This Row],[Task Name]]="","",MAX(1,N(Tasks[[#This Row],[Level]])))</f>
        <v/>
      </c>
      <c r="BV35" s="42" t="n">
        <f aca="false">ROW()-ROW(Tasks[[#Headers],[ID]])</f>
        <v>30</v>
      </c>
      <c r="BW35" s="42" t="n">
        <f aca="false">IF(OR(Tasks[[#This Row],[Task Name]]="",Tasks[[#This Row],[_Level]]&lt;=1),0,IFERROR(LOOKUP(2,1/(Tasks[[#Headers],[_Level]]:Tasks[[#This Row],[_Level]]=Tasks[[#This Row],[_Level]]-1),ROW(Tasks[[#Headers],[_Level]]:Tasks[[#This Row],[_Level]])),0))</f>
        <v>0</v>
      </c>
      <c r="BX35" s="42" t="n">
        <f aca="false">IFERROR(N(INDEX(Tasks[_Level],Tasks[[#This Row],[_Row]]+1)),0)</f>
        <v>0</v>
      </c>
      <c r="BY35" s="88" t="b">
        <f aca="false">AND(Tasks[[#This Row],[Task Name]]&lt;&gt;"",Tasks[[#This Row],[_NextLevel]]&gt;Tasks[[#This Row],[_Level]])</f>
        <v>0</v>
      </c>
      <c r="BZ35" s="42" t="n">
        <f aca="false">IF(Tasks[[#This Row],[_IsSummary]],COUNTIF(Tasks[WBS],Tasks[[#This Row],[WBS]]&amp;".*"),0)</f>
        <v>0</v>
      </c>
      <c r="CA35" s="42" t="n">
        <f aca="false">IF(AND(Tasks[[#This Row],[Task Name]]&lt;&gt;"",NOT(Tasks[[#This Row],[_IsSummary]])),1,0)</f>
        <v>0</v>
      </c>
      <c r="CB35" s="42" t="n">
        <f aca="false">IF(N(Tasks[[#This Row],[_Pred1UID]])=0,0,IFERROR(MATCH(Tasks[[#This Row],[_Pred1UID]],Tasks[UID],0),-1))</f>
        <v>0</v>
      </c>
      <c r="CC35" s="42" t="n">
        <f aca="false">IF(N(Tasks[[#This Row],[_Pred2UID]])=0,0,IFERROR(MATCH(Tasks[[#This Row],[_Pred2UID]],Tasks[UID],0),-1))</f>
        <v>0</v>
      </c>
      <c r="CD35" s="42" t="n">
        <f aca="false">IF(N(Tasks[[#This Row],[_Pred3UID]])=0,0,IFERROR(MATCH(Tasks[[#This Row],[_Pred3UID]],Tasks[UID],0),-1))</f>
        <v>0</v>
      </c>
      <c r="CE35" s="42" t="n">
        <f aca="false">IF(N(Tasks[[#This Row],[_Pred4UID]])=0,0,IFERROR(MATCH(Tasks[[#This Row],[_Pred4UID]],Tasks[UID],0),-1))</f>
        <v>0</v>
      </c>
      <c r="CF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5" s="89" t="n">
        <f aca="false">IF(OR(Tasks[[#This Row],[_ConstraintCode]]=2,Tasks[[#This Row],[_ConstraintCode]]=3,Tasks[[#This Row],[_ConstraintCode]]=4,Tasks[[#This Row],[_ConstraintCode]]=6),Tasks[[#This Row],[_ConstraintStart]],0)</f>
        <v>0</v>
      </c>
      <c r="CI35" s="89" t="n">
        <f aca="false">IF(OR(Tasks[[#This Row],[_ConstraintCode]]=2,Tasks[[#This Row],[_ConstraintCode]]=3,Tasks[[#This Row],[_ConstraintCode]]=5,Tasks[[#This Row],[_ConstraintCode]]=7),Tasks[[#This Row],[_ConstraintStart]],2958465)</f>
        <v>2958465</v>
      </c>
      <c r="CJ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5" s="89" t="str">
        <f aca="false">IF(NOT(Tasks[[#This Row],[_IsLeaf]]=1),"",IF(N(Tasks[[#This Row],[_Days]])&lt;=0,Tasks[[#This Row],[_LeafCalcStart]],WORKDAY.INTL(Tasks[[#This Row],[_LeafCalcStart]],Tasks[[#This Row],[_Days]]-1,WorkWeek,Holidays)))</f>
        <v/>
      </c>
      <c r="CL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5" s="42" t="str">
        <f aca="false">IF(Tasks[[#This Row],[_Predecessors]]="","",TRIM(MID(SUBSTITUTE(SUBSTITUTE(SUBSTITUTE(UPPER(Tasks[[#This Row],[_Predecessors]]),";",",")," ",""),",",REPT(" ",99)),1,99)))</f>
        <v/>
      </c>
      <c r="CO35" s="42" t="str">
        <f aca="false">IF(Tasks[[#This Row],[_Pred1Text]]="","",IFERROR(VALUE(LEFT(Tasks[[#This Row],[_Pred1Text]],MIN(FIND("F",Tasks[[#This Row],[_Pred1Text]]&amp;"F"),FIND("S",Tasks[[#This Row],[_Pred1Text]]&amp;"S"),FIND("+",Tasks[[#This Row],[_Pred1Text]]&amp;"+"),FIND("-",Tasks[[#This Row],[_Pred1Text]]&amp;"-"))-1)),""))</f>
        <v/>
      </c>
      <c r="CP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5" s="42" t="str">
        <f aca="false">IF(Tasks[[#This Row],[_Pred1Text]]="","",TRIM(MID(SUBSTITUTE(SUBSTITUTE(SUBSTITUTE(UPPER(Tasks[[#This Row],[_Predecessors]]),";",",")," ",""),",",REPT(" ",99)),100,99)))</f>
        <v/>
      </c>
      <c r="CS35" s="42" t="str">
        <f aca="false">IF(Tasks[[#This Row],[_Pred2Text]]="","",IFERROR(VALUE(LEFT(Tasks[[#This Row],[_Pred2Text]],MIN(FIND("F",Tasks[[#This Row],[_Pred2Text]]&amp;"F"),FIND("S",Tasks[[#This Row],[_Pred2Text]]&amp;"S"),FIND("+",Tasks[[#This Row],[_Pred2Text]]&amp;"+"),FIND("-",Tasks[[#This Row],[_Pred2Text]]&amp;"-"))-1)),""))</f>
        <v/>
      </c>
      <c r="CT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5" s="42" t="str">
        <f aca="false">IF(Tasks[[#This Row],[_Pred2Text]]="","",TRIM(MID(SUBSTITUTE(SUBSTITUTE(SUBSTITUTE(UPPER(Tasks[[#This Row],[_Predecessors]]),";",",")," ",""),",",REPT(" ",99)),199,99)))</f>
        <v/>
      </c>
      <c r="CW35" s="42" t="str">
        <f aca="false">IF(Tasks[[#This Row],[_Pred3Text]]="","",IFERROR(VALUE(LEFT(Tasks[[#This Row],[_Pred3Text]],MIN(FIND("F",Tasks[[#This Row],[_Pred3Text]]&amp;"F"),FIND("S",Tasks[[#This Row],[_Pred3Text]]&amp;"S"),FIND("+",Tasks[[#This Row],[_Pred3Text]]&amp;"+"),FIND("-",Tasks[[#This Row],[_Pred3Text]]&amp;"-"))-1)),""))</f>
        <v/>
      </c>
      <c r="CX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5" s="42" t="str">
        <f aca="false">IF(Tasks[[#This Row],[_Pred3Text]]="","",TRIM(MID(SUBSTITUTE(SUBSTITUTE(SUBSTITUTE(UPPER(Tasks[[#This Row],[_Predecessors]]),";",",")," ",""),",",REPT(" ",99)),298,99)))</f>
        <v/>
      </c>
      <c r="DA35" s="42" t="str">
        <f aca="false">IF(Tasks[[#This Row],[_Pred4Text]]="","",IFERROR(VALUE(LEFT(Tasks[[#This Row],[_Pred4Text]],MIN(FIND("F",Tasks[[#This Row],[_Pred4Text]]&amp;"F"),FIND("S",Tasks[[#This Row],[_Pred4Text]]&amp;"S"),FIND("+",Tasks[[#This Row],[_Pred4Text]]&amp;"+"),FIND("-",Tasks[[#This Row],[_Pred4Text]]&amp;"-"))-1)),""))</f>
        <v/>
      </c>
      <c r="DB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5" s="42" t="str">
        <f aca="false">IF(OR(Tasks[[#This Row],[Task Name]]="",Tasks[[#This Row],[_Resources]]=""),"",TRIM(MID(SUBSTITUTE(Tasks[[#This Row],[_Resources]],",",REPT(" ",99)),1,99)))</f>
        <v/>
      </c>
      <c r="DE35" s="42" t="str">
        <f aca="false">IF(Tasks[[#This Row],[_Res1Text]]="","",TRIM(MID(SUBSTITUTE(Tasks[[#This Row],[_Resources]],",",REPT(" ",99)),100,99)))</f>
        <v/>
      </c>
      <c r="DF35" s="42" t="str">
        <f aca="false">IF(Tasks[[#This Row],[_Res2Text]]="","",TRIM(MID(SUBSTITUTE(Tasks[[#This Row],[_Resources]],",",REPT(" ",99)),199,99)))</f>
        <v/>
      </c>
      <c r="DG35" s="42" t="str">
        <f aca="false">IF(Tasks[[#This Row],[_Res3Text]]="","",TRIM(MID(SUBSTITUTE(Tasks[[#This Row],[_Resources]],",",REPT(" ",99)),298,99)))</f>
        <v/>
      </c>
      <c r="DH35" s="42" t="n">
        <f aca="false">IF(Tasks[[#This Row],[_Res1Text]]="",0,IFERROR(MATCH(TRIM(LEFT(Tasks[[#This Row],[_Res1Text]],FIND("[",Tasks[[#This Row],[_Res1Text]]&amp;"[")-1)),res_Name,0),IFERROR(MATCH(TRIM(LEFT(Tasks[[#This Row],[_Res1Text]],FIND("[",Tasks[[#This Row],[_Res1Text]]&amp;"[")-1)),res_Initials,0),0)))</f>
        <v>0</v>
      </c>
      <c r="DI35" s="42" t="n">
        <f aca="false">IF(Tasks[[#This Row],[_Res2Text]]="",0,IFERROR(MATCH(TRIM(LEFT(Tasks[[#This Row],[_Res2Text]],FIND("[",Tasks[[#This Row],[_Res2Text]]&amp;"[")-1)),res_Name,0),IFERROR(MATCH(TRIM(LEFT(Tasks[[#This Row],[_Res2Text]],FIND("[",Tasks[[#This Row],[_Res2Text]]&amp;"[")-1)),res_Initials,0),0)))</f>
        <v>0</v>
      </c>
      <c r="DJ35" s="42" t="n">
        <f aca="false">IF(Tasks[[#This Row],[_Res3Text]]="",0,IFERROR(MATCH(TRIM(LEFT(Tasks[[#This Row],[_Res3Text]],FIND("[",Tasks[[#This Row],[_Res3Text]]&amp;"[")-1)),res_Name,0),IFERROR(MATCH(TRIM(LEFT(Tasks[[#This Row],[_Res3Text]],FIND("[",Tasks[[#This Row],[_Res3Text]]&amp;"[")-1)),res_Initials,0),0)))</f>
        <v>0</v>
      </c>
      <c r="DK35" s="42" t="n">
        <f aca="false">IF(Tasks[[#This Row],[_Res4Text]]="",0,IFERROR(MATCH(TRIM(LEFT(Tasks[[#This Row],[_Res4Text]],FIND("[",Tasks[[#This Row],[_Res4Text]]&amp;"[")-1)),res_Name,0),IFERROR(MATCH(TRIM(LEFT(Tasks[[#This Row],[_Res4Text]],FIND("[",Tasks[[#This Row],[_Res4Text]]&amp;"[")-1)),res_Initials,0),0)))</f>
        <v>0</v>
      </c>
      <c r="DL35" s="42" t="str">
        <f aca="false">IF(Tasks[[#This Row],[_Res1Text]]="","",IF(Tasks[[#This Row],[_Res1Row]]&gt;0,INDEX(res_Name,Tasks[[#This Row],[_Res1Row]]),TRIM(LEFT(Tasks[[#This Row],[_Res1Text]],FIND("[",Tasks[[#This Row],[_Res1Text]]&amp;"[")-1))))</f>
        <v/>
      </c>
      <c r="DM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5" s="42" t="n">
        <f aca="false">IF(NOT(Tasks[[#This Row],[_IsLeaf]]=1),0,(Tasks[[#This Row],[_Resource1]]&lt;&gt;"")+(Tasks[[#This Row],[_Res2]]&lt;&gt;"")+(Tasks[[#This Row],[_Res3]]&lt;&gt;"")+(Tasks[[#This Row],[_Res4]]&lt;&gt;""))</f>
        <v>0</v>
      </c>
      <c r="DO35" s="42" t="str">
        <f aca="false">IF(Tasks[[#This Row],[_Res2Text]]="","",IF(Tasks[[#This Row],[_Res2Row]]&gt;0,INDEX(res_Name,Tasks[[#This Row],[_Res2Row]]),TRIM(LEFT(Tasks[[#This Row],[_Res2Text]],FIND("[",Tasks[[#This Row],[_Res2Text]]&amp;"[")-1))))</f>
        <v/>
      </c>
      <c r="DP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5" s="42" t="n">
        <f aca="false">IF(OR(NOT(Tasks[[#This Row],[_IsLeaf]]=1),Tasks[[#This Row],[_Res2Row]]=0),0,N(Tasks[[#This Row],[_Days]])*HoursPerDay*IF(Tasks[[#This Row],[_Res2Units]]="",DefaultUnits,Tasks[[#This Row],[_Res2Units]]))</f>
        <v>0</v>
      </c>
      <c r="DR35" s="42" t="n">
        <f aca="false">IF(AND(AND(Tasks[[#This Row],[_IsLeaf]]=1,Tasks[[#This Row],[_LeafTotalWork]]&gt;0),Tasks[[#This Row],[_Res2Work]]&gt;0),Tasks[[#This Row],[_Res2Work]]/(Tasks[[#This Row],[_FinishWorkday]]-Tasks[[#This Row],[_StartWorkday]]+1),0)</f>
        <v>0</v>
      </c>
      <c r="DS35" s="42" t="n">
        <f aca="false">Tasks[[#This Row],[_Res2WorkPerWD]]*MAX(0,Tasks[[#This Row],[_StartWorkday]]-1)</f>
        <v>0</v>
      </c>
      <c r="DT35" s="42" t="n">
        <f aca="false">Tasks[[#This Row],[_Res2Work]]*Tasks[[#This Row],[_LeafProgress]]</f>
        <v>0</v>
      </c>
      <c r="DU35" s="42" t="str">
        <f aca="false">IF(Tasks[[#This Row],[_Res3Text]]="","",IF(Tasks[[#This Row],[_Res3Row]]&gt;0,INDEX(res_Name,Tasks[[#This Row],[_Res3Row]]),TRIM(LEFT(Tasks[[#This Row],[_Res3Text]],FIND("[",Tasks[[#This Row],[_Res3Text]]&amp;"[")-1))))</f>
        <v/>
      </c>
      <c r="DV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5" s="42" t="n">
        <f aca="false">IF(OR(NOT(Tasks[[#This Row],[_IsLeaf]]=1),Tasks[[#This Row],[_Res3Row]]=0),0,N(Tasks[[#This Row],[_Days]])*HoursPerDay*IF(Tasks[[#This Row],[_Res3Units]]="",DefaultUnits,Tasks[[#This Row],[_Res3Units]]))</f>
        <v>0</v>
      </c>
      <c r="DX35" s="42" t="n">
        <f aca="false">IF(AND(AND(Tasks[[#This Row],[_IsLeaf]]=1,Tasks[[#This Row],[_LeafTotalWork]]&gt;0),Tasks[[#This Row],[_Res3Work]]&gt;0),Tasks[[#This Row],[_Res3Work]]/(Tasks[[#This Row],[_FinishWorkday]]-Tasks[[#This Row],[_StartWorkday]]+1),0)</f>
        <v>0</v>
      </c>
      <c r="DY35" s="42" t="n">
        <f aca="false">Tasks[[#This Row],[_Res3WorkPerWD]]*MAX(0,Tasks[[#This Row],[_StartWorkday]]-1)</f>
        <v>0</v>
      </c>
      <c r="DZ35" s="42" t="n">
        <f aca="false">Tasks[[#This Row],[_Res3Work]]*Tasks[[#This Row],[_LeafProgress]]</f>
        <v>0</v>
      </c>
      <c r="EA35" s="42" t="str">
        <f aca="false">IF(Tasks[[#This Row],[_Res4Text]]="","",IF(Tasks[[#This Row],[_Res4Row]]&gt;0,INDEX(res_Name,Tasks[[#This Row],[_Res4Row]]),TRIM(LEFT(Tasks[[#This Row],[_Res4Text]],FIND("[",Tasks[[#This Row],[_Res4Text]]&amp;"[")-1))))</f>
        <v/>
      </c>
      <c r="EB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5" s="42" t="n">
        <f aca="false">IF(OR(NOT(Tasks[[#This Row],[_IsLeaf]]=1),Tasks[[#This Row],[_Res4Row]]=0),0,N(Tasks[[#This Row],[_Days]])*HoursPerDay*IF(Tasks[[#This Row],[_Res4Units]]="",DefaultUnits,Tasks[[#This Row],[_Res4Units]]))</f>
        <v>0</v>
      </c>
      <c r="ED35" s="42" t="n">
        <f aca="false">IF(AND(AND(Tasks[[#This Row],[_IsLeaf]]=1,Tasks[[#This Row],[_LeafTotalWork]]&gt;0),Tasks[[#This Row],[_Res4Work]]&gt;0),Tasks[[#This Row],[_Res4Work]]/(Tasks[[#This Row],[_FinishWorkday]]-Tasks[[#This Row],[_StartWorkday]]+1),0)</f>
        <v>0</v>
      </c>
      <c r="EE35" s="42" t="n">
        <f aca="false">Tasks[[#This Row],[_Res4WorkPerWD]]*MAX(0,Tasks[[#This Row],[_StartWorkday]]-1)</f>
        <v>0</v>
      </c>
      <c r="EF35" s="42" t="n">
        <f aca="false">Tasks[[#This Row],[_Res4Work]]*Tasks[[#This Row],[_LeafProgress]]</f>
        <v>0</v>
      </c>
      <c r="EG35" s="42" t="n">
        <f aca="false">IF(ISNUMBER(Tasks[[#This Row],[% Complete]]),Tasks[[#This Row],[% Complete]],IF(Tasks[[#This Row],[Stage]]="",0,IFERROR(INDEX(stg_Pct,MATCH(Tasks[[#This Row],[Stage]],stg_Name,0)),0)))</f>
        <v>0</v>
      </c>
      <c r="EH35" s="42" t="n">
        <f aca="false">IF(NOT(Tasks[[#This Row],[_IsLeaf]]=1),0,IF(N(Tasks[[#This Row],[Actual Finish]])&gt;0,1,MIN(1,Tasks[[#This Row],[_Pct]])))</f>
        <v>0</v>
      </c>
      <c r="EI35" s="42" t="n">
        <f aca="false">IF(OR(NOT(Tasks[[#This Row],[_IsLeaf]]=1),Tasks[[#This Row],[_Res1Row]]=0),0,N(Tasks[[#This Row],[_Days]])*HoursPerDay*IF(Tasks[[#This Row],[_Units1]]="",DefaultUnits,Tasks[[#This Row],[_Units1]]))</f>
        <v>0</v>
      </c>
      <c r="EJ35" s="42" t="n">
        <f aca="false">Tasks[[#This Row],[_LeafWork]]+Tasks[[#This Row],[_Res2Work]]+Tasks[[#This Row],[_Res3Work]]+Tasks[[#This Row],[_Res4Work]]</f>
        <v>0</v>
      </c>
      <c r="EK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5" s="42" t="n">
        <f aca="false">IF(NOT(Tasks[[#This Row],[_IsLeaf]]=1),0,MAX(_xlfn.MAXIFS(Tasks[_Row],Tasks[_Pred1UID],Tasks[[#This Row],[UID]]),_xlfn.MAXIFS(Tasks[_Row],Tasks[_Pred2UID],Tasks[[#This Row],[UID]]),_xlfn.MAXIFS(Tasks[_Row],Tasks[_Pred3UID],Tasks[[#This Row],[UID]]),_xlfn.MAXIFS(Tasks[_Row],Tasks[_Pred4UID],Tasks[[#This Row],[UID]])))</f>
        <v>0</v>
      </c>
      <c r="ET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5" s="89" t="str">
        <f aca="false">IF(NOT(Tasks[[#This Row],[_IsLeaf]]=1),"",IF(N(Tasks[[#This Row],[_Days]])&lt;=0,Tasks[[#This Row],[_LeafLateFinish]],WORKDAY.INTL(Tasks[[#This Row],[_LeafLateFinish]],-(Tasks[[#This Row],[_Days]]-1),WorkWeek,Holidays)))</f>
        <v/>
      </c>
      <c r="EW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5" s="88" t="b">
        <f aca="false">AND(Tasks[[#This Row],[_IsLeaf]]=1,Tasks[[#This Row],[_LeafProgress]]&lt;1,N(Tasks[[#This Row],[_LeafTotalSlack]])&lt;=CriticalSlackDays)</f>
        <v>0</v>
      </c>
      <c r="EY35" s="42" t="n">
        <f aca="false">IF(AND(Tasks[[#This Row],[_IsLeaf]]=1,Tasks[[#This Row],[_ConstraintCode]]=1,Tasks[[#This Row],[Mode]]&lt;&gt;"Manual",N(Tasks[[#This Row],[Actual Start]])=0),MAX(0,N(Tasks[[#This Row],[Free Slack]])),0)</f>
        <v>0</v>
      </c>
      <c r="EZ35" s="89" t="str">
        <f aca="false">IF(NOT(Tasks[[#This Row],[_IsLeaf]]=1),"",IF(Tasks[[#This Row],[_AlapShift]]=0,Tasks[[#This Row],[_LeafCalcStart]],WORKDAY.INTL(Tasks[[#This Row],[_LeafCalcStart]],Tasks[[#This Row],[_AlapShift]],WorkWeek,Holidays)))</f>
        <v/>
      </c>
      <c r="FA35" s="89" t="str">
        <f aca="false">IF(NOT(Tasks[[#This Row],[_IsLeaf]]=1),"",IF(Tasks[[#This Row],[_AlapShift]]=0,Tasks[[#This Row],[_LeafCalcFinish]],WORKDAY.INTL(Tasks[[#This Row],[_LeafCalcFinish]],Tasks[[#This Row],[_AlapShift]],WorkWeek,Holidays)))</f>
        <v/>
      </c>
      <c r="FB35" s="89" t="str">
        <f aca="false">IF(NOT(Tasks[[#This Row],[_IsLeaf]]=1),"",IF(Tasks[[#This Row],[_AlapShift]]=0,Tasks[[#This Row],[_LeafFcstStart]],WORKDAY.INTL(Tasks[[#This Row],[_LeafFcstStart]],Tasks[[#This Row],[_AlapShift]],WorkWeek,Holidays)))</f>
        <v/>
      </c>
      <c r="FC35" s="89" t="str">
        <f aca="false">IF(NOT(Tasks[[#This Row],[_IsLeaf]]=1),"",IF(Tasks[[#This Row],[_AlapShift]]=0,Tasks[[#This Row],[_LeafFcstFinish]],WORKDAY.INTL(Tasks[[#This Row],[_LeafFcstFinish]],Tasks[[#This Row],[_AlapShift]],WorkWeek,Holidays)))</f>
        <v/>
      </c>
      <c r="FD35" s="89" t="str">
        <f aca="false">IF(Tasks[[#This Row],[Task Name]]="","",IF(Tasks[[#This Row],[_IsSummary]],MIN(INDEX(Tasks[_ShownCalcStart],Tasks[[#This Row],[_Row]]+1):INDEX(Tasks[_ShownCalcStart],Tasks[[#This Row],[_Row]]+Tasks[[#This Row],[_Descendants]])),Tasks[[#This Row],[_ShownCalcStart]]))</f>
        <v/>
      </c>
      <c r="FE35" s="89" t="str">
        <f aca="false">IF(Tasks[[#This Row],[Task Name]]="","",IF(Tasks[[#This Row],[_IsSummary]],MAX(INDEX(Tasks[_ShownCalcFinish],Tasks[[#This Row],[_Row]]+1):INDEX(Tasks[_ShownCalcFinish],Tasks[[#This Row],[_Row]]+Tasks[[#This Row],[_Descendants]])),Tasks[[#This Row],[_ShownCalcFinish]]))</f>
        <v/>
      </c>
      <c r="FF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5" s="42" t="n">
        <f aca="false">IF(AND(Tasks[[#This Row],[_IsLeaf]]=1,Tasks[[#This Row],[_LeafTotalWork]]&gt;0),NETWORKDAYS.INTL(ProjectStart,Tasks[[#This Row],[_ShownFcstStart]],WorkWeek,Holidays),0)</f>
        <v>0</v>
      </c>
      <c r="FS35" s="42" t="n">
        <f aca="false">IF(AND(Tasks[[#This Row],[_IsLeaf]]=1,Tasks[[#This Row],[_LeafTotalWork]]&gt;0),MAX(Tasks[[#This Row],[_StartWorkday]],NETWORKDAYS.INTL(ProjectStart,Tasks[[#This Row],[_ShownFcstFinish]],WorkWeek,Holidays)),0)</f>
        <v>0</v>
      </c>
      <c r="FT35" s="42" t="n">
        <f aca="false">IF(AND(Tasks[[#This Row],[_IsLeaf]]=1,Tasks[[#This Row],[_LeafTotalWork]]&gt;0),Tasks[[#This Row],[_LeafWork]]/(Tasks[[#This Row],[_FinishWorkday]]-Tasks[[#This Row],[_StartWorkday]]+1),0)</f>
        <v>0</v>
      </c>
      <c r="FU35" s="42" t="n">
        <f aca="false">Tasks[[#This Row],[_WorkPerWorkday]]*(Tasks[[#This Row],[_StartWorkday]]-1)</f>
        <v>-0</v>
      </c>
      <c r="FV35" s="42" t="n">
        <f aca="false">IF(Tasks[[#This Row],[_IsLeaf]]=1,MAX(N(Tasks[[#This Row],[_Days]]),0.1),0)</f>
        <v>0</v>
      </c>
      <c r="FW35" s="42" t="n">
        <f aca="false">Tasks[[#This Row],[_WeightDur]]*Tasks[[#This Row],[_LeafProgress]]</f>
        <v>0</v>
      </c>
      <c r="FX35" s="42" t="n">
        <f aca="false">Tasks[[#This Row],[_WeightDur]]*Tasks[[#This Row],[_PlannedPct]]</f>
        <v>0</v>
      </c>
      <c r="FY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5" s="42" t="str">
        <f aca="false">IF(AND(Tasks[[#This Row],[_IsLeaf]]=1,N(Tasks[[#This Row],[_Days]])=0,Tasks[[#This Row],[_LeafProgress]]&lt;1),Tasks[[#This Row],[_ShownFcstFinish]]+Tasks[[#This Row],[_Row]]/100000,"")</f>
        <v/>
      </c>
      <c r="GA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5" s="42" t="str">
        <f aca="false">IF(Tasks[[#This Row],[Task Name]]="","",LEFT(Tasks[[#This Row],[WBS]],FIND(".",Tasks[[#This Row],[WBS]]&amp;".")-1))</f>
        <v/>
      </c>
      <c r="GC35" s="42" t="str">
        <f aca="false">IF(AND(Tasks[[#This Row],[Task Name]]&lt;&gt;"",Tasks[[#This Row],[_Level]]=1),Tasks[[#This Row],[_Row]],"")</f>
        <v/>
      </c>
      <c r="GD35" s="42" t="str">
        <f aca="false">IF(AND(Tasks[[#This Row],[_IsLeaf]]=1,N(Tasks[[#This Row],[_Days]])=0),Tasks[[#This Row],[Planned Finish]]+Tasks[[#This Row],[_Row]]/100000,"")</f>
        <v/>
      </c>
      <c r="GE35" s="42" t="str">
        <f aca="false">IF(AND(Tasks[[#This Row],[_IsLeaf]]=1,Tasks[[#This Row],[_LeafProgress]]&lt;1,OR(N(Tasks[[#This Row],[Finish Var]])&gt;0,Tasks[[#This Row],[Status]]="Late Start")),MAX(0,Tasks[[#This Row],[Finish Var]])+1-Tasks[[#This Row],[_Row]]/1000000,"")</f>
        <v/>
      </c>
      <c r="GF35" s="42" t="str">
        <f aca="false">IF(AND(Tasks[[#This Row],[_IsLeaf]]=1,N(Tasks[[#This Row],[Actual Start]])=0,Tasks[[#This Row],[_ShownFcstStart]]&gt;=StatusDate,Tasks[[#This Row],[_ShownFcstStart]]&lt;=LookaheadEnd),Tasks[[#This Row],[_ShownFcstStart]]+Tasks[[#This Row],[_Row]]/100000,"")</f>
        <v/>
      </c>
      <c r="GG35" s="42" t="str">
        <f aca="false">IF(AND(Tasks[[#This Row],[_IsLeaf]]=1,Tasks[[#This Row],[_LeafProgress]]&lt;1,Tasks[[#This Row],[_ShownFcstFinish]]&gt;=StatusDate,Tasks[[#This Row],[_ShownFcstFinish]]&lt;=LookaheadEnd),Tasks[[#This Row],[_ShownFcstFinish]]+Tasks[[#This Row],[_Row]]/100000,"")</f>
        <v/>
      </c>
      <c r="GH35" s="42" t="str">
        <f aca="false">IF(Tasks[[#This Row],[_LeafCritical]],Tasks[[#This Row],[_ShownFcstStart]]+Tasks[[#This Row],[_Row]]/100000,"")</f>
        <v/>
      </c>
      <c r="GI35" s="42" t="n">
        <f aca="false">Tasks[[#This Row],[_LeafWork]]*Tasks[[#This Row],[_LeafProgress]]</f>
        <v>0</v>
      </c>
      <c r="GJ35" s="89" t="str">
        <f aca="false">IF(AND(Tasks[[#This Row],[_IsLeaf]]=1,Tasks[[#This Row],[_LeafProgress]]&gt;=1),IF(N(Tasks[[#This Row],[Actual Finish]])&gt;0,Tasks[[#This Row],[Actual Finish]],Tasks[[#This Row],[_ShownFcstFinish]]),"")</f>
        <v/>
      </c>
      <c r="GK35" s="42" t="n">
        <f aca="false">IF(Tasks[[#This Row],[_IsLeaf]]=1,N(Tasks[[#This Row],[Story Points]]),0)</f>
        <v>0</v>
      </c>
      <c r="GL35" s="42" t="str">
        <f aca="false">""</f>
        <v/>
      </c>
      <c r="GM35" s="88" t="b">
        <f aca="false">IF(Tasks[[#This Row],[Task Name]]="",FALSE(),AND(Tasks[[#This Row],[_IsLeaf]]=1,N(Tasks[[#This Row],[_Days]])=0))</f>
        <v>0</v>
      </c>
      <c r="GN35" s="89" t="n">
        <f aca="false">IF(Tasks[[#This Row],[Task Name]]="",0,IF(AND(Tasks[[#This Row],[_IsLeaf]]=1,NOT(Tasks[[#This Row],[_IsMilestone]]),N(Tasks[[#This Row],[Progress]])&gt;0),Tasks[[#This Row],[Start]],0))</f>
        <v>0</v>
      </c>
      <c r="GO35" s="89" t="n">
        <f aca="false">IF(Tasks[[#This Row],[_DoneFrom]]=0,0,IF(Tasks[[#This Row],[Progress]]&gt;=1,Tasks[[#This Row],[Finish]],MAX(Tasks[[#This Row],[_DoneFrom]],Tasks[[#This Row],[Start]]+ROUND((Tasks[[#This Row],[Finish]]-Tasks[[#This Row],[Start]]+1)*Tasks[[#This Row],[Progress]],0)-1)))</f>
        <v>0</v>
      </c>
      <c r="GP35" s="89" t="n">
        <f aca="false">IF(Tasks[[#This Row],[Task Name]]="",0,IF(OR(NOT(Tasks[[#This Row],[_IsLeaf]]=1),Tasks[[#This Row],[_IsMilestone]],N(Tasks[[#This Row],[Progress]])&gt;=1),0,IF(Tasks[[#This Row],[_DoneTo]]&gt;0,Tasks[[#This Row],[_DoneTo]]+1,Tasks[[#This Row],[Start]])))</f>
        <v>0</v>
      </c>
      <c r="GQ35" s="89" t="n">
        <f aca="false">IF(Tasks[[#This Row],[_RemFrom]]=0,0,Tasks[[#This Row],[Finish]])</f>
        <v>0</v>
      </c>
      <c r="GR35" s="88" t="b">
        <f aca="false">IF(Tasks[[#This Row],[Task Name]]="",FALSE(),OR(NOT(BaselineSet),N(Tasks[[#This Row],[Baseline Start]])&gt;0))</f>
        <v>0</v>
      </c>
      <c r="GS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5" s="90" t="str">
        <f aca="false">IF(Tasks[[#This Row],[_IsLeaf]]=1,Tasks[[#This Row],[_Row]],"")</f>
        <v/>
      </c>
      <c r="GW35" s="90" t="str">
        <f aca="false">IFERROR(INDEX(Tasks[UID],SMALL(Tasks[_PickKey],Tasks[[#This Row],[_Row]]))&amp;" "&amp;INDEX(Tasks[Task Name],SMALL(Tasks[_PickKey],Tasks[[#This Row],[_Row]])),"")</f>
        <v/>
      </c>
      <c r="GX35" s="42" t="str">
        <f aca="false">IF(Tasks[[#This Row],[Task Name]]="","",IF(Tasks[[#This Row],[_IsSummary]],NETWORKDAYS.INTL(Tasks[[#This Row],[Start]],Tasks[[#This Row],[Finish]],WorkWeek,Holidays),N(Tasks[[#This Row],[_Days]])))</f>
        <v/>
      </c>
    </row>
    <row r="36" customFormat="false" ht="15" hidden="false" customHeight="false" outlineLevel="0" collapsed="false">
      <c r="A36" s="21" t="str">
        <f aca="false">IF(Tasks[[#This Row],[Task Name]]="","",COUNTA(Tasks[[#Headers],[Task Name]]:Tasks[[#This Row],[Task Name]])-1)</f>
        <v/>
      </c>
      <c r="B36" s="22" t="n">
        <v>44</v>
      </c>
      <c r="C36" s="22"/>
      <c r="D36" s="23"/>
      <c r="E36" s="22"/>
      <c r="F36" s="23"/>
      <c r="G36" s="22"/>
      <c r="H36" s="22"/>
      <c r="I36" s="23"/>
      <c r="J36" s="22"/>
      <c r="K36" s="22"/>
      <c r="L36" s="23"/>
      <c r="M36" s="22"/>
      <c r="N36" s="22"/>
      <c r="O36" s="23"/>
      <c r="P36" s="22"/>
      <c r="Q36" s="22"/>
      <c r="R36" s="23"/>
      <c r="S36" s="23"/>
      <c r="T36" s="83"/>
      <c r="U36" s="23"/>
      <c r="V36" s="83"/>
      <c r="W36" s="23"/>
      <c r="X36" s="83"/>
      <c r="Y36" s="23"/>
      <c r="Z36" s="83"/>
      <c r="AA36" s="23"/>
      <c r="AB36" s="23"/>
      <c r="AC36" s="7"/>
      <c r="AD36" s="7"/>
      <c r="AE36" s="62" t="str">
        <f aca="false">IF(Tasks[[#This Row],[Task Name]]="","",IF(Tasks[[#This Row],[_IsSummary]],MIN(INDEX(Tasks[_ShownFcstStart],Tasks[[#This Row],[_Row]]+1):INDEX(Tasks[_ShownFcstStart],Tasks[[#This Row],[_Row]]+Tasks[[#This Row],[_Descendants]])),Tasks[[#This Row],[_ShownFcstStart]]))</f>
        <v/>
      </c>
      <c r="AF36" s="62" t="str">
        <f aca="false">IF(Tasks[[#This Row],[Task Name]]="","",IF(Tasks[[#This Row],[_IsSummary]],MAX(INDEX(Tasks[_ShownFcstFinish],Tasks[[#This Row],[_Row]]+1):INDEX(Tasks[_ShownFcstFinish],Tasks[[#This Row],[_Row]]+Tasks[[#This Row],[_Descendants]])),Tasks[[#This Row],[_ShownFcstFinish]]))</f>
        <v/>
      </c>
      <c r="AG36" s="21" t="str">
        <f aca="false">""</f>
        <v/>
      </c>
      <c r="AH36" s="23"/>
      <c r="AI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6" s="7"/>
      <c r="AK36" s="22"/>
      <c r="AL36" s="23"/>
      <c r="AM36" s="7"/>
      <c r="AN36" s="46" t="str">
        <f aca="false">IF(Tasks[[#This Row],[Task Name]]="","",IF(Tasks[[#This Row],[Finish]]&gt;=Tasks[[#This Row],[Planned Finish]],NETWORKDAYS.INTL(Tasks[[#This Row],[Planned Finish]],Tasks[[#This Row],[Finish]],WorkWeek,Holidays)-1,1-NETWORKDAYS.INTL(Tasks[[#This Row],[Finish]],Tasks[[#This Row],[Planned Finish]],WorkWeek,Holidays)))</f>
        <v/>
      </c>
      <c r="AO36" s="21" t="str">
        <f aca="false">IF(Tasks[[#This Row],[Task Name]]="","",IF(Tasks[[#This Row],[Progress]]&gt;=1,"Complete",IF(OR(N(Tasks[[#This Row],[Actual Start]])&gt;0,Tasks[[#This Row],[Progress]]&gt;0),IF(Tasks[[#This Row],[Finish Var]]&gt;0,"Behind","In Progress"),IF(Tasks[[#This Row],[Planned Start]]&lt;StatusDate,"Late Start","Not Started"))))</f>
        <v/>
      </c>
      <c r="AP36" s="21" t="str">
        <f aca="false">IF(Tasks[[#This Row],[Task Name]]="","",IF(IF(Tasks[[#This Row],[_IsSummary]],COUNTIF(INDEX(Tasks[_LeafCritical],Tasks[[#This Row],[_Row]]+1):INDEX(Tasks[_LeafCritical],Tasks[[#This Row],[_Row]]+Tasks[[#This Row],[_Descendants]]),TRUE())&gt;0,Tasks[[#This Row],[_LeafCritical]]),"Yes",""))</f>
        <v/>
      </c>
      <c r="AQ36" s="62" t="str">
        <f aca="false">IF(Tasks[[#This Row],[Task Name]]="","",IF(N(Tasks[[#This Row],[Baseline Start]])&gt;0,Tasks[[#This Row],[Baseline Start]],Tasks[[#This Row],[_CalcStart]]))</f>
        <v/>
      </c>
      <c r="AR36" s="62" t="str">
        <f aca="false">IF(Tasks[[#This Row],[Task Name]]="","",IF(N(Tasks[[#This Row],[Baseline Finish]])&gt;0,Tasks[[#This Row],[Baseline Finish]],Tasks[[#This Row],[_CalcFinish]]))</f>
        <v/>
      </c>
      <c r="AS36" s="46" t="str">
        <f aca="false">IF(Tasks[[#This Row],[Task Name]]="","",IF(Tasks[[#This Row],[Start]]&gt;=Tasks[[#This Row],[Planned Start]],NETWORKDAYS.INTL(Tasks[[#This Row],[Planned Start]],Tasks[[#This Row],[Start]],WorkWeek,Holidays)-1,1-NETWORKDAYS.INTL(Tasks[[#This Row],[Start]],Tasks[[#This Row],[Planned Start]],WorkWeek,Holidays)))</f>
        <v/>
      </c>
      <c r="AT36" s="62" t="str">
        <f aca="false">IF(Tasks[[#This Row],[Task Name]]="","",IF(Tasks[[#This Row],[_IsSummary]],MIN(INDEX(Tasks[_LeafLateStart],Tasks[[#This Row],[_Row]]+1):INDEX(Tasks[_LeafLateStart],Tasks[[#This Row],[_Row]]+Tasks[[#This Row],[_Descendants]])),Tasks[[#This Row],[_LeafLateStart]]))</f>
        <v/>
      </c>
      <c r="AU36" s="62" t="str">
        <f aca="false">IF(Tasks[[#This Row],[Task Name]]="","",IF(Tasks[[#This Row],[_IsSummary]],MAX(INDEX(Tasks[_LeafLateFinish],Tasks[[#This Row],[_Row]]+1):INDEX(Tasks[_LeafLateFinish],Tasks[[#This Row],[_Row]]+Tasks[[#This Row],[_Descendants]])),Tasks[[#This Row],[_LeafLateFinish]]))</f>
        <v/>
      </c>
      <c r="AV36" s="46" t="str">
        <f aca="false">IF(Tasks[[#This Row],[Task Name]]="","",IF(Tasks[[#This Row],[_IsSummary]],MIN(INDEX(Tasks[_LeafTotalSlack],Tasks[[#This Row],[_Row]]+1):INDEX(Tasks[_LeafTotalSlack],Tasks[[#This Row],[_Row]]+Tasks[[#This Row],[_Descendants]])),Tasks[[#This Row],[_LeafTotalSlack]]))</f>
        <v/>
      </c>
      <c r="AW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4"/>
      <c r="BA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t="str">
        <f aca="false">IF(Tasks[[#This Row],[Task Name]]="","",IF(Tasks[[#This Row],[_Level]]&lt;=OutlineShowLevel,"Yes","No"))</f>
        <v/>
      </c>
      <c r="BE36" s="85" t="str">
        <f aca="false">IF(Tasks[[#This Row],[Task Name]]="","",IF(Tasks[[#This Row],[_IsSummary]],SUM(INDEX(Tasks[_LeafTotalWork],Tasks[[#This Row],[_Row]]+1):INDEX(Tasks[_LeafTotalWork],Tasks[[#This Row],[_Row]]+Tasks[[#This Row],[_Descendants]])),Tasks[[#This Row],[_LeafTotalWork]]))</f>
        <v/>
      </c>
      <c r="BF36" s="23"/>
      <c r="BG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t="str">
        <f aca="false">""</f>
        <v/>
      </c>
      <c r="BI36" s="86"/>
      <c r="BJ36" s="22"/>
      <c r="BK36" s="46" t="str">
        <f aca="false">IF(OR(Tasks[[#This Row],[Task Name]]="",Tasks[[#This Row],[Baseline Duration]]=""),"",Tasks[[#This Row],[_SpanDays]]-N(Tasks[[#This Row],[Baseline Duration]]))</f>
        <v/>
      </c>
      <c r="BL36" s="85" t="str">
        <f aca="false">IF(OR(Tasks[[#This Row],[Task Name]]="",Tasks[[#This Row],[Baseline Work]]=""),"",Tasks[[#This Row],[Work]]-N(Tasks[[#This Row],[Baseline Work]]))</f>
        <v/>
      </c>
      <c r="BM36" s="62" t="str">
        <f aca="false">IF(Tasks[[#This Row],[Task Name]]="","",IF(OR(TakeBaseline="Yes",N(Tasks[[#This Row],[Baseline Start]])=0),Tasks[[#This Row],[Start]],Tasks[[#This Row],[Baseline Start]]))</f>
        <v/>
      </c>
      <c r="BN36" s="62" t="str">
        <f aca="false">IF(Tasks[[#This Row],[Task Name]]="","",IF(OR(TakeBaseline="Yes",N(Tasks[[#This Row],[Baseline Finish]])=0),Tasks[[#This Row],[Finish]],Tasks[[#This Row],[Baseline Finish]]))</f>
        <v/>
      </c>
      <c r="BO36" s="21" t="str">
        <f aca="false">IF(Tasks[[#This Row],[Task Name]]="","",IF(OR(TakeBaseline="Yes",N(Tasks[[#This Row],[Baseline Duration]])=0),Tasks[[#This Row],[_SpanDays]],Tasks[[#This Row],[Baseline Duration]]))</f>
        <v/>
      </c>
      <c r="BP36" s="85" t="str">
        <f aca="false">IF(Tasks[[#This Row],[Task Name]]="","",IF(OR(TakeBaseline="Yes",N(Tasks[[#This Row],[Baseline Work]])=0),Tasks[[#This Row],[Work]],Tasks[[#This Row],[Baseline Work]]))</f>
        <v/>
      </c>
      <c r="BQ36" s="7"/>
      <c r="BR36" s="7"/>
      <c r="BS36" s="22"/>
      <c r="BT36" s="87"/>
      <c r="BU36" s="42" t="str">
        <f aca="false">IF(Tasks[[#This Row],[Task Name]]="","",MAX(1,N(Tasks[[#This Row],[Level]])))</f>
        <v/>
      </c>
      <c r="BV36" s="42" t="n">
        <f aca="false">ROW()-ROW(Tasks[[#Headers],[ID]])</f>
        <v>31</v>
      </c>
      <c r="BW36" s="42" t="n">
        <f aca="false">IF(OR(Tasks[[#This Row],[Task Name]]="",Tasks[[#This Row],[_Level]]&lt;=1),0,IFERROR(LOOKUP(2,1/(Tasks[[#Headers],[_Level]]:Tasks[[#This Row],[_Level]]=Tasks[[#This Row],[_Level]]-1),ROW(Tasks[[#Headers],[_Level]]:Tasks[[#This Row],[_Level]])),0))</f>
        <v>0</v>
      </c>
      <c r="BX36" s="42" t="n">
        <f aca="false">IFERROR(N(INDEX(Tasks[_Level],Tasks[[#This Row],[_Row]]+1)),0)</f>
        <v>0</v>
      </c>
      <c r="BY36" s="88" t="b">
        <f aca="false">AND(Tasks[[#This Row],[Task Name]]&lt;&gt;"",Tasks[[#This Row],[_NextLevel]]&gt;Tasks[[#This Row],[_Level]])</f>
        <v>0</v>
      </c>
      <c r="BZ36" s="42" t="n">
        <f aca="false">IF(Tasks[[#This Row],[_IsSummary]],COUNTIF(Tasks[WBS],Tasks[[#This Row],[WBS]]&amp;".*"),0)</f>
        <v>0</v>
      </c>
      <c r="CA36" s="42" t="n">
        <f aca="false">IF(AND(Tasks[[#This Row],[Task Name]]&lt;&gt;"",NOT(Tasks[[#This Row],[_IsSummary]])),1,0)</f>
        <v>0</v>
      </c>
      <c r="CB36" s="42" t="n">
        <f aca="false">IF(N(Tasks[[#This Row],[_Pred1UID]])=0,0,IFERROR(MATCH(Tasks[[#This Row],[_Pred1UID]],Tasks[UID],0),-1))</f>
        <v>0</v>
      </c>
      <c r="CC36" s="42" t="n">
        <f aca="false">IF(N(Tasks[[#This Row],[_Pred2UID]])=0,0,IFERROR(MATCH(Tasks[[#This Row],[_Pred2UID]],Tasks[UID],0),-1))</f>
        <v>0</v>
      </c>
      <c r="CD36" s="42" t="n">
        <f aca="false">IF(N(Tasks[[#This Row],[_Pred3UID]])=0,0,IFERROR(MATCH(Tasks[[#This Row],[_Pred3UID]],Tasks[UID],0),-1))</f>
        <v>0</v>
      </c>
      <c r="CE36" s="42" t="n">
        <f aca="false">IF(N(Tasks[[#This Row],[_Pred4UID]])=0,0,IFERROR(MATCH(Tasks[[#This Row],[_Pred4UID]],Tasks[UID],0),-1))</f>
        <v>0</v>
      </c>
      <c r="CF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6" s="89" t="n">
        <f aca="false">IF(OR(Tasks[[#This Row],[_ConstraintCode]]=2,Tasks[[#This Row],[_ConstraintCode]]=3,Tasks[[#This Row],[_ConstraintCode]]=4,Tasks[[#This Row],[_ConstraintCode]]=6),Tasks[[#This Row],[_ConstraintStart]],0)</f>
        <v>0</v>
      </c>
      <c r="CI36" s="89" t="n">
        <f aca="false">IF(OR(Tasks[[#This Row],[_ConstraintCode]]=2,Tasks[[#This Row],[_ConstraintCode]]=3,Tasks[[#This Row],[_ConstraintCode]]=5,Tasks[[#This Row],[_ConstraintCode]]=7),Tasks[[#This Row],[_ConstraintStart]],2958465)</f>
        <v>2958465</v>
      </c>
      <c r="CJ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6" s="89" t="str">
        <f aca="false">IF(NOT(Tasks[[#This Row],[_IsLeaf]]=1),"",IF(N(Tasks[[#This Row],[_Days]])&lt;=0,Tasks[[#This Row],[_LeafCalcStart]],WORKDAY.INTL(Tasks[[#This Row],[_LeafCalcStart]],Tasks[[#This Row],[_Days]]-1,WorkWeek,Holidays)))</f>
        <v/>
      </c>
      <c r="CL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6" s="42" t="str">
        <f aca="false">IF(Tasks[[#This Row],[_Predecessors]]="","",TRIM(MID(SUBSTITUTE(SUBSTITUTE(SUBSTITUTE(UPPER(Tasks[[#This Row],[_Predecessors]]),";",",")," ",""),",",REPT(" ",99)),1,99)))</f>
        <v/>
      </c>
      <c r="CO36" s="42" t="str">
        <f aca="false">IF(Tasks[[#This Row],[_Pred1Text]]="","",IFERROR(VALUE(LEFT(Tasks[[#This Row],[_Pred1Text]],MIN(FIND("F",Tasks[[#This Row],[_Pred1Text]]&amp;"F"),FIND("S",Tasks[[#This Row],[_Pred1Text]]&amp;"S"),FIND("+",Tasks[[#This Row],[_Pred1Text]]&amp;"+"),FIND("-",Tasks[[#This Row],[_Pred1Text]]&amp;"-"))-1)),""))</f>
        <v/>
      </c>
      <c r="CP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6" s="42" t="str">
        <f aca="false">IF(Tasks[[#This Row],[_Pred1Text]]="","",TRIM(MID(SUBSTITUTE(SUBSTITUTE(SUBSTITUTE(UPPER(Tasks[[#This Row],[_Predecessors]]),";",",")," ",""),",",REPT(" ",99)),100,99)))</f>
        <v/>
      </c>
      <c r="CS36" s="42" t="str">
        <f aca="false">IF(Tasks[[#This Row],[_Pred2Text]]="","",IFERROR(VALUE(LEFT(Tasks[[#This Row],[_Pred2Text]],MIN(FIND("F",Tasks[[#This Row],[_Pred2Text]]&amp;"F"),FIND("S",Tasks[[#This Row],[_Pred2Text]]&amp;"S"),FIND("+",Tasks[[#This Row],[_Pred2Text]]&amp;"+"),FIND("-",Tasks[[#This Row],[_Pred2Text]]&amp;"-"))-1)),""))</f>
        <v/>
      </c>
      <c r="CT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6" s="42" t="str">
        <f aca="false">IF(Tasks[[#This Row],[_Pred2Text]]="","",TRIM(MID(SUBSTITUTE(SUBSTITUTE(SUBSTITUTE(UPPER(Tasks[[#This Row],[_Predecessors]]),";",",")," ",""),",",REPT(" ",99)),199,99)))</f>
        <v/>
      </c>
      <c r="CW36" s="42" t="str">
        <f aca="false">IF(Tasks[[#This Row],[_Pred3Text]]="","",IFERROR(VALUE(LEFT(Tasks[[#This Row],[_Pred3Text]],MIN(FIND("F",Tasks[[#This Row],[_Pred3Text]]&amp;"F"),FIND("S",Tasks[[#This Row],[_Pred3Text]]&amp;"S"),FIND("+",Tasks[[#This Row],[_Pred3Text]]&amp;"+"),FIND("-",Tasks[[#This Row],[_Pred3Text]]&amp;"-"))-1)),""))</f>
        <v/>
      </c>
      <c r="CX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6" s="42" t="str">
        <f aca="false">IF(Tasks[[#This Row],[_Pred3Text]]="","",TRIM(MID(SUBSTITUTE(SUBSTITUTE(SUBSTITUTE(UPPER(Tasks[[#This Row],[_Predecessors]]),";",",")," ",""),",",REPT(" ",99)),298,99)))</f>
        <v/>
      </c>
      <c r="DA36" s="42" t="str">
        <f aca="false">IF(Tasks[[#This Row],[_Pred4Text]]="","",IFERROR(VALUE(LEFT(Tasks[[#This Row],[_Pred4Text]],MIN(FIND("F",Tasks[[#This Row],[_Pred4Text]]&amp;"F"),FIND("S",Tasks[[#This Row],[_Pred4Text]]&amp;"S"),FIND("+",Tasks[[#This Row],[_Pred4Text]]&amp;"+"),FIND("-",Tasks[[#This Row],[_Pred4Text]]&amp;"-"))-1)),""))</f>
        <v/>
      </c>
      <c r="DB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6" s="42" t="str">
        <f aca="false">IF(OR(Tasks[[#This Row],[Task Name]]="",Tasks[[#This Row],[_Resources]]=""),"",TRIM(MID(SUBSTITUTE(Tasks[[#This Row],[_Resources]],",",REPT(" ",99)),1,99)))</f>
        <v/>
      </c>
      <c r="DE36" s="42" t="str">
        <f aca="false">IF(Tasks[[#This Row],[_Res1Text]]="","",TRIM(MID(SUBSTITUTE(Tasks[[#This Row],[_Resources]],",",REPT(" ",99)),100,99)))</f>
        <v/>
      </c>
      <c r="DF36" s="42" t="str">
        <f aca="false">IF(Tasks[[#This Row],[_Res2Text]]="","",TRIM(MID(SUBSTITUTE(Tasks[[#This Row],[_Resources]],",",REPT(" ",99)),199,99)))</f>
        <v/>
      </c>
      <c r="DG36" s="42" t="str">
        <f aca="false">IF(Tasks[[#This Row],[_Res3Text]]="","",TRIM(MID(SUBSTITUTE(Tasks[[#This Row],[_Resources]],",",REPT(" ",99)),298,99)))</f>
        <v/>
      </c>
      <c r="DH36" s="42" t="n">
        <f aca="false">IF(Tasks[[#This Row],[_Res1Text]]="",0,IFERROR(MATCH(TRIM(LEFT(Tasks[[#This Row],[_Res1Text]],FIND("[",Tasks[[#This Row],[_Res1Text]]&amp;"[")-1)),res_Name,0),IFERROR(MATCH(TRIM(LEFT(Tasks[[#This Row],[_Res1Text]],FIND("[",Tasks[[#This Row],[_Res1Text]]&amp;"[")-1)),res_Initials,0),0)))</f>
        <v>0</v>
      </c>
      <c r="DI36" s="42" t="n">
        <f aca="false">IF(Tasks[[#This Row],[_Res2Text]]="",0,IFERROR(MATCH(TRIM(LEFT(Tasks[[#This Row],[_Res2Text]],FIND("[",Tasks[[#This Row],[_Res2Text]]&amp;"[")-1)),res_Name,0),IFERROR(MATCH(TRIM(LEFT(Tasks[[#This Row],[_Res2Text]],FIND("[",Tasks[[#This Row],[_Res2Text]]&amp;"[")-1)),res_Initials,0),0)))</f>
        <v>0</v>
      </c>
      <c r="DJ36" s="42" t="n">
        <f aca="false">IF(Tasks[[#This Row],[_Res3Text]]="",0,IFERROR(MATCH(TRIM(LEFT(Tasks[[#This Row],[_Res3Text]],FIND("[",Tasks[[#This Row],[_Res3Text]]&amp;"[")-1)),res_Name,0),IFERROR(MATCH(TRIM(LEFT(Tasks[[#This Row],[_Res3Text]],FIND("[",Tasks[[#This Row],[_Res3Text]]&amp;"[")-1)),res_Initials,0),0)))</f>
        <v>0</v>
      </c>
      <c r="DK36" s="42" t="n">
        <f aca="false">IF(Tasks[[#This Row],[_Res4Text]]="",0,IFERROR(MATCH(TRIM(LEFT(Tasks[[#This Row],[_Res4Text]],FIND("[",Tasks[[#This Row],[_Res4Text]]&amp;"[")-1)),res_Name,0),IFERROR(MATCH(TRIM(LEFT(Tasks[[#This Row],[_Res4Text]],FIND("[",Tasks[[#This Row],[_Res4Text]]&amp;"[")-1)),res_Initials,0),0)))</f>
        <v>0</v>
      </c>
      <c r="DL36" s="42" t="str">
        <f aca="false">IF(Tasks[[#This Row],[_Res1Text]]="","",IF(Tasks[[#This Row],[_Res1Row]]&gt;0,INDEX(res_Name,Tasks[[#This Row],[_Res1Row]]),TRIM(LEFT(Tasks[[#This Row],[_Res1Text]],FIND("[",Tasks[[#This Row],[_Res1Text]]&amp;"[")-1))))</f>
        <v/>
      </c>
      <c r="DM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6" s="42" t="n">
        <f aca="false">IF(NOT(Tasks[[#This Row],[_IsLeaf]]=1),0,(Tasks[[#This Row],[_Resource1]]&lt;&gt;"")+(Tasks[[#This Row],[_Res2]]&lt;&gt;"")+(Tasks[[#This Row],[_Res3]]&lt;&gt;"")+(Tasks[[#This Row],[_Res4]]&lt;&gt;""))</f>
        <v>0</v>
      </c>
      <c r="DO36" s="42" t="str">
        <f aca="false">IF(Tasks[[#This Row],[_Res2Text]]="","",IF(Tasks[[#This Row],[_Res2Row]]&gt;0,INDEX(res_Name,Tasks[[#This Row],[_Res2Row]]),TRIM(LEFT(Tasks[[#This Row],[_Res2Text]],FIND("[",Tasks[[#This Row],[_Res2Text]]&amp;"[")-1))))</f>
        <v/>
      </c>
      <c r="DP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6" s="42" t="n">
        <f aca="false">IF(OR(NOT(Tasks[[#This Row],[_IsLeaf]]=1),Tasks[[#This Row],[_Res2Row]]=0),0,N(Tasks[[#This Row],[_Days]])*HoursPerDay*IF(Tasks[[#This Row],[_Res2Units]]="",DefaultUnits,Tasks[[#This Row],[_Res2Units]]))</f>
        <v>0</v>
      </c>
      <c r="DR36" s="42" t="n">
        <f aca="false">IF(AND(AND(Tasks[[#This Row],[_IsLeaf]]=1,Tasks[[#This Row],[_LeafTotalWork]]&gt;0),Tasks[[#This Row],[_Res2Work]]&gt;0),Tasks[[#This Row],[_Res2Work]]/(Tasks[[#This Row],[_FinishWorkday]]-Tasks[[#This Row],[_StartWorkday]]+1),0)</f>
        <v>0</v>
      </c>
      <c r="DS36" s="42" t="n">
        <f aca="false">Tasks[[#This Row],[_Res2WorkPerWD]]*MAX(0,Tasks[[#This Row],[_StartWorkday]]-1)</f>
        <v>0</v>
      </c>
      <c r="DT36" s="42" t="n">
        <f aca="false">Tasks[[#This Row],[_Res2Work]]*Tasks[[#This Row],[_LeafProgress]]</f>
        <v>0</v>
      </c>
      <c r="DU36" s="42" t="str">
        <f aca="false">IF(Tasks[[#This Row],[_Res3Text]]="","",IF(Tasks[[#This Row],[_Res3Row]]&gt;0,INDEX(res_Name,Tasks[[#This Row],[_Res3Row]]),TRIM(LEFT(Tasks[[#This Row],[_Res3Text]],FIND("[",Tasks[[#This Row],[_Res3Text]]&amp;"[")-1))))</f>
        <v/>
      </c>
      <c r="DV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6" s="42" t="n">
        <f aca="false">IF(OR(NOT(Tasks[[#This Row],[_IsLeaf]]=1),Tasks[[#This Row],[_Res3Row]]=0),0,N(Tasks[[#This Row],[_Days]])*HoursPerDay*IF(Tasks[[#This Row],[_Res3Units]]="",DefaultUnits,Tasks[[#This Row],[_Res3Units]]))</f>
        <v>0</v>
      </c>
      <c r="DX36" s="42" t="n">
        <f aca="false">IF(AND(AND(Tasks[[#This Row],[_IsLeaf]]=1,Tasks[[#This Row],[_LeafTotalWork]]&gt;0),Tasks[[#This Row],[_Res3Work]]&gt;0),Tasks[[#This Row],[_Res3Work]]/(Tasks[[#This Row],[_FinishWorkday]]-Tasks[[#This Row],[_StartWorkday]]+1),0)</f>
        <v>0</v>
      </c>
      <c r="DY36" s="42" t="n">
        <f aca="false">Tasks[[#This Row],[_Res3WorkPerWD]]*MAX(0,Tasks[[#This Row],[_StartWorkday]]-1)</f>
        <v>0</v>
      </c>
      <c r="DZ36" s="42" t="n">
        <f aca="false">Tasks[[#This Row],[_Res3Work]]*Tasks[[#This Row],[_LeafProgress]]</f>
        <v>0</v>
      </c>
      <c r="EA36" s="42" t="str">
        <f aca="false">IF(Tasks[[#This Row],[_Res4Text]]="","",IF(Tasks[[#This Row],[_Res4Row]]&gt;0,INDEX(res_Name,Tasks[[#This Row],[_Res4Row]]),TRIM(LEFT(Tasks[[#This Row],[_Res4Text]],FIND("[",Tasks[[#This Row],[_Res4Text]]&amp;"[")-1))))</f>
        <v/>
      </c>
      <c r="EB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6" s="42" t="n">
        <f aca="false">IF(OR(NOT(Tasks[[#This Row],[_IsLeaf]]=1),Tasks[[#This Row],[_Res4Row]]=0),0,N(Tasks[[#This Row],[_Days]])*HoursPerDay*IF(Tasks[[#This Row],[_Res4Units]]="",DefaultUnits,Tasks[[#This Row],[_Res4Units]]))</f>
        <v>0</v>
      </c>
      <c r="ED36" s="42" t="n">
        <f aca="false">IF(AND(AND(Tasks[[#This Row],[_IsLeaf]]=1,Tasks[[#This Row],[_LeafTotalWork]]&gt;0),Tasks[[#This Row],[_Res4Work]]&gt;0),Tasks[[#This Row],[_Res4Work]]/(Tasks[[#This Row],[_FinishWorkday]]-Tasks[[#This Row],[_StartWorkday]]+1),0)</f>
        <v>0</v>
      </c>
      <c r="EE36" s="42" t="n">
        <f aca="false">Tasks[[#This Row],[_Res4WorkPerWD]]*MAX(0,Tasks[[#This Row],[_StartWorkday]]-1)</f>
        <v>0</v>
      </c>
      <c r="EF36" s="42" t="n">
        <f aca="false">Tasks[[#This Row],[_Res4Work]]*Tasks[[#This Row],[_LeafProgress]]</f>
        <v>0</v>
      </c>
      <c r="EG36" s="42" t="n">
        <f aca="false">IF(ISNUMBER(Tasks[[#This Row],[% Complete]]),Tasks[[#This Row],[% Complete]],IF(Tasks[[#This Row],[Stage]]="",0,IFERROR(INDEX(stg_Pct,MATCH(Tasks[[#This Row],[Stage]],stg_Name,0)),0)))</f>
        <v>0</v>
      </c>
      <c r="EH36" s="42" t="n">
        <f aca="false">IF(NOT(Tasks[[#This Row],[_IsLeaf]]=1),0,IF(N(Tasks[[#This Row],[Actual Finish]])&gt;0,1,MIN(1,Tasks[[#This Row],[_Pct]])))</f>
        <v>0</v>
      </c>
      <c r="EI36" s="42" t="n">
        <f aca="false">IF(OR(NOT(Tasks[[#This Row],[_IsLeaf]]=1),Tasks[[#This Row],[_Res1Row]]=0),0,N(Tasks[[#This Row],[_Days]])*HoursPerDay*IF(Tasks[[#This Row],[_Units1]]="",DefaultUnits,Tasks[[#This Row],[_Units1]]))</f>
        <v>0</v>
      </c>
      <c r="EJ36" s="42" t="n">
        <f aca="false">Tasks[[#This Row],[_LeafWork]]+Tasks[[#This Row],[_Res2Work]]+Tasks[[#This Row],[_Res3Work]]+Tasks[[#This Row],[_Res4Work]]</f>
        <v>0</v>
      </c>
      <c r="EK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6" s="42" t="n">
        <f aca="false">IF(NOT(Tasks[[#This Row],[_IsLeaf]]=1),0,MAX(_xlfn.MAXIFS(Tasks[_Row],Tasks[_Pred1UID],Tasks[[#This Row],[UID]]),_xlfn.MAXIFS(Tasks[_Row],Tasks[_Pred2UID],Tasks[[#This Row],[UID]]),_xlfn.MAXIFS(Tasks[_Row],Tasks[_Pred3UID],Tasks[[#This Row],[UID]]),_xlfn.MAXIFS(Tasks[_Row],Tasks[_Pred4UID],Tasks[[#This Row],[UID]])))</f>
        <v>0</v>
      </c>
      <c r="ET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6" s="89" t="str">
        <f aca="false">IF(NOT(Tasks[[#This Row],[_IsLeaf]]=1),"",IF(N(Tasks[[#This Row],[_Days]])&lt;=0,Tasks[[#This Row],[_LeafLateFinish]],WORKDAY.INTL(Tasks[[#This Row],[_LeafLateFinish]],-(Tasks[[#This Row],[_Days]]-1),WorkWeek,Holidays)))</f>
        <v/>
      </c>
      <c r="EW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6" s="88" t="b">
        <f aca="false">AND(Tasks[[#This Row],[_IsLeaf]]=1,Tasks[[#This Row],[_LeafProgress]]&lt;1,N(Tasks[[#This Row],[_LeafTotalSlack]])&lt;=CriticalSlackDays)</f>
        <v>0</v>
      </c>
      <c r="EY36" s="42" t="n">
        <f aca="false">IF(AND(Tasks[[#This Row],[_IsLeaf]]=1,Tasks[[#This Row],[_ConstraintCode]]=1,Tasks[[#This Row],[Mode]]&lt;&gt;"Manual",N(Tasks[[#This Row],[Actual Start]])=0),MAX(0,N(Tasks[[#This Row],[Free Slack]])),0)</f>
        <v>0</v>
      </c>
      <c r="EZ36" s="89" t="str">
        <f aca="false">IF(NOT(Tasks[[#This Row],[_IsLeaf]]=1),"",IF(Tasks[[#This Row],[_AlapShift]]=0,Tasks[[#This Row],[_LeafCalcStart]],WORKDAY.INTL(Tasks[[#This Row],[_LeafCalcStart]],Tasks[[#This Row],[_AlapShift]],WorkWeek,Holidays)))</f>
        <v/>
      </c>
      <c r="FA36" s="89" t="str">
        <f aca="false">IF(NOT(Tasks[[#This Row],[_IsLeaf]]=1),"",IF(Tasks[[#This Row],[_AlapShift]]=0,Tasks[[#This Row],[_LeafCalcFinish]],WORKDAY.INTL(Tasks[[#This Row],[_LeafCalcFinish]],Tasks[[#This Row],[_AlapShift]],WorkWeek,Holidays)))</f>
        <v/>
      </c>
      <c r="FB36" s="89" t="str">
        <f aca="false">IF(NOT(Tasks[[#This Row],[_IsLeaf]]=1),"",IF(Tasks[[#This Row],[_AlapShift]]=0,Tasks[[#This Row],[_LeafFcstStart]],WORKDAY.INTL(Tasks[[#This Row],[_LeafFcstStart]],Tasks[[#This Row],[_AlapShift]],WorkWeek,Holidays)))</f>
        <v/>
      </c>
      <c r="FC36" s="89" t="str">
        <f aca="false">IF(NOT(Tasks[[#This Row],[_IsLeaf]]=1),"",IF(Tasks[[#This Row],[_AlapShift]]=0,Tasks[[#This Row],[_LeafFcstFinish]],WORKDAY.INTL(Tasks[[#This Row],[_LeafFcstFinish]],Tasks[[#This Row],[_AlapShift]],WorkWeek,Holidays)))</f>
        <v/>
      </c>
      <c r="FD36" s="89" t="str">
        <f aca="false">IF(Tasks[[#This Row],[Task Name]]="","",IF(Tasks[[#This Row],[_IsSummary]],MIN(INDEX(Tasks[_ShownCalcStart],Tasks[[#This Row],[_Row]]+1):INDEX(Tasks[_ShownCalcStart],Tasks[[#This Row],[_Row]]+Tasks[[#This Row],[_Descendants]])),Tasks[[#This Row],[_ShownCalcStart]]))</f>
        <v/>
      </c>
      <c r="FE36" s="89" t="str">
        <f aca="false">IF(Tasks[[#This Row],[Task Name]]="","",IF(Tasks[[#This Row],[_IsSummary]],MAX(INDEX(Tasks[_ShownCalcFinish],Tasks[[#This Row],[_Row]]+1):INDEX(Tasks[_ShownCalcFinish],Tasks[[#This Row],[_Row]]+Tasks[[#This Row],[_Descendants]])),Tasks[[#This Row],[_ShownCalcFinish]]))</f>
        <v/>
      </c>
      <c r="FF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6" s="42" t="n">
        <f aca="false">IF(AND(Tasks[[#This Row],[_IsLeaf]]=1,Tasks[[#This Row],[_LeafTotalWork]]&gt;0),NETWORKDAYS.INTL(ProjectStart,Tasks[[#This Row],[_ShownFcstStart]],WorkWeek,Holidays),0)</f>
        <v>0</v>
      </c>
      <c r="FS36" s="42" t="n">
        <f aca="false">IF(AND(Tasks[[#This Row],[_IsLeaf]]=1,Tasks[[#This Row],[_LeafTotalWork]]&gt;0),MAX(Tasks[[#This Row],[_StartWorkday]],NETWORKDAYS.INTL(ProjectStart,Tasks[[#This Row],[_ShownFcstFinish]],WorkWeek,Holidays)),0)</f>
        <v>0</v>
      </c>
      <c r="FT36" s="42" t="n">
        <f aca="false">IF(AND(Tasks[[#This Row],[_IsLeaf]]=1,Tasks[[#This Row],[_LeafTotalWork]]&gt;0),Tasks[[#This Row],[_LeafWork]]/(Tasks[[#This Row],[_FinishWorkday]]-Tasks[[#This Row],[_StartWorkday]]+1),0)</f>
        <v>0</v>
      </c>
      <c r="FU36" s="42" t="n">
        <f aca="false">Tasks[[#This Row],[_WorkPerWorkday]]*(Tasks[[#This Row],[_StartWorkday]]-1)</f>
        <v>-0</v>
      </c>
      <c r="FV36" s="42" t="n">
        <f aca="false">IF(Tasks[[#This Row],[_IsLeaf]]=1,MAX(N(Tasks[[#This Row],[_Days]]),0.1),0)</f>
        <v>0</v>
      </c>
      <c r="FW36" s="42" t="n">
        <f aca="false">Tasks[[#This Row],[_WeightDur]]*Tasks[[#This Row],[_LeafProgress]]</f>
        <v>0</v>
      </c>
      <c r="FX36" s="42" t="n">
        <f aca="false">Tasks[[#This Row],[_WeightDur]]*Tasks[[#This Row],[_PlannedPct]]</f>
        <v>0</v>
      </c>
      <c r="FY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6" s="42" t="str">
        <f aca="false">IF(AND(Tasks[[#This Row],[_IsLeaf]]=1,N(Tasks[[#This Row],[_Days]])=0,Tasks[[#This Row],[_LeafProgress]]&lt;1),Tasks[[#This Row],[_ShownFcstFinish]]+Tasks[[#This Row],[_Row]]/100000,"")</f>
        <v/>
      </c>
      <c r="GA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6" s="42" t="str">
        <f aca="false">IF(Tasks[[#This Row],[Task Name]]="","",LEFT(Tasks[[#This Row],[WBS]],FIND(".",Tasks[[#This Row],[WBS]]&amp;".")-1))</f>
        <v/>
      </c>
      <c r="GC36" s="42" t="str">
        <f aca="false">IF(AND(Tasks[[#This Row],[Task Name]]&lt;&gt;"",Tasks[[#This Row],[_Level]]=1),Tasks[[#This Row],[_Row]],"")</f>
        <v/>
      </c>
      <c r="GD36" s="42" t="str">
        <f aca="false">IF(AND(Tasks[[#This Row],[_IsLeaf]]=1,N(Tasks[[#This Row],[_Days]])=0),Tasks[[#This Row],[Planned Finish]]+Tasks[[#This Row],[_Row]]/100000,"")</f>
        <v/>
      </c>
      <c r="GE36" s="42" t="str">
        <f aca="false">IF(AND(Tasks[[#This Row],[_IsLeaf]]=1,Tasks[[#This Row],[_LeafProgress]]&lt;1,OR(N(Tasks[[#This Row],[Finish Var]])&gt;0,Tasks[[#This Row],[Status]]="Late Start")),MAX(0,Tasks[[#This Row],[Finish Var]])+1-Tasks[[#This Row],[_Row]]/1000000,"")</f>
        <v/>
      </c>
      <c r="GF36" s="42" t="str">
        <f aca="false">IF(AND(Tasks[[#This Row],[_IsLeaf]]=1,N(Tasks[[#This Row],[Actual Start]])=0,Tasks[[#This Row],[_ShownFcstStart]]&gt;=StatusDate,Tasks[[#This Row],[_ShownFcstStart]]&lt;=LookaheadEnd),Tasks[[#This Row],[_ShownFcstStart]]+Tasks[[#This Row],[_Row]]/100000,"")</f>
        <v/>
      </c>
      <c r="GG36" s="42" t="str">
        <f aca="false">IF(AND(Tasks[[#This Row],[_IsLeaf]]=1,Tasks[[#This Row],[_LeafProgress]]&lt;1,Tasks[[#This Row],[_ShownFcstFinish]]&gt;=StatusDate,Tasks[[#This Row],[_ShownFcstFinish]]&lt;=LookaheadEnd),Tasks[[#This Row],[_ShownFcstFinish]]+Tasks[[#This Row],[_Row]]/100000,"")</f>
        <v/>
      </c>
      <c r="GH36" s="42" t="str">
        <f aca="false">IF(Tasks[[#This Row],[_LeafCritical]],Tasks[[#This Row],[_ShownFcstStart]]+Tasks[[#This Row],[_Row]]/100000,"")</f>
        <v/>
      </c>
      <c r="GI36" s="42" t="n">
        <f aca="false">Tasks[[#This Row],[_LeafWork]]*Tasks[[#This Row],[_LeafProgress]]</f>
        <v>0</v>
      </c>
      <c r="GJ36" s="89" t="str">
        <f aca="false">IF(AND(Tasks[[#This Row],[_IsLeaf]]=1,Tasks[[#This Row],[_LeafProgress]]&gt;=1),IF(N(Tasks[[#This Row],[Actual Finish]])&gt;0,Tasks[[#This Row],[Actual Finish]],Tasks[[#This Row],[_ShownFcstFinish]]),"")</f>
        <v/>
      </c>
      <c r="GK36" s="42" t="n">
        <f aca="false">IF(Tasks[[#This Row],[_IsLeaf]]=1,N(Tasks[[#This Row],[Story Points]]),0)</f>
        <v>0</v>
      </c>
      <c r="GL36" s="42" t="str">
        <f aca="false">""</f>
        <v/>
      </c>
      <c r="GM36" s="88" t="b">
        <f aca="false">IF(Tasks[[#This Row],[Task Name]]="",FALSE(),AND(Tasks[[#This Row],[_IsLeaf]]=1,N(Tasks[[#This Row],[_Days]])=0))</f>
        <v>0</v>
      </c>
      <c r="GN36" s="89" t="n">
        <f aca="false">IF(Tasks[[#This Row],[Task Name]]="",0,IF(AND(Tasks[[#This Row],[_IsLeaf]]=1,NOT(Tasks[[#This Row],[_IsMilestone]]),N(Tasks[[#This Row],[Progress]])&gt;0),Tasks[[#This Row],[Start]],0))</f>
        <v>0</v>
      </c>
      <c r="GO36" s="89" t="n">
        <f aca="false">IF(Tasks[[#This Row],[_DoneFrom]]=0,0,IF(Tasks[[#This Row],[Progress]]&gt;=1,Tasks[[#This Row],[Finish]],MAX(Tasks[[#This Row],[_DoneFrom]],Tasks[[#This Row],[Start]]+ROUND((Tasks[[#This Row],[Finish]]-Tasks[[#This Row],[Start]]+1)*Tasks[[#This Row],[Progress]],0)-1)))</f>
        <v>0</v>
      </c>
      <c r="GP36" s="89" t="n">
        <f aca="false">IF(Tasks[[#This Row],[Task Name]]="",0,IF(OR(NOT(Tasks[[#This Row],[_IsLeaf]]=1),Tasks[[#This Row],[_IsMilestone]],N(Tasks[[#This Row],[Progress]])&gt;=1),0,IF(Tasks[[#This Row],[_DoneTo]]&gt;0,Tasks[[#This Row],[_DoneTo]]+1,Tasks[[#This Row],[Start]])))</f>
        <v>0</v>
      </c>
      <c r="GQ36" s="89" t="n">
        <f aca="false">IF(Tasks[[#This Row],[_RemFrom]]=0,0,Tasks[[#This Row],[Finish]])</f>
        <v>0</v>
      </c>
      <c r="GR36" s="88" t="b">
        <f aca="false">IF(Tasks[[#This Row],[Task Name]]="",FALSE(),OR(NOT(BaselineSet),N(Tasks[[#This Row],[Baseline Start]])&gt;0))</f>
        <v>0</v>
      </c>
      <c r="GS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6" s="90" t="str">
        <f aca="false">IF(Tasks[[#This Row],[_IsLeaf]]=1,Tasks[[#This Row],[_Row]],"")</f>
        <v/>
      </c>
      <c r="GW36" s="90" t="str">
        <f aca="false">IFERROR(INDEX(Tasks[UID],SMALL(Tasks[_PickKey],Tasks[[#This Row],[_Row]]))&amp;" "&amp;INDEX(Tasks[Task Name],SMALL(Tasks[_PickKey],Tasks[[#This Row],[_Row]])),"")</f>
        <v/>
      </c>
      <c r="GX36" s="42" t="str">
        <f aca="false">IF(Tasks[[#This Row],[Task Name]]="","",IF(Tasks[[#This Row],[_IsSummary]],NETWORKDAYS.INTL(Tasks[[#This Row],[Start]],Tasks[[#This Row],[Finish]],WorkWeek,Holidays),N(Tasks[[#This Row],[_Days]])))</f>
        <v/>
      </c>
    </row>
    <row r="37" customFormat="false" ht="15" hidden="false" customHeight="false" outlineLevel="0" collapsed="false">
      <c r="A37" s="21" t="str">
        <f aca="false">IF(Tasks[[#This Row],[Task Name]]="","",COUNTA(Tasks[[#Headers],[Task Name]]:Tasks[[#This Row],[Task Name]])-1)</f>
        <v/>
      </c>
      <c r="B37" s="22" t="n">
        <v>45</v>
      </c>
      <c r="C37" s="22"/>
      <c r="D37" s="23"/>
      <c r="E37" s="22"/>
      <c r="F37" s="23"/>
      <c r="G37" s="22"/>
      <c r="H37" s="22"/>
      <c r="I37" s="23"/>
      <c r="J37" s="22"/>
      <c r="K37" s="22"/>
      <c r="L37" s="23"/>
      <c r="M37" s="22"/>
      <c r="N37" s="22"/>
      <c r="O37" s="23"/>
      <c r="P37" s="22"/>
      <c r="Q37" s="22"/>
      <c r="R37" s="23"/>
      <c r="S37" s="23"/>
      <c r="T37" s="83"/>
      <c r="U37" s="23"/>
      <c r="V37" s="83"/>
      <c r="W37" s="23"/>
      <c r="X37" s="83"/>
      <c r="Y37" s="23"/>
      <c r="Z37" s="83"/>
      <c r="AA37" s="23"/>
      <c r="AB37" s="23"/>
      <c r="AC37" s="7"/>
      <c r="AD37" s="7"/>
      <c r="AE37" s="62" t="str">
        <f aca="false">IF(Tasks[[#This Row],[Task Name]]="","",IF(Tasks[[#This Row],[_IsSummary]],MIN(INDEX(Tasks[_ShownFcstStart],Tasks[[#This Row],[_Row]]+1):INDEX(Tasks[_ShownFcstStart],Tasks[[#This Row],[_Row]]+Tasks[[#This Row],[_Descendants]])),Tasks[[#This Row],[_ShownFcstStart]]))</f>
        <v/>
      </c>
      <c r="AF37" s="62" t="str">
        <f aca="false">IF(Tasks[[#This Row],[Task Name]]="","",IF(Tasks[[#This Row],[_IsSummary]],MAX(INDEX(Tasks[_ShownFcstFinish],Tasks[[#This Row],[_Row]]+1):INDEX(Tasks[_ShownFcstFinish],Tasks[[#This Row],[_Row]]+Tasks[[#This Row],[_Descendants]])),Tasks[[#This Row],[_ShownFcstFinish]]))</f>
        <v/>
      </c>
      <c r="AG37" s="21" t="str">
        <f aca="false">""</f>
        <v/>
      </c>
      <c r="AH37" s="23"/>
      <c r="AI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7" s="7"/>
      <c r="AK37" s="22"/>
      <c r="AL37" s="23"/>
      <c r="AM37" s="7"/>
      <c r="AN37" s="46" t="str">
        <f aca="false">IF(Tasks[[#This Row],[Task Name]]="","",IF(Tasks[[#This Row],[Finish]]&gt;=Tasks[[#This Row],[Planned Finish]],NETWORKDAYS.INTL(Tasks[[#This Row],[Planned Finish]],Tasks[[#This Row],[Finish]],WorkWeek,Holidays)-1,1-NETWORKDAYS.INTL(Tasks[[#This Row],[Finish]],Tasks[[#This Row],[Planned Finish]],WorkWeek,Holidays)))</f>
        <v/>
      </c>
      <c r="AO37" s="21" t="str">
        <f aca="false">IF(Tasks[[#This Row],[Task Name]]="","",IF(Tasks[[#This Row],[Progress]]&gt;=1,"Complete",IF(OR(N(Tasks[[#This Row],[Actual Start]])&gt;0,Tasks[[#This Row],[Progress]]&gt;0),IF(Tasks[[#This Row],[Finish Var]]&gt;0,"Behind","In Progress"),IF(Tasks[[#This Row],[Planned Start]]&lt;StatusDate,"Late Start","Not Started"))))</f>
        <v/>
      </c>
      <c r="AP37" s="21" t="str">
        <f aca="false">IF(Tasks[[#This Row],[Task Name]]="","",IF(IF(Tasks[[#This Row],[_IsSummary]],COUNTIF(INDEX(Tasks[_LeafCritical],Tasks[[#This Row],[_Row]]+1):INDEX(Tasks[_LeafCritical],Tasks[[#This Row],[_Row]]+Tasks[[#This Row],[_Descendants]]),TRUE())&gt;0,Tasks[[#This Row],[_LeafCritical]]),"Yes",""))</f>
        <v/>
      </c>
      <c r="AQ37" s="62" t="str">
        <f aca="false">IF(Tasks[[#This Row],[Task Name]]="","",IF(N(Tasks[[#This Row],[Baseline Start]])&gt;0,Tasks[[#This Row],[Baseline Start]],Tasks[[#This Row],[_CalcStart]]))</f>
        <v/>
      </c>
      <c r="AR37" s="62" t="str">
        <f aca="false">IF(Tasks[[#This Row],[Task Name]]="","",IF(N(Tasks[[#This Row],[Baseline Finish]])&gt;0,Tasks[[#This Row],[Baseline Finish]],Tasks[[#This Row],[_CalcFinish]]))</f>
        <v/>
      </c>
      <c r="AS37" s="46" t="str">
        <f aca="false">IF(Tasks[[#This Row],[Task Name]]="","",IF(Tasks[[#This Row],[Start]]&gt;=Tasks[[#This Row],[Planned Start]],NETWORKDAYS.INTL(Tasks[[#This Row],[Planned Start]],Tasks[[#This Row],[Start]],WorkWeek,Holidays)-1,1-NETWORKDAYS.INTL(Tasks[[#This Row],[Start]],Tasks[[#This Row],[Planned Start]],WorkWeek,Holidays)))</f>
        <v/>
      </c>
      <c r="AT37" s="62" t="str">
        <f aca="false">IF(Tasks[[#This Row],[Task Name]]="","",IF(Tasks[[#This Row],[_IsSummary]],MIN(INDEX(Tasks[_LeafLateStart],Tasks[[#This Row],[_Row]]+1):INDEX(Tasks[_LeafLateStart],Tasks[[#This Row],[_Row]]+Tasks[[#This Row],[_Descendants]])),Tasks[[#This Row],[_LeafLateStart]]))</f>
        <v/>
      </c>
      <c r="AU37" s="62" t="str">
        <f aca="false">IF(Tasks[[#This Row],[Task Name]]="","",IF(Tasks[[#This Row],[_IsSummary]],MAX(INDEX(Tasks[_LeafLateFinish],Tasks[[#This Row],[_Row]]+1):INDEX(Tasks[_LeafLateFinish],Tasks[[#This Row],[_Row]]+Tasks[[#This Row],[_Descendants]])),Tasks[[#This Row],[_LeafLateFinish]]))</f>
        <v/>
      </c>
      <c r="AV37" s="46" t="str">
        <f aca="false">IF(Tasks[[#This Row],[Task Name]]="","",IF(Tasks[[#This Row],[_IsSummary]],MIN(INDEX(Tasks[_LeafTotalSlack],Tasks[[#This Row],[_Row]]+1):INDEX(Tasks[_LeafTotalSlack],Tasks[[#This Row],[_Row]]+Tasks[[#This Row],[_Descendants]])),Tasks[[#This Row],[_LeafTotalSlack]]))</f>
        <v/>
      </c>
      <c r="AW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4"/>
      <c r="BA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t="str">
        <f aca="false">IF(Tasks[[#This Row],[Task Name]]="","",IF(Tasks[[#This Row],[_Level]]&lt;=OutlineShowLevel,"Yes","No"))</f>
        <v/>
      </c>
      <c r="BE37" s="85" t="str">
        <f aca="false">IF(Tasks[[#This Row],[Task Name]]="","",IF(Tasks[[#This Row],[_IsSummary]],SUM(INDEX(Tasks[_LeafTotalWork],Tasks[[#This Row],[_Row]]+1):INDEX(Tasks[_LeafTotalWork],Tasks[[#This Row],[_Row]]+Tasks[[#This Row],[_Descendants]])),Tasks[[#This Row],[_LeafTotalWork]]))</f>
        <v/>
      </c>
      <c r="BF37" s="23"/>
      <c r="BG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t="str">
        <f aca="false">""</f>
        <v/>
      </c>
      <c r="BI37" s="86"/>
      <c r="BJ37" s="22"/>
      <c r="BK37" s="46" t="str">
        <f aca="false">IF(OR(Tasks[[#This Row],[Task Name]]="",Tasks[[#This Row],[Baseline Duration]]=""),"",Tasks[[#This Row],[_SpanDays]]-N(Tasks[[#This Row],[Baseline Duration]]))</f>
        <v/>
      </c>
      <c r="BL37" s="85" t="str">
        <f aca="false">IF(OR(Tasks[[#This Row],[Task Name]]="",Tasks[[#This Row],[Baseline Work]]=""),"",Tasks[[#This Row],[Work]]-N(Tasks[[#This Row],[Baseline Work]]))</f>
        <v/>
      </c>
      <c r="BM37" s="62" t="str">
        <f aca="false">IF(Tasks[[#This Row],[Task Name]]="","",IF(OR(TakeBaseline="Yes",N(Tasks[[#This Row],[Baseline Start]])=0),Tasks[[#This Row],[Start]],Tasks[[#This Row],[Baseline Start]]))</f>
        <v/>
      </c>
      <c r="BN37" s="62" t="str">
        <f aca="false">IF(Tasks[[#This Row],[Task Name]]="","",IF(OR(TakeBaseline="Yes",N(Tasks[[#This Row],[Baseline Finish]])=0),Tasks[[#This Row],[Finish]],Tasks[[#This Row],[Baseline Finish]]))</f>
        <v/>
      </c>
      <c r="BO37" s="21" t="str">
        <f aca="false">IF(Tasks[[#This Row],[Task Name]]="","",IF(OR(TakeBaseline="Yes",N(Tasks[[#This Row],[Baseline Duration]])=0),Tasks[[#This Row],[_SpanDays]],Tasks[[#This Row],[Baseline Duration]]))</f>
        <v/>
      </c>
      <c r="BP37" s="85" t="str">
        <f aca="false">IF(Tasks[[#This Row],[Task Name]]="","",IF(OR(TakeBaseline="Yes",N(Tasks[[#This Row],[Baseline Work]])=0),Tasks[[#This Row],[Work]],Tasks[[#This Row],[Baseline Work]]))</f>
        <v/>
      </c>
      <c r="BQ37" s="7"/>
      <c r="BR37" s="7"/>
      <c r="BS37" s="22"/>
      <c r="BT37" s="87"/>
      <c r="BU37" s="42" t="str">
        <f aca="false">IF(Tasks[[#This Row],[Task Name]]="","",MAX(1,N(Tasks[[#This Row],[Level]])))</f>
        <v/>
      </c>
      <c r="BV37" s="42" t="n">
        <f aca="false">ROW()-ROW(Tasks[[#Headers],[ID]])</f>
        <v>32</v>
      </c>
      <c r="BW37" s="42" t="n">
        <f aca="false">IF(OR(Tasks[[#This Row],[Task Name]]="",Tasks[[#This Row],[_Level]]&lt;=1),0,IFERROR(LOOKUP(2,1/(Tasks[[#Headers],[_Level]]:Tasks[[#This Row],[_Level]]=Tasks[[#This Row],[_Level]]-1),ROW(Tasks[[#Headers],[_Level]]:Tasks[[#This Row],[_Level]])),0))</f>
        <v>0</v>
      </c>
      <c r="BX37" s="42" t="n">
        <f aca="false">IFERROR(N(INDEX(Tasks[_Level],Tasks[[#This Row],[_Row]]+1)),0)</f>
        <v>0</v>
      </c>
      <c r="BY37" s="88" t="b">
        <f aca="false">AND(Tasks[[#This Row],[Task Name]]&lt;&gt;"",Tasks[[#This Row],[_NextLevel]]&gt;Tasks[[#This Row],[_Level]])</f>
        <v>0</v>
      </c>
      <c r="BZ37" s="42" t="n">
        <f aca="false">IF(Tasks[[#This Row],[_IsSummary]],COUNTIF(Tasks[WBS],Tasks[[#This Row],[WBS]]&amp;".*"),0)</f>
        <v>0</v>
      </c>
      <c r="CA37" s="42" t="n">
        <f aca="false">IF(AND(Tasks[[#This Row],[Task Name]]&lt;&gt;"",NOT(Tasks[[#This Row],[_IsSummary]])),1,0)</f>
        <v>0</v>
      </c>
      <c r="CB37" s="42" t="n">
        <f aca="false">IF(N(Tasks[[#This Row],[_Pred1UID]])=0,0,IFERROR(MATCH(Tasks[[#This Row],[_Pred1UID]],Tasks[UID],0),-1))</f>
        <v>0</v>
      </c>
      <c r="CC37" s="42" t="n">
        <f aca="false">IF(N(Tasks[[#This Row],[_Pred2UID]])=0,0,IFERROR(MATCH(Tasks[[#This Row],[_Pred2UID]],Tasks[UID],0),-1))</f>
        <v>0</v>
      </c>
      <c r="CD37" s="42" t="n">
        <f aca="false">IF(N(Tasks[[#This Row],[_Pred3UID]])=0,0,IFERROR(MATCH(Tasks[[#This Row],[_Pred3UID]],Tasks[UID],0),-1))</f>
        <v>0</v>
      </c>
      <c r="CE37" s="42" t="n">
        <f aca="false">IF(N(Tasks[[#This Row],[_Pred4UID]])=0,0,IFERROR(MATCH(Tasks[[#This Row],[_Pred4UID]],Tasks[UID],0),-1))</f>
        <v>0</v>
      </c>
      <c r="CF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7" s="89" t="n">
        <f aca="false">IF(OR(Tasks[[#This Row],[_ConstraintCode]]=2,Tasks[[#This Row],[_ConstraintCode]]=3,Tasks[[#This Row],[_ConstraintCode]]=4,Tasks[[#This Row],[_ConstraintCode]]=6),Tasks[[#This Row],[_ConstraintStart]],0)</f>
        <v>0</v>
      </c>
      <c r="CI37" s="89" t="n">
        <f aca="false">IF(OR(Tasks[[#This Row],[_ConstraintCode]]=2,Tasks[[#This Row],[_ConstraintCode]]=3,Tasks[[#This Row],[_ConstraintCode]]=5,Tasks[[#This Row],[_ConstraintCode]]=7),Tasks[[#This Row],[_ConstraintStart]],2958465)</f>
        <v>2958465</v>
      </c>
      <c r="CJ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7" s="89" t="str">
        <f aca="false">IF(NOT(Tasks[[#This Row],[_IsLeaf]]=1),"",IF(N(Tasks[[#This Row],[_Days]])&lt;=0,Tasks[[#This Row],[_LeafCalcStart]],WORKDAY.INTL(Tasks[[#This Row],[_LeafCalcStart]],Tasks[[#This Row],[_Days]]-1,WorkWeek,Holidays)))</f>
        <v/>
      </c>
      <c r="CL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7" s="42" t="str">
        <f aca="false">IF(Tasks[[#This Row],[_Predecessors]]="","",TRIM(MID(SUBSTITUTE(SUBSTITUTE(SUBSTITUTE(UPPER(Tasks[[#This Row],[_Predecessors]]),";",",")," ",""),",",REPT(" ",99)),1,99)))</f>
        <v/>
      </c>
      <c r="CO37" s="42" t="str">
        <f aca="false">IF(Tasks[[#This Row],[_Pred1Text]]="","",IFERROR(VALUE(LEFT(Tasks[[#This Row],[_Pred1Text]],MIN(FIND("F",Tasks[[#This Row],[_Pred1Text]]&amp;"F"),FIND("S",Tasks[[#This Row],[_Pred1Text]]&amp;"S"),FIND("+",Tasks[[#This Row],[_Pred1Text]]&amp;"+"),FIND("-",Tasks[[#This Row],[_Pred1Text]]&amp;"-"))-1)),""))</f>
        <v/>
      </c>
      <c r="CP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7" s="42" t="str">
        <f aca="false">IF(Tasks[[#This Row],[_Pred1Text]]="","",TRIM(MID(SUBSTITUTE(SUBSTITUTE(SUBSTITUTE(UPPER(Tasks[[#This Row],[_Predecessors]]),";",",")," ",""),",",REPT(" ",99)),100,99)))</f>
        <v/>
      </c>
      <c r="CS37" s="42" t="str">
        <f aca="false">IF(Tasks[[#This Row],[_Pred2Text]]="","",IFERROR(VALUE(LEFT(Tasks[[#This Row],[_Pred2Text]],MIN(FIND("F",Tasks[[#This Row],[_Pred2Text]]&amp;"F"),FIND("S",Tasks[[#This Row],[_Pred2Text]]&amp;"S"),FIND("+",Tasks[[#This Row],[_Pred2Text]]&amp;"+"),FIND("-",Tasks[[#This Row],[_Pred2Text]]&amp;"-"))-1)),""))</f>
        <v/>
      </c>
      <c r="CT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7" s="42" t="str">
        <f aca="false">IF(Tasks[[#This Row],[_Pred2Text]]="","",TRIM(MID(SUBSTITUTE(SUBSTITUTE(SUBSTITUTE(UPPER(Tasks[[#This Row],[_Predecessors]]),";",",")," ",""),",",REPT(" ",99)),199,99)))</f>
        <v/>
      </c>
      <c r="CW37" s="42" t="str">
        <f aca="false">IF(Tasks[[#This Row],[_Pred3Text]]="","",IFERROR(VALUE(LEFT(Tasks[[#This Row],[_Pred3Text]],MIN(FIND("F",Tasks[[#This Row],[_Pred3Text]]&amp;"F"),FIND("S",Tasks[[#This Row],[_Pred3Text]]&amp;"S"),FIND("+",Tasks[[#This Row],[_Pred3Text]]&amp;"+"),FIND("-",Tasks[[#This Row],[_Pred3Text]]&amp;"-"))-1)),""))</f>
        <v/>
      </c>
      <c r="CX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7" s="42" t="str">
        <f aca="false">IF(Tasks[[#This Row],[_Pred3Text]]="","",TRIM(MID(SUBSTITUTE(SUBSTITUTE(SUBSTITUTE(UPPER(Tasks[[#This Row],[_Predecessors]]),";",",")," ",""),",",REPT(" ",99)),298,99)))</f>
        <v/>
      </c>
      <c r="DA37" s="42" t="str">
        <f aca="false">IF(Tasks[[#This Row],[_Pred4Text]]="","",IFERROR(VALUE(LEFT(Tasks[[#This Row],[_Pred4Text]],MIN(FIND("F",Tasks[[#This Row],[_Pred4Text]]&amp;"F"),FIND("S",Tasks[[#This Row],[_Pred4Text]]&amp;"S"),FIND("+",Tasks[[#This Row],[_Pred4Text]]&amp;"+"),FIND("-",Tasks[[#This Row],[_Pred4Text]]&amp;"-"))-1)),""))</f>
        <v/>
      </c>
      <c r="DB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7" s="42" t="str">
        <f aca="false">IF(OR(Tasks[[#This Row],[Task Name]]="",Tasks[[#This Row],[_Resources]]=""),"",TRIM(MID(SUBSTITUTE(Tasks[[#This Row],[_Resources]],",",REPT(" ",99)),1,99)))</f>
        <v/>
      </c>
      <c r="DE37" s="42" t="str">
        <f aca="false">IF(Tasks[[#This Row],[_Res1Text]]="","",TRIM(MID(SUBSTITUTE(Tasks[[#This Row],[_Resources]],",",REPT(" ",99)),100,99)))</f>
        <v/>
      </c>
      <c r="DF37" s="42" t="str">
        <f aca="false">IF(Tasks[[#This Row],[_Res2Text]]="","",TRIM(MID(SUBSTITUTE(Tasks[[#This Row],[_Resources]],",",REPT(" ",99)),199,99)))</f>
        <v/>
      </c>
      <c r="DG37" s="42" t="str">
        <f aca="false">IF(Tasks[[#This Row],[_Res3Text]]="","",TRIM(MID(SUBSTITUTE(Tasks[[#This Row],[_Resources]],",",REPT(" ",99)),298,99)))</f>
        <v/>
      </c>
      <c r="DH37" s="42" t="n">
        <f aca="false">IF(Tasks[[#This Row],[_Res1Text]]="",0,IFERROR(MATCH(TRIM(LEFT(Tasks[[#This Row],[_Res1Text]],FIND("[",Tasks[[#This Row],[_Res1Text]]&amp;"[")-1)),res_Name,0),IFERROR(MATCH(TRIM(LEFT(Tasks[[#This Row],[_Res1Text]],FIND("[",Tasks[[#This Row],[_Res1Text]]&amp;"[")-1)),res_Initials,0),0)))</f>
        <v>0</v>
      </c>
      <c r="DI37" s="42" t="n">
        <f aca="false">IF(Tasks[[#This Row],[_Res2Text]]="",0,IFERROR(MATCH(TRIM(LEFT(Tasks[[#This Row],[_Res2Text]],FIND("[",Tasks[[#This Row],[_Res2Text]]&amp;"[")-1)),res_Name,0),IFERROR(MATCH(TRIM(LEFT(Tasks[[#This Row],[_Res2Text]],FIND("[",Tasks[[#This Row],[_Res2Text]]&amp;"[")-1)),res_Initials,0),0)))</f>
        <v>0</v>
      </c>
      <c r="DJ37" s="42" t="n">
        <f aca="false">IF(Tasks[[#This Row],[_Res3Text]]="",0,IFERROR(MATCH(TRIM(LEFT(Tasks[[#This Row],[_Res3Text]],FIND("[",Tasks[[#This Row],[_Res3Text]]&amp;"[")-1)),res_Name,0),IFERROR(MATCH(TRIM(LEFT(Tasks[[#This Row],[_Res3Text]],FIND("[",Tasks[[#This Row],[_Res3Text]]&amp;"[")-1)),res_Initials,0),0)))</f>
        <v>0</v>
      </c>
      <c r="DK37" s="42" t="n">
        <f aca="false">IF(Tasks[[#This Row],[_Res4Text]]="",0,IFERROR(MATCH(TRIM(LEFT(Tasks[[#This Row],[_Res4Text]],FIND("[",Tasks[[#This Row],[_Res4Text]]&amp;"[")-1)),res_Name,0),IFERROR(MATCH(TRIM(LEFT(Tasks[[#This Row],[_Res4Text]],FIND("[",Tasks[[#This Row],[_Res4Text]]&amp;"[")-1)),res_Initials,0),0)))</f>
        <v>0</v>
      </c>
      <c r="DL37" s="42" t="str">
        <f aca="false">IF(Tasks[[#This Row],[_Res1Text]]="","",IF(Tasks[[#This Row],[_Res1Row]]&gt;0,INDEX(res_Name,Tasks[[#This Row],[_Res1Row]]),TRIM(LEFT(Tasks[[#This Row],[_Res1Text]],FIND("[",Tasks[[#This Row],[_Res1Text]]&amp;"[")-1))))</f>
        <v/>
      </c>
      <c r="DM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7" s="42" t="n">
        <f aca="false">IF(NOT(Tasks[[#This Row],[_IsLeaf]]=1),0,(Tasks[[#This Row],[_Resource1]]&lt;&gt;"")+(Tasks[[#This Row],[_Res2]]&lt;&gt;"")+(Tasks[[#This Row],[_Res3]]&lt;&gt;"")+(Tasks[[#This Row],[_Res4]]&lt;&gt;""))</f>
        <v>0</v>
      </c>
      <c r="DO37" s="42" t="str">
        <f aca="false">IF(Tasks[[#This Row],[_Res2Text]]="","",IF(Tasks[[#This Row],[_Res2Row]]&gt;0,INDEX(res_Name,Tasks[[#This Row],[_Res2Row]]),TRIM(LEFT(Tasks[[#This Row],[_Res2Text]],FIND("[",Tasks[[#This Row],[_Res2Text]]&amp;"[")-1))))</f>
        <v/>
      </c>
      <c r="DP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7" s="42" t="n">
        <f aca="false">IF(OR(NOT(Tasks[[#This Row],[_IsLeaf]]=1),Tasks[[#This Row],[_Res2Row]]=0),0,N(Tasks[[#This Row],[_Days]])*HoursPerDay*IF(Tasks[[#This Row],[_Res2Units]]="",DefaultUnits,Tasks[[#This Row],[_Res2Units]]))</f>
        <v>0</v>
      </c>
      <c r="DR37" s="42" t="n">
        <f aca="false">IF(AND(AND(Tasks[[#This Row],[_IsLeaf]]=1,Tasks[[#This Row],[_LeafTotalWork]]&gt;0),Tasks[[#This Row],[_Res2Work]]&gt;0),Tasks[[#This Row],[_Res2Work]]/(Tasks[[#This Row],[_FinishWorkday]]-Tasks[[#This Row],[_StartWorkday]]+1),0)</f>
        <v>0</v>
      </c>
      <c r="DS37" s="42" t="n">
        <f aca="false">Tasks[[#This Row],[_Res2WorkPerWD]]*MAX(0,Tasks[[#This Row],[_StartWorkday]]-1)</f>
        <v>0</v>
      </c>
      <c r="DT37" s="42" t="n">
        <f aca="false">Tasks[[#This Row],[_Res2Work]]*Tasks[[#This Row],[_LeafProgress]]</f>
        <v>0</v>
      </c>
      <c r="DU37" s="42" t="str">
        <f aca="false">IF(Tasks[[#This Row],[_Res3Text]]="","",IF(Tasks[[#This Row],[_Res3Row]]&gt;0,INDEX(res_Name,Tasks[[#This Row],[_Res3Row]]),TRIM(LEFT(Tasks[[#This Row],[_Res3Text]],FIND("[",Tasks[[#This Row],[_Res3Text]]&amp;"[")-1))))</f>
        <v/>
      </c>
      <c r="DV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7" s="42" t="n">
        <f aca="false">IF(OR(NOT(Tasks[[#This Row],[_IsLeaf]]=1),Tasks[[#This Row],[_Res3Row]]=0),0,N(Tasks[[#This Row],[_Days]])*HoursPerDay*IF(Tasks[[#This Row],[_Res3Units]]="",DefaultUnits,Tasks[[#This Row],[_Res3Units]]))</f>
        <v>0</v>
      </c>
      <c r="DX37" s="42" t="n">
        <f aca="false">IF(AND(AND(Tasks[[#This Row],[_IsLeaf]]=1,Tasks[[#This Row],[_LeafTotalWork]]&gt;0),Tasks[[#This Row],[_Res3Work]]&gt;0),Tasks[[#This Row],[_Res3Work]]/(Tasks[[#This Row],[_FinishWorkday]]-Tasks[[#This Row],[_StartWorkday]]+1),0)</f>
        <v>0</v>
      </c>
      <c r="DY37" s="42" t="n">
        <f aca="false">Tasks[[#This Row],[_Res3WorkPerWD]]*MAX(0,Tasks[[#This Row],[_StartWorkday]]-1)</f>
        <v>0</v>
      </c>
      <c r="DZ37" s="42" t="n">
        <f aca="false">Tasks[[#This Row],[_Res3Work]]*Tasks[[#This Row],[_LeafProgress]]</f>
        <v>0</v>
      </c>
      <c r="EA37" s="42" t="str">
        <f aca="false">IF(Tasks[[#This Row],[_Res4Text]]="","",IF(Tasks[[#This Row],[_Res4Row]]&gt;0,INDEX(res_Name,Tasks[[#This Row],[_Res4Row]]),TRIM(LEFT(Tasks[[#This Row],[_Res4Text]],FIND("[",Tasks[[#This Row],[_Res4Text]]&amp;"[")-1))))</f>
        <v/>
      </c>
      <c r="EB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7" s="42" t="n">
        <f aca="false">IF(OR(NOT(Tasks[[#This Row],[_IsLeaf]]=1),Tasks[[#This Row],[_Res4Row]]=0),0,N(Tasks[[#This Row],[_Days]])*HoursPerDay*IF(Tasks[[#This Row],[_Res4Units]]="",DefaultUnits,Tasks[[#This Row],[_Res4Units]]))</f>
        <v>0</v>
      </c>
      <c r="ED37" s="42" t="n">
        <f aca="false">IF(AND(AND(Tasks[[#This Row],[_IsLeaf]]=1,Tasks[[#This Row],[_LeafTotalWork]]&gt;0),Tasks[[#This Row],[_Res4Work]]&gt;0),Tasks[[#This Row],[_Res4Work]]/(Tasks[[#This Row],[_FinishWorkday]]-Tasks[[#This Row],[_StartWorkday]]+1),0)</f>
        <v>0</v>
      </c>
      <c r="EE37" s="42" t="n">
        <f aca="false">Tasks[[#This Row],[_Res4WorkPerWD]]*MAX(0,Tasks[[#This Row],[_StartWorkday]]-1)</f>
        <v>0</v>
      </c>
      <c r="EF37" s="42" t="n">
        <f aca="false">Tasks[[#This Row],[_Res4Work]]*Tasks[[#This Row],[_LeafProgress]]</f>
        <v>0</v>
      </c>
      <c r="EG37" s="42" t="n">
        <f aca="false">IF(ISNUMBER(Tasks[[#This Row],[% Complete]]),Tasks[[#This Row],[% Complete]],IF(Tasks[[#This Row],[Stage]]="",0,IFERROR(INDEX(stg_Pct,MATCH(Tasks[[#This Row],[Stage]],stg_Name,0)),0)))</f>
        <v>0</v>
      </c>
      <c r="EH37" s="42" t="n">
        <f aca="false">IF(NOT(Tasks[[#This Row],[_IsLeaf]]=1),0,IF(N(Tasks[[#This Row],[Actual Finish]])&gt;0,1,MIN(1,Tasks[[#This Row],[_Pct]])))</f>
        <v>0</v>
      </c>
      <c r="EI37" s="42" t="n">
        <f aca="false">IF(OR(NOT(Tasks[[#This Row],[_IsLeaf]]=1),Tasks[[#This Row],[_Res1Row]]=0),0,N(Tasks[[#This Row],[_Days]])*HoursPerDay*IF(Tasks[[#This Row],[_Units1]]="",DefaultUnits,Tasks[[#This Row],[_Units1]]))</f>
        <v>0</v>
      </c>
      <c r="EJ37" s="42" t="n">
        <f aca="false">Tasks[[#This Row],[_LeafWork]]+Tasks[[#This Row],[_Res2Work]]+Tasks[[#This Row],[_Res3Work]]+Tasks[[#This Row],[_Res4Work]]</f>
        <v>0</v>
      </c>
      <c r="EK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7" s="42" t="n">
        <f aca="false">IF(NOT(Tasks[[#This Row],[_IsLeaf]]=1),0,MAX(_xlfn.MAXIFS(Tasks[_Row],Tasks[_Pred1UID],Tasks[[#This Row],[UID]]),_xlfn.MAXIFS(Tasks[_Row],Tasks[_Pred2UID],Tasks[[#This Row],[UID]]),_xlfn.MAXIFS(Tasks[_Row],Tasks[_Pred3UID],Tasks[[#This Row],[UID]]),_xlfn.MAXIFS(Tasks[_Row],Tasks[_Pred4UID],Tasks[[#This Row],[UID]])))</f>
        <v>0</v>
      </c>
      <c r="ET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7" s="89" t="str">
        <f aca="false">IF(NOT(Tasks[[#This Row],[_IsLeaf]]=1),"",IF(N(Tasks[[#This Row],[_Days]])&lt;=0,Tasks[[#This Row],[_LeafLateFinish]],WORKDAY.INTL(Tasks[[#This Row],[_LeafLateFinish]],-(Tasks[[#This Row],[_Days]]-1),WorkWeek,Holidays)))</f>
        <v/>
      </c>
      <c r="EW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7" s="88" t="b">
        <f aca="false">AND(Tasks[[#This Row],[_IsLeaf]]=1,Tasks[[#This Row],[_LeafProgress]]&lt;1,N(Tasks[[#This Row],[_LeafTotalSlack]])&lt;=CriticalSlackDays)</f>
        <v>0</v>
      </c>
      <c r="EY37" s="42" t="n">
        <f aca="false">IF(AND(Tasks[[#This Row],[_IsLeaf]]=1,Tasks[[#This Row],[_ConstraintCode]]=1,Tasks[[#This Row],[Mode]]&lt;&gt;"Manual",N(Tasks[[#This Row],[Actual Start]])=0),MAX(0,N(Tasks[[#This Row],[Free Slack]])),0)</f>
        <v>0</v>
      </c>
      <c r="EZ37" s="89" t="str">
        <f aca="false">IF(NOT(Tasks[[#This Row],[_IsLeaf]]=1),"",IF(Tasks[[#This Row],[_AlapShift]]=0,Tasks[[#This Row],[_LeafCalcStart]],WORKDAY.INTL(Tasks[[#This Row],[_LeafCalcStart]],Tasks[[#This Row],[_AlapShift]],WorkWeek,Holidays)))</f>
        <v/>
      </c>
      <c r="FA37" s="89" t="str">
        <f aca="false">IF(NOT(Tasks[[#This Row],[_IsLeaf]]=1),"",IF(Tasks[[#This Row],[_AlapShift]]=0,Tasks[[#This Row],[_LeafCalcFinish]],WORKDAY.INTL(Tasks[[#This Row],[_LeafCalcFinish]],Tasks[[#This Row],[_AlapShift]],WorkWeek,Holidays)))</f>
        <v/>
      </c>
      <c r="FB37" s="89" t="str">
        <f aca="false">IF(NOT(Tasks[[#This Row],[_IsLeaf]]=1),"",IF(Tasks[[#This Row],[_AlapShift]]=0,Tasks[[#This Row],[_LeafFcstStart]],WORKDAY.INTL(Tasks[[#This Row],[_LeafFcstStart]],Tasks[[#This Row],[_AlapShift]],WorkWeek,Holidays)))</f>
        <v/>
      </c>
      <c r="FC37" s="89" t="str">
        <f aca="false">IF(NOT(Tasks[[#This Row],[_IsLeaf]]=1),"",IF(Tasks[[#This Row],[_AlapShift]]=0,Tasks[[#This Row],[_LeafFcstFinish]],WORKDAY.INTL(Tasks[[#This Row],[_LeafFcstFinish]],Tasks[[#This Row],[_AlapShift]],WorkWeek,Holidays)))</f>
        <v/>
      </c>
      <c r="FD37" s="89" t="str">
        <f aca="false">IF(Tasks[[#This Row],[Task Name]]="","",IF(Tasks[[#This Row],[_IsSummary]],MIN(INDEX(Tasks[_ShownCalcStart],Tasks[[#This Row],[_Row]]+1):INDEX(Tasks[_ShownCalcStart],Tasks[[#This Row],[_Row]]+Tasks[[#This Row],[_Descendants]])),Tasks[[#This Row],[_ShownCalcStart]]))</f>
        <v/>
      </c>
      <c r="FE37" s="89" t="str">
        <f aca="false">IF(Tasks[[#This Row],[Task Name]]="","",IF(Tasks[[#This Row],[_IsSummary]],MAX(INDEX(Tasks[_ShownCalcFinish],Tasks[[#This Row],[_Row]]+1):INDEX(Tasks[_ShownCalcFinish],Tasks[[#This Row],[_Row]]+Tasks[[#This Row],[_Descendants]])),Tasks[[#This Row],[_ShownCalcFinish]]))</f>
        <v/>
      </c>
      <c r="FF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7" s="42" t="n">
        <f aca="false">IF(AND(Tasks[[#This Row],[_IsLeaf]]=1,Tasks[[#This Row],[_LeafTotalWork]]&gt;0),NETWORKDAYS.INTL(ProjectStart,Tasks[[#This Row],[_ShownFcstStart]],WorkWeek,Holidays),0)</f>
        <v>0</v>
      </c>
      <c r="FS37" s="42" t="n">
        <f aca="false">IF(AND(Tasks[[#This Row],[_IsLeaf]]=1,Tasks[[#This Row],[_LeafTotalWork]]&gt;0),MAX(Tasks[[#This Row],[_StartWorkday]],NETWORKDAYS.INTL(ProjectStart,Tasks[[#This Row],[_ShownFcstFinish]],WorkWeek,Holidays)),0)</f>
        <v>0</v>
      </c>
      <c r="FT37" s="42" t="n">
        <f aca="false">IF(AND(Tasks[[#This Row],[_IsLeaf]]=1,Tasks[[#This Row],[_LeafTotalWork]]&gt;0),Tasks[[#This Row],[_LeafWork]]/(Tasks[[#This Row],[_FinishWorkday]]-Tasks[[#This Row],[_StartWorkday]]+1),0)</f>
        <v>0</v>
      </c>
      <c r="FU37" s="42" t="n">
        <f aca="false">Tasks[[#This Row],[_WorkPerWorkday]]*(Tasks[[#This Row],[_StartWorkday]]-1)</f>
        <v>-0</v>
      </c>
      <c r="FV37" s="42" t="n">
        <f aca="false">IF(Tasks[[#This Row],[_IsLeaf]]=1,MAX(N(Tasks[[#This Row],[_Days]]),0.1),0)</f>
        <v>0</v>
      </c>
      <c r="FW37" s="42" t="n">
        <f aca="false">Tasks[[#This Row],[_WeightDur]]*Tasks[[#This Row],[_LeafProgress]]</f>
        <v>0</v>
      </c>
      <c r="FX37" s="42" t="n">
        <f aca="false">Tasks[[#This Row],[_WeightDur]]*Tasks[[#This Row],[_PlannedPct]]</f>
        <v>0</v>
      </c>
      <c r="FY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7" s="42" t="str">
        <f aca="false">IF(AND(Tasks[[#This Row],[_IsLeaf]]=1,N(Tasks[[#This Row],[_Days]])=0,Tasks[[#This Row],[_LeafProgress]]&lt;1),Tasks[[#This Row],[_ShownFcstFinish]]+Tasks[[#This Row],[_Row]]/100000,"")</f>
        <v/>
      </c>
      <c r="GA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7" s="42" t="str">
        <f aca="false">IF(Tasks[[#This Row],[Task Name]]="","",LEFT(Tasks[[#This Row],[WBS]],FIND(".",Tasks[[#This Row],[WBS]]&amp;".")-1))</f>
        <v/>
      </c>
      <c r="GC37" s="42" t="str">
        <f aca="false">IF(AND(Tasks[[#This Row],[Task Name]]&lt;&gt;"",Tasks[[#This Row],[_Level]]=1),Tasks[[#This Row],[_Row]],"")</f>
        <v/>
      </c>
      <c r="GD37" s="42" t="str">
        <f aca="false">IF(AND(Tasks[[#This Row],[_IsLeaf]]=1,N(Tasks[[#This Row],[_Days]])=0),Tasks[[#This Row],[Planned Finish]]+Tasks[[#This Row],[_Row]]/100000,"")</f>
        <v/>
      </c>
      <c r="GE37" s="42" t="str">
        <f aca="false">IF(AND(Tasks[[#This Row],[_IsLeaf]]=1,Tasks[[#This Row],[_LeafProgress]]&lt;1,OR(N(Tasks[[#This Row],[Finish Var]])&gt;0,Tasks[[#This Row],[Status]]="Late Start")),MAX(0,Tasks[[#This Row],[Finish Var]])+1-Tasks[[#This Row],[_Row]]/1000000,"")</f>
        <v/>
      </c>
      <c r="GF37" s="42" t="str">
        <f aca="false">IF(AND(Tasks[[#This Row],[_IsLeaf]]=1,N(Tasks[[#This Row],[Actual Start]])=0,Tasks[[#This Row],[_ShownFcstStart]]&gt;=StatusDate,Tasks[[#This Row],[_ShownFcstStart]]&lt;=LookaheadEnd),Tasks[[#This Row],[_ShownFcstStart]]+Tasks[[#This Row],[_Row]]/100000,"")</f>
        <v/>
      </c>
      <c r="GG37" s="42" t="str">
        <f aca="false">IF(AND(Tasks[[#This Row],[_IsLeaf]]=1,Tasks[[#This Row],[_LeafProgress]]&lt;1,Tasks[[#This Row],[_ShownFcstFinish]]&gt;=StatusDate,Tasks[[#This Row],[_ShownFcstFinish]]&lt;=LookaheadEnd),Tasks[[#This Row],[_ShownFcstFinish]]+Tasks[[#This Row],[_Row]]/100000,"")</f>
        <v/>
      </c>
      <c r="GH37" s="42" t="str">
        <f aca="false">IF(Tasks[[#This Row],[_LeafCritical]],Tasks[[#This Row],[_ShownFcstStart]]+Tasks[[#This Row],[_Row]]/100000,"")</f>
        <v/>
      </c>
      <c r="GI37" s="42" t="n">
        <f aca="false">Tasks[[#This Row],[_LeafWork]]*Tasks[[#This Row],[_LeafProgress]]</f>
        <v>0</v>
      </c>
      <c r="GJ37" s="89" t="str">
        <f aca="false">IF(AND(Tasks[[#This Row],[_IsLeaf]]=1,Tasks[[#This Row],[_LeafProgress]]&gt;=1),IF(N(Tasks[[#This Row],[Actual Finish]])&gt;0,Tasks[[#This Row],[Actual Finish]],Tasks[[#This Row],[_ShownFcstFinish]]),"")</f>
        <v/>
      </c>
      <c r="GK37" s="42" t="n">
        <f aca="false">IF(Tasks[[#This Row],[_IsLeaf]]=1,N(Tasks[[#This Row],[Story Points]]),0)</f>
        <v>0</v>
      </c>
      <c r="GL37" s="42" t="str">
        <f aca="false">""</f>
        <v/>
      </c>
      <c r="GM37" s="88" t="b">
        <f aca="false">IF(Tasks[[#This Row],[Task Name]]="",FALSE(),AND(Tasks[[#This Row],[_IsLeaf]]=1,N(Tasks[[#This Row],[_Days]])=0))</f>
        <v>0</v>
      </c>
      <c r="GN37" s="89" t="n">
        <f aca="false">IF(Tasks[[#This Row],[Task Name]]="",0,IF(AND(Tasks[[#This Row],[_IsLeaf]]=1,NOT(Tasks[[#This Row],[_IsMilestone]]),N(Tasks[[#This Row],[Progress]])&gt;0),Tasks[[#This Row],[Start]],0))</f>
        <v>0</v>
      </c>
      <c r="GO37" s="89" t="n">
        <f aca="false">IF(Tasks[[#This Row],[_DoneFrom]]=0,0,IF(Tasks[[#This Row],[Progress]]&gt;=1,Tasks[[#This Row],[Finish]],MAX(Tasks[[#This Row],[_DoneFrom]],Tasks[[#This Row],[Start]]+ROUND((Tasks[[#This Row],[Finish]]-Tasks[[#This Row],[Start]]+1)*Tasks[[#This Row],[Progress]],0)-1)))</f>
        <v>0</v>
      </c>
      <c r="GP37" s="89" t="n">
        <f aca="false">IF(Tasks[[#This Row],[Task Name]]="",0,IF(OR(NOT(Tasks[[#This Row],[_IsLeaf]]=1),Tasks[[#This Row],[_IsMilestone]],N(Tasks[[#This Row],[Progress]])&gt;=1),0,IF(Tasks[[#This Row],[_DoneTo]]&gt;0,Tasks[[#This Row],[_DoneTo]]+1,Tasks[[#This Row],[Start]])))</f>
        <v>0</v>
      </c>
      <c r="GQ37" s="89" t="n">
        <f aca="false">IF(Tasks[[#This Row],[_RemFrom]]=0,0,Tasks[[#This Row],[Finish]])</f>
        <v>0</v>
      </c>
      <c r="GR37" s="88" t="b">
        <f aca="false">IF(Tasks[[#This Row],[Task Name]]="",FALSE(),OR(NOT(BaselineSet),N(Tasks[[#This Row],[Baseline Start]])&gt;0))</f>
        <v>0</v>
      </c>
      <c r="GS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7" s="90" t="str">
        <f aca="false">IF(Tasks[[#This Row],[_IsLeaf]]=1,Tasks[[#This Row],[_Row]],"")</f>
        <v/>
      </c>
      <c r="GW37" s="90" t="str">
        <f aca="false">IFERROR(INDEX(Tasks[UID],SMALL(Tasks[_PickKey],Tasks[[#This Row],[_Row]]))&amp;" "&amp;INDEX(Tasks[Task Name],SMALL(Tasks[_PickKey],Tasks[[#This Row],[_Row]])),"")</f>
        <v/>
      </c>
      <c r="GX37" s="42" t="str">
        <f aca="false">IF(Tasks[[#This Row],[Task Name]]="","",IF(Tasks[[#This Row],[_IsSummary]],NETWORKDAYS.INTL(Tasks[[#This Row],[Start]],Tasks[[#This Row],[Finish]],WorkWeek,Holidays),N(Tasks[[#This Row],[_Days]])))</f>
        <v/>
      </c>
    </row>
    <row r="38" customFormat="false" ht="15" hidden="false" customHeight="false" outlineLevel="0" collapsed="false">
      <c r="A38" s="21" t="str">
        <f aca="false">IF(Tasks[[#This Row],[Task Name]]="","",COUNTA(Tasks[[#Headers],[Task Name]]:Tasks[[#This Row],[Task Name]])-1)</f>
        <v/>
      </c>
      <c r="B38" s="22" t="n">
        <v>46</v>
      </c>
      <c r="C38" s="22"/>
      <c r="D38" s="23"/>
      <c r="E38" s="22"/>
      <c r="F38" s="23"/>
      <c r="G38" s="22"/>
      <c r="H38" s="22"/>
      <c r="I38" s="23"/>
      <c r="J38" s="22"/>
      <c r="K38" s="22"/>
      <c r="L38" s="23"/>
      <c r="M38" s="22"/>
      <c r="N38" s="22"/>
      <c r="O38" s="23"/>
      <c r="P38" s="22"/>
      <c r="Q38" s="22"/>
      <c r="R38" s="23"/>
      <c r="S38" s="23"/>
      <c r="T38" s="83"/>
      <c r="U38" s="23"/>
      <c r="V38" s="83"/>
      <c r="W38" s="23"/>
      <c r="X38" s="83"/>
      <c r="Y38" s="23"/>
      <c r="Z38" s="83"/>
      <c r="AA38" s="23"/>
      <c r="AB38" s="23"/>
      <c r="AC38" s="7"/>
      <c r="AD38" s="7"/>
      <c r="AE38" s="62" t="str">
        <f aca="false">IF(Tasks[[#This Row],[Task Name]]="","",IF(Tasks[[#This Row],[_IsSummary]],MIN(INDEX(Tasks[_ShownFcstStart],Tasks[[#This Row],[_Row]]+1):INDEX(Tasks[_ShownFcstStart],Tasks[[#This Row],[_Row]]+Tasks[[#This Row],[_Descendants]])),Tasks[[#This Row],[_ShownFcstStart]]))</f>
        <v/>
      </c>
      <c r="AF38" s="62" t="str">
        <f aca="false">IF(Tasks[[#This Row],[Task Name]]="","",IF(Tasks[[#This Row],[_IsSummary]],MAX(INDEX(Tasks[_ShownFcstFinish],Tasks[[#This Row],[_Row]]+1):INDEX(Tasks[_ShownFcstFinish],Tasks[[#This Row],[_Row]]+Tasks[[#This Row],[_Descendants]])),Tasks[[#This Row],[_ShownFcstFinish]]))</f>
        <v/>
      </c>
      <c r="AG38" s="21" t="str">
        <f aca="false">""</f>
        <v/>
      </c>
      <c r="AH38" s="23"/>
      <c r="AI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8" s="7"/>
      <c r="AK38" s="22"/>
      <c r="AL38" s="23"/>
      <c r="AM38" s="7"/>
      <c r="AN38" s="46" t="str">
        <f aca="false">IF(Tasks[[#This Row],[Task Name]]="","",IF(Tasks[[#This Row],[Finish]]&gt;=Tasks[[#This Row],[Planned Finish]],NETWORKDAYS.INTL(Tasks[[#This Row],[Planned Finish]],Tasks[[#This Row],[Finish]],WorkWeek,Holidays)-1,1-NETWORKDAYS.INTL(Tasks[[#This Row],[Finish]],Tasks[[#This Row],[Planned Finish]],WorkWeek,Holidays)))</f>
        <v/>
      </c>
      <c r="AO38" s="21" t="str">
        <f aca="false">IF(Tasks[[#This Row],[Task Name]]="","",IF(Tasks[[#This Row],[Progress]]&gt;=1,"Complete",IF(OR(N(Tasks[[#This Row],[Actual Start]])&gt;0,Tasks[[#This Row],[Progress]]&gt;0),IF(Tasks[[#This Row],[Finish Var]]&gt;0,"Behind","In Progress"),IF(Tasks[[#This Row],[Planned Start]]&lt;StatusDate,"Late Start","Not Started"))))</f>
        <v/>
      </c>
      <c r="AP38" s="21" t="str">
        <f aca="false">IF(Tasks[[#This Row],[Task Name]]="","",IF(IF(Tasks[[#This Row],[_IsSummary]],COUNTIF(INDEX(Tasks[_LeafCritical],Tasks[[#This Row],[_Row]]+1):INDEX(Tasks[_LeafCritical],Tasks[[#This Row],[_Row]]+Tasks[[#This Row],[_Descendants]]),TRUE())&gt;0,Tasks[[#This Row],[_LeafCritical]]),"Yes",""))</f>
        <v/>
      </c>
      <c r="AQ38" s="62" t="str">
        <f aca="false">IF(Tasks[[#This Row],[Task Name]]="","",IF(N(Tasks[[#This Row],[Baseline Start]])&gt;0,Tasks[[#This Row],[Baseline Start]],Tasks[[#This Row],[_CalcStart]]))</f>
        <v/>
      </c>
      <c r="AR38" s="62" t="str">
        <f aca="false">IF(Tasks[[#This Row],[Task Name]]="","",IF(N(Tasks[[#This Row],[Baseline Finish]])&gt;0,Tasks[[#This Row],[Baseline Finish]],Tasks[[#This Row],[_CalcFinish]]))</f>
        <v/>
      </c>
      <c r="AS38" s="46" t="str">
        <f aca="false">IF(Tasks[[#This Row],[Task Name]]="","",IF(Tasks[[#This Row],[Start]]&gt;=Tasks[[#This Row],[Planned Start]],NETWORKDAYS.INTL(Tasks[[#This Row],[Planned Start]],Tasks[[#This Row],[Start]],WorkWeek,Holidays)-1,1-NETWORKDAYS.INTL(Tasks[[#This Row],[Start]],Tasks[[#This Row],[Planned Start]],WorkWeek,Holidays)))</f>
        <v/>
      </c>
      <c r="AT38" s="62" t="str">
        <f aca="false">IF(Tasks[[#This Row],[Task Name]]="","",IF(Tasks[[#This Row],[_IsSummary]],MIN(INDEX(Tasks[_LeafLateStart],Tasks[[#This Row],[_Row]]+1):INDEX(Tasks[_LeafLateStart],Tasks[[#This Row],[_Row]]+Tasks[[#This Row],[_Descendants]])),Tasks[[#This Row],[_LeafLateStart]]))</f>
        <v/>
      </c>
      <c r="AU38" s="62" t="str">
        <f aca="false">IF(Tasks[[#This Row],[Task Name]]="","",IF(Tasks[[#This Row],[_IsSummary]],MAX(INDEX(Tasks[_LeafLateFinish],Tasks[[#This Row],[_Row]]+1):INDEX(Tasks[_LeafLateFinish],Tasks[[#This Row],[_Row]]+Tasks[[#This Row],[_Descendants]])),Tasks[[#This Row],[_LeafLateFinish]]))</f>
        <v/>
      </c>
      <c r="AV38" s="46" t="str">
        <f aca="false">IF(Tasks[[#This Row],[Task Name]]="","",IF(Tasks[[#This Row],[_IsSummary]],MIN(INDEX(Tasks[_LeafTotalSlack],Tasks[[#This Row],[_Row]]+1):INDEX(Tasks[_LeafTotalSlack],Tasks[[#This Row],[_Row]]+Tasks[[#This Row],[_Descendants]])),Tasks[[#This Row],[_LeafTotalSlack]]))</f>
        <v/>
      </c>
      <c r="AW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4"/>
      <c r="BA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t="str">
        <f aca="false">IF(Tasks[[#This Row],[Task Name]]="","",IF(Tasks[[#This Row],[_Level]]&lt;=OutlineShowLevel,"Yes","No"))</f>
        <v/>
      </c>
      <c r="BE38" s="85" t="str">
        <f aca="false">IF(Tasks[[#This Row],[Task Name]]="","",IF(Tasks[[#This Row],[_IsSummary]],SUM(INDEX(Tasks[_LeafTotalWork],Tasks[[#This Row],[_Row]]+1):INDEX(Tasks[_LeafTotalWork],Tasks[[#This Row],[_Row]]+Tasks[[#This Row],[_Descendants]])),Tasks[[#This Row],[_LeafTotalWork]]))</f>
        <v/>
      </c>
      <c r="BF38" s="23"/>
      <c r="BG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t="str">
        <f aca="false">""</f>
        <v/>
      </c>
      <c r="BI38" s="86"/>
      <c r="BJ38" s="22"/>
      <c r="BK38" s="46" t="str">
        <f aca="false">IF(OR(Tasks[[#This Row],[Task Name]]="",Tasks[[#This Row],[Baseline Duration]]=""),"",Tasks[[#This Row],[_SpanDays]]-N(Tasks[[#This Row],[Baseline Duration]]))</f>
        <v/>
      </c>
      <c r="BL38" s="85" t="str">
        <f aca="false">IF(OR(Tasks[[#This Row],[Task Name]]="",Tasks[[#This Row],[Baseline Work]]=""),"",Tasks[[#This Row],[Work]]-N(Tasks[[#This Row],[Baseline Work]]))</f>
        <v/>
      </c>
      <c r="BM38" s="62" t="str">
        <f aca="false">IF(Tasks[[#This Row],[Task Name]]="","",IF(OR(TakeBaseline="Yes",N(Tasks[[#This Row],[Baseline Start]])=0),Tasks[[#This Row],[Start]],Tasks[[#This Row],[Baseline Start]]))</f>
        <v/>
      </c>
      <c r="BN38" s="62" t="str">
        <f aca="false">IF(Tasks[[#This Row],[Task Name]]="","",IF(OR(TakeBaseline="Yes",N(Tasks[[#This Row],[Baseline Finish]])=0),Tasks[[#This Row],[Finish]],Tasks[[#This Row],[Baseline Finish]]))</f>
        <v/>
      </c>
      <c r="BO38" s="21" t="str">
        <f aca="false">IF(Tasks[[#This Row],[Task Name]]="","",IF(OR(TakeBaseline="Yes",N(Tasks[[#This Row],[Baseline Duration]])=0),Tasks[[#This Row],[_SpanDays]],Tasks[[#This Row],[Baseline Duration]]))</f>
        <v/>
      </c>
      <c r="BP38" s="85" t="str">
        <f aca="false">IF(Tasks[[#This Row],[Task Name]]="","",IF(OR(TakeBaseline="Yes",N(Tasks[[#This Row],[Baseline Work]])=0),Tasks[[#This Row],[Work]],Tasks[[#This Row],[Baseline Work]]))</f>
        <v/>
      </c>
      <c r="BQ38" s="7"/>
      <c r="BR38" s="7"/>
      <c r="BS38" s="22"/>
      <c r="BT38" s="87"/>
      <c r="BU38" s="42" t="str">
        <f aca="false">IF(Tasks[[#This Row],[Task Name]]="","",MAX(1,N(Tasks[[#This Row],[Level]])))</f>
        <v/>
      </c>
      <c r="BV38" s="42" t="n">
        <f aca="false">ROW()-ROW(Tasks[[#Headers],[ID]])</f>
        <v>33</v>
      </c>
      <c r="BW38" s="42" t="n">
        <f aca="false">IF(OR(Tasks[[#This Row],[Task Name]]="",Tasks[[#This Row],[_Level]]&lt;=1),0,IFERROR(LOOKUP(2,1/(Tasks[[#Headers],[_Level]]:Tasks[[#This Row],[_Level]]=Tasks[[#This Row],[_Level]]-1),ROW(Tasks[[#Headers],[_Level]]:Tasks[[#This Row],[_Level]])),0))</f>
        <v>0</v>
      </c>
      <c r="BX38" s="42" t="n">
        <f aca="false">IFERROR(N(INDEX(Tasks[_Level],Tasks[[#This Row],[_Row]]+1)),0)</f>
        <v>0</v>
      </c>
      <c r="BY38" s="88" t="b">
        <f aca="false">AND(Tasks[[#This Row],[Task Name]]&lt;&gt;"",Tasks[[#This Row],[_NextLevel]]&gt;Tasks[[#This Row],[_Level]])</f>
        <v>0</v>
      </c>
      <c r="BZ38" s="42" t="n">
        <f aca="false">IF(Tasks[[#This Row],[_IsSummary]],COUNTIF(Tasks[WBS],Tasks[[#This Row],[WBS]]&amp;".*"),0)</f>
        <v>0</v>
      </c>
      <c r="CA38" s="42" t="n">
        <f aca="false">IF(AND(Tasks[[#This Row],[Task Name]]&lt;&gt;"",NOT(Tasks[[#This Row],[_IsSummary]])),1,0)</f>
        <v>0</v>
      </c>
      <c r="CB38" s="42" t="n">
        <f aca="false">IF(N(Tasks[[#This Row],[_Pred1UID]])=0,0,IFERROR(MATCH(Tasks[[#This Row],[_Pred1UID]],Tasks[UID],0),-1))</f>
        <v>0</v>
      </c>
      <c r="CC38" s="42" t="n">
        <f aca="false">IF(N(Tasks[[#This Row],[_Pred2UID]])=0,0,IFERROR(MATCH(Tasks[[#This Row],[_Pred2UID]],Tasks[UID],0),-1))</f>
        <v>0</v>
      </c>
      <c r="CD38" s="42" t="n">
        <f aca="false">IF(N(Tasks[[#This Row],[_Pred3UID]])=0,0,IFERROR(MATCH(Tasks[[#This Row],[_Pred3UID]],Tasks[UID],0),-1))</f>
        <v>0</v>
      </c>
      <c r="CE38" s="42" t="n">
        <f aca="false">IF(N(Tasks[[#This Row],[_Pred4UID]])=0,0,IFERROR(MATCH(Tasks[[#This Row],[_Pred4UID]],Tasks[UID],0),-1))</f>
        <v>0</v>
      </c>
      <c r="CF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8" s="89" t="n">
        <f aca="false">IF(OR(Tasks[[#This Row],[_ConstraintCode]]=2,Tasks[[#This Row],[_ConstraintCode]]=3,Tasks[[#This Row],[_ConstraintCode]]=4,Tasks[[#This Row],[_ConstraintCode]]=6),Tasks[[#This Row],[_ConstraintStart]],0)</f>
        <v>0</v>
      </c>
      <c r="CI38" s="89" t="n">
        <f aca="false">IF(OR(Tasks[[#This Row],[_ConstraintCode]]=2,Tasks[[#This Row],[_ConstraintCode]]=3,Tasks[[#This Row],[_ConstraintCode]]=5,Tasks[[#This Row],[_ConstraintCode]]=7),Tasks[[#This Row],[_ConstraintStart]],2958465)</f>
        <v>2958465</v>
      </c>
      <c r="CJ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8" s="89" t="str">
        <f aca="false">IF(NOT(Tasks[[#This Row],[_IsLeaf]]=1),"",IF(N(Tasks[[#This Row],[_Days]])&lt;=0,Tasks[[#This Row],[_LeafCalcStart]],WORKDAY.INTL(Tasks[[#This Row],[_LeafCalcStart]],Tasks[[#This Row],[_Days]]-1,WorkWeek,Holidays)))</f>
        <v/>
      </c>
      <c r="CL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8" s="42" t="str">
        <f aca="false">IF(Tasks[[#This Row],[_Predecessors]]="","",TRIM(MID(SUBSTITUTE(SUBSTITUTE(SUBSTITUTE(UPPER(Tasks[[#This Row],[_Predecessors]]),";",",")," ",""),",",REPT(" ",99)),1,99)))</f>
        <v/>
      </c>
      <c r="CO38" s="42" t="str">
        <f aca="false">IF(Tasks[[#This Row],[_Pred1Text]]="","",IFERROR(VALUE(LEFT(Tasks[[#This Row],[_Pred1Text]],MIN(FIND("F",Tasks[[#This Row],[_Pred1Text]]&amp;"F"),FIND("S",Tasks[[#This Row],[_Pred1Text]]&amp;"S"),FIND("+",Tasks[[#This Row],[_Pred1Text]]&amp;"+"),FIND("-",Tasks[[#This Row],[_Pred1Text]]&amp;"-"))-1)),""))</f>
        <v/>
      </c>
      <c r="CP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8" s="42" t="str">
        <f aca="false">IF(Tasks[[#This Row],[_Pred1Text]]="","",TRIM(MID(SUBSTITUTE(SUBSTITUTE(SUBSTITUTE(UPPER(Tasks[[#This Row],[_Predecessors]]),";",",")," ",""),",",REPT(" ",99)),100,99)))</f>
        <v/>
      </c>
      <c r="CS38" s="42" t="str">
        <f aca="false">IF(Tasks[[#This Row],[_Pred2Text]]="","",IFERROR(VALUE(LEFT(Tasks[[#This Row],[_Pred2Text]],MIN(FIND("F",Tasks[[#This Row],[_Pred2Text]]&amp;"F"),FIND("S",Tasks[[#This Row],[_Pred2Text]]&amp;"S"),FIND("+",Tasks[[#This Row],[_Pred2Text]]&amp;"+"),FIND("-",Tasks[[#This Row],[_Pred2Text]]&amp;"-"))-1)),""))</f>
        <v/>
      </c>
      <c r="CT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8" s="42" t="str">
        <f aca="false">IF(Tasks[[#This Row],[_Pred2Text]]="","",TRIM(MID(SUBSTITUTE(SUBSTITUTE(SUBSTITUTE(UPPER(Tasks[[#This Row],[_Predecessors]]),";",",")," ",""),",",REPT(" ",99)),199,99)))</f>
        <v/>
      </c>
      <c r="CW38" s="42" t="str">
        <f aca="false">IF(Tasks[[#This Row],[_Pred3Text]]="","",IFERROR(VALUE(LEFT(Tasks[[#This Row],[_Pred3Text]],MIN(FIND("F",Tasks[[#This Row],[_Pred3Text]]&amp;"F"),FIND("S",Tasks[[#This Row],[_Pred3Text]]&amp;"S"),FIND("+",Tasks[[#This Row],[_Pred3Text]]&amp;"+"),FIND("-",Tasks[[#This Row],[_Pred3Text]]&amp;"-"))-1)),""))</f>
        <v/>
      </c>
      <c r="CX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8" s="42" t="str">
        <f aca="false">IF(Tasks[[#This Row],[_Pred3Text]]="","",TRIM(MID(SUBSTITUTE(SUBSTITUTE(SUBSTITUTE(UPPER(Tasks[[#This Row],[_Predecessors]]),";",",")," ",""),",",REPT(" ",99)),298,99)))</f>
        <v/>
      </c>
      <c r="DA38" s="42" t="str">
        <f aca="false">IF(Tasks[[#This Row],[_Pred4Text]]="","",IFERROR(VALUE(LEFT(Tasks[[#This Row],[_Pred4Text]],MIN(FIND("F",Tasks[[#This Row],[_Pred4Text]]&amp;"F"),FIND("S",Tasks[[#This Row],[_Pred4Text]]&amp;"S"),FIND("+",Tasks[[#This Row],[_Pred4Text]]&amp;"+"),FIND("-",Tasks[[#This Row],[_Pred4Text]]&amp;"-"))-1)),""))</f>
        <v/>
      </c>
      <c r="DB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8" s="42" t="str">
        <f aca="false">IF(OR(Tasks[[#This Row],[Task Name]]="",Tasks[[#This Row],[_Resources]]=""),"",TRIM(MID(SUBSTITUTE(Tasks[[#This Row],[_Resources]],",",REPT(" ",99)),1,99)))</f>
        <v/>
      </c>
      <c r="DE38" s="42" t="str">
        <f aca="false">IF(Tasks[[#This Row],[_Res1Text]]="","",TRIM(MID(SUBSTITUTE(Tasks[[#This Row],[_Resources]],",",REPT(" ",99)),100,99)))</f>
        <v/>
      </c>
      <c r="DF38" s="42" t="str">
        <f aca="false">IF(Tasks[[#This Row],[_Res2Text]]="","",TRIM(MID(SUBSTITUTE(Tasks[[#This Row],[_Resources]],",",REPT(" ",99)),199,99)))</f>
        <v/>
      </c>
      <c r="DG38" s="42" t="str">
        <f aca="false">IF(Tasks[[#This Row],[_Res3Text]]="","",TRIM(MID(SUBSTITUTE(Tasks[[#This Row],[_Resources]],",",REPT(" ",99)),298,99)))</f>
        <v/>
      </c>
      <c r="DH38" s="42" t="n">
        <f aca="false">IF(Tasks[[#This Row],[_Res1Text]]="",0,IFERROR(MATCH(TRIM(LEFT(Tasks[[#This Row],[_Res1Text]],FIND("[",Tasks[[#This Row],[_Res1Text]]&amp;"[")-1)),res_Name,0),IFERROR(MATCH(TRIM(LEFT(Tasks[[#This Row],[_Res1Text]],FIND("[",Tasks[[#This Row],[_Res1Text]]&amp;"[")-1)),res_Initials,0),0)))</f>
        <v>0</v>
      </c>
      <c r="DI38" s="42" t="n">
        <f aca="false">IF(Tasks[[#This Row],[_Res2Text]]="",0,IFERROR(MATCH(TRIM(LEFT(Tasks[[#This Row],[_Res2Text]],FIND("[",Tasks[[#This Row],[_Res2Text]]&amp;"[")-1)),res_Name,0),IFERROR(MATCH(TRIM(LEFT(Tasks[[#This Row],[_Res2Text]],FIND("[",Tasks[[#This Row],[_Res2Text]]&amp;"[")-1)),res_Initials,0),0)))</f>
        <v>0</v>
      </c>
      <c r="DJ38" s="42" t="n">
        <f aca="false">IF(Tasks[[#This Row],[_Res3Text]]="",0,IFERROR(MATCH(TRIM(LEFT(Tasks[[#This Row],[_Res3Text]],FIND("[",Tasks[[#This Row],[_Res3Text]]&amp;"[")-1)),res_Name,0),IFERROR(MATCH(TRIM(LEFT(Tasks[[#This Row],[_Res3Text]],FIND("[",Tasks[[#This Row],[_Res3Text]]&amp;"[")-1)),res_Initials,0),0)))</f>
        <v>0</v>
      </c>
      <c r="DK38" s="42" t="n">
        <f aca="false">IF(Tasks[[#This Row],[_Res4Text]]="",0,IFERROR(MATCH(TRIM(LEFT(Tasks[[#This Row],[_Res4Text]],FIND("[",Tasks[[#This Row],[_Res4Text]]&amp;"[")-1)),res_Name,0),IFERROR(MATCH(TRIM(LEFT(Tasks[[#This Row],[_Res4Text]],FIND("[",Tasks[[#This Row],[_Res4Text]]&amp;"[")-1)),res_Initials,0),0)))</f>
        <v>0</v>
      </c>
      <c r="DL38" s="42" t="str">
        <f aca="false">IF(Tasks[[#This Row],[_Res1Text]]="","",IF(Tasks[[#This Row],[_Res1Row]]&gt;0,INDEX(res_Name,Tasks[[#This Row],[_Res1Row]]),TRIM(LEFT(Tasks[[#This Row],[_Res1Text]],FIND("[",Tasks[[#This Row],[_Res1Text]]&amp;"[")-1))))</f>
        <v/>
      </c>
      <c r="DM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8" s="42" t="n">
        <f aca="false">IF(NOT(Tasks[[#This Row],[_IsLeaf]]=1),0,(Tasks[[#This Row],[_Resource1]]&lt;&gt;"")+(Tasks[[#This Row],[_Res2]]&lt;&gt;"")+(Tasks[[#This Row],[_Res3]]&lt;&gt;"")+(Tasks[[#This Row],[_Res4]]&lt;&gt;""))</f>
        <v>0</v>
      </c>
      <c r="DO38" s="42" t="str">
        <f aca="false">IF(Tasks[[#This Row],[_Res2Text]]="","",IF(Tasks[[#This Row],[_Res2Row]]&gt;0,INDEX(res_Name,Tasks[[#This Row],[_Res2Row]]),TRIM(LEFT(Tasks[[#This Row],[_Res2Text]],FIND("[",Tasks[[#This Row],[_Res2Text]]&amp;"[")-1))))</f>
        <v/>
      </c>
      <c r="DP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8" s="42" t="n">
        <f aca="false">IF(OR(NOT(Tasks[[#This Row],[_IsLeaf]]=1),Tasks[[#This Row],[_Res2Row]]=0),0,N(Tasks[[#This Row],[_Days]])*HoursPerDay*IF(Tasks[[#This Row],[_Res2Units]]="",DefaultUnits,Tasks[[#This Row],[_Res2Units]]))</f>
        <v>0</v>
      </c>
      <c r="DR38" s="42" t="n">
        <f aca="false">IF(AND(AND(Tasks[[#This Row],[_IsLeaf]]=1,Tasks[[#This Row],[_LeafTotalWork]]&gt;0),Tasks[[#This Row],[_Res2Work]]&gt;0),Tasks[[#This Row],[_Res2Work]]/(Tasks[[#This Row],[_FinishWorkday]]-Tasks[[#This Row],[_StartWorkday]]+1),0)</f>
        <v>0</v>
      </c>
      <c r="DS38" s="42" t="n">
        <f aca="false">Tasks[[#This Row],[_Res2WorkPerWD]]*MAX(0,Tasks[[#This Row],[_StartWorkday]]-1)</f>
        <v>0</v>
      </c>
      <c r="DT38" s="42" t="n">
        <f aca="false">Tasks[[#This Row],[_Res2Work]]*Tasks[[#This Row],[_LeafProgress]]</f>
        <v>0</v>
      </c>
      <c r="DU38" s="42" t="str">
        <f aca="false">IF(Tasks[[#This Row],[_Res3Text]]="","",IF(Tasks[[#This Row],[_Res3Row]]&gt;0,INDEX(res_Name,Tasks[[#This Row],[_Res3Row]]),TRIM(LEFT(Tasks[[#This Row],[_Res3Text]],FIND("[",Tasks[[#This Row],[_Res3Text]]&amp;"[")-1))))</f>
        <v/>
      </c>
      <c r="DV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8" s="42" t="n">
        <f aca="false">IF(OR(NOT(Tasks[[#This Row],[_IsLeaf]]=1),Tasks[[#This Row],[_Res3Row]]=0),0,N(Tasks[[#This Row],[_Days]])*HoursPerDay*IF(Tasks[[#This Row],[_Res3Units]]="",DefaultUnits,Tasks[[#This Row],[_Res3Units]]))</f>
        <v>0</v>
      </c>
      <c r="DX38" s="42" t="n">
        <f aca="false">IF(AND(AND(Tasks[[#This Row],[_IsLeaf]]=1,Tasks[[#This Row],[_LeafTotalWork]]&gt;0),Tasks[[#This Row],[_Res3Work]]&gt;0),Tasks[[#This Row],[_Res3Work]]/(Tasks[[#This Row],[_FinishWorkday]]-Tasks[[#This Row],[_StartWorkday]]+1),0)</f>
        <v>0</v>
      </c>
      <c r="DY38" s="42" t="n">
        <f aca="false">Tasks[[#This Row],[_Res3WorkPerWD]]*MAX(0,Tasks[[#This Row],[_StartWorkday]]-1)</f>
        <v>0</v>
      </c>
      <c r="DZ38" s="42" t="n">
        <f aca="false">Tasks[[#This Row],[_Res3Work]]*Tasks[[#This Row],[_LeafProgress]]</f>
        <v>0</v>
      </c>
      <c r="EA38" s="42" t="str">
        <f aca="false">IF(Tasks[[#This Row],[_Res4Text]]="","",IF(Tasks[[#This Row],[_Res4Row]]&gt;0,INDEX(res_Name,Tasks[[#This Row],[_Res4Row]]),TRIM(LEFT(Tasks[[#This Row],[_Res4Text]],FIND("[",Tasks[[#This Row],[_Res4Text]]&amp;"[")-1))))</f>
        <v/>
      </c>
      <c r="EB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8" s="42" t="n">
        <f aca="false">IF(OR(NOT(Tasks[[#This Row],[_IsLeaf]]=1),Tasks[[#This Row],[_Res4Row]]=0),0,N(Tasks[[#This Row],[_Days]])*HoursPerDay*IF(Tasks[[#This Row],[_Res4Units]]="",DefaultUnits,Tasks[[#This Row],[_Res4Units]]))</f>
        <v>0</v>
      </c>
      <c r="ED38" s="42" t="n">
        <f aca="false">IF(AND(AND(Tasks[[#This Row],[_IsLeaf]]=1,Tasks[[#This Row],[_LeafTotalWork]]&gt;0),Tasks[[#This Row],[_Res4Work]]&gt;0),Tasks[[#This Row],[_Res4Work]]/(Tasks[[#This Row],[_FinishWorkday]]-Tasks[[#This Row],[_StartWorkday]]+1),0)</f>
        <v>0</v>
      </c>
      <c r="EE38" s="42" t="n">
        <f aca="false">Tasks[[#This Row],[_Res4WorkPerWD]]*MAX(0,Tasks[[#This Row],[_StartWorkday]]-1)</f>
        <v>0</v>
      </c>
      <c r="EF38" s="42" t="n">
        <f aca="false">Tasks[[#This Row],[_Res4Work]]*Tasks[[#This Row],[_LeafProgress]]</f>
        <v>0</v>
      </c>
      <c r="EG38" s="42" t="n">
        <f aca="false">IF(ISNUMBER(Tasks[[#This Row],[% Complete]]),Tasks[[#This Row],[% Complete]],IF(Tasks[[#This Row],[Stage]]="",0,IFERROR(INDEX(stg_Pct,MATCH(Tasks[[#This Row],[Stage]],stg_Name,0)),0)))</f>
        <v>0</v>
      </c>
      <c r="EH38" s="42" t="n">
        <f aca="false">IF(NOT(Tasks[[#This Row],[_IsLeaf]]=1),0,IF(N(Tasks[[#This Row],[Actual Finish]])&gt;0,1,MIN(1,Tasks[[#This Row],[_Pct]])))</f>
        <v>0</v>
      </c>
      <c r="EI38" s="42" t="n">
        <f aca="false">IF(OR(NOT(Tasks[[#This Row],[_IsLeaf]]=1),Tasks[[#This Row],[_Res1Row]]=0),0,N(Tasks[[#This Row],[_Days]])*HoursPerDay*IF(Tasks[[#This Row],[_Units1]]="",DefaultUnits,Tasks[[#This Row],[_Units1]]))</f>
        <v>0</v>
      </c>
      <c r="EJ38" s="42" t="n">
        <f aca="false">Tasks[[#This Row],[_LeafWork]]+Tasks[[#This Row],[_Res2Work]]+Tasks[[#This Row],[_Res3Work]]+Tasks[[#This Row],[_Res4Work]]</f>
        <v>0</v>
      </c>
      <c r="EK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8" s="42" t="n">
        <f aca="false">IF(NOT(Tasks[[#This Row],[_IsLeaf]]=1),0,MAX(_xlfn.MAXIFS(Tasks[_Row],Tasks[_Pred1UID],Tasks[[#This Row],[UID]]),_xlfn.MAXIFS(Tasks[_Row],Tasks[_Pred2UID],Tasks[[#This Row],[UID]]),_xlfn.MAXIFS(Tasks[_Row],Tasks[_Pred3UID],Tasks[[#This Row],[UID]]),_xlfn.MAXIFS(Tasks[_Row],Tasks[_Pred4UID],Tasks[[#This Row],[UID]])))</f>
        <v>0</v>
      </c>
      <c r="ET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8" s="89" t="str">
        <f aca="false">IF(NOT(Tasks[[#This Row],[_IsLeaf]]=1),"",IF(N(Tasks[[#This Row],[_Days]])&lt;=0,Tasks[[#This Row],[_LeafLateFinish]],WORKDAY.INTL(Tasks[[#This Row],[_LeafLateFinish]],-(Tasks[[#This Row],[_Days]]-1),WorkWeek,Holidays)))</f>
        <v/>
      </c>
      <c r="EW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8" s="88" t="b">
        <f aca="false">AND(Tasks[[#This Row],[_IsLeaf]]=1,Tasks[[#This Row],[_LeafProgress]]&lt;1,N(Tasks[[#This Row],[_LeafTotalSlack]])&lt;=CriticalSlackDays)</f>
        <v>0</v>
      </c>
      <c r="EY38" s="42" t="n">
        <f aca="false">IF(AND(Tasks[[#This Row],[_IsLeaf]]=1,Tasks[[#This Row],[_ConstraintCode]]=1,Tasks[[#This Row],[Mode]]&lt;&gt;"Manual",N(Tasks[[#This Row],[Actual Start]])=0),MAX(0,N(Tasks[[#This Row],[Free Slack]])),0)</f>
        <v>0</v>
      </c>
      <c r="EZ38" s="89" t="str">
        <f aca="false">IF(NOT(Tasks[[#This Row],[_IsLeaf]]=1),"",IF(Tasks[[#This Row],[_AlapShift]]=0,Tasks[[#This Row],[_LeafCalcStart]],WORKDAY.INTL(Tasks[[#This Row],[_LeafCalcStart]],Tasks[[#This Row],[_AlapShift]],WorkWeek,Holidays)))</f>
        <v/>
      </c>
      <c r="FA38" s="89" t="str">
        <f aca="false">IF(NOT(Tasks[[#This Row],[_IsLeaf]]=1),"",IF(Tasks[[#This Row],[_AlapShift]]=0,Tasks[[#This Row],[_LeafCalcFinish]],WORKDAY.INTL(Tasks[[#This Row],[_LeafCalcFinish]],Tasks[[#This Row],[_AlapShift]],WorkWeek,Holidays)))</f>
        <v/>
      </c>
      <c r="FB38" s="89" t="str">
        <f aca="false">IF(NOT(Tasks[[#This Row],[_IsLeaf]]=1),"",IF(Tasks[[#This Row],[_AlapShift]]=0,Tasks[[#This Row],[_LeafFcstStart]],WORKDAY.INTL(Tasks[[#This Row],[_LeafFcstStart]],Tasks[[#This Row],[_AlapShift]],WorkWeek,Holidays)))</f>
        <v/>
      </c>
      <c r="FC38" s="89" t="str">
        <f aca="false">IF(NOT(Tasks[[#This Row],[_IsLeaf]]=1),"",IF(Tasks[[#This Row],[_AlapShift]]=0,Tasks[[#This Row],[_LeafFcstFinish]],WORKDAY.INTL(Tasks[[#This Row],[_LeafFcstFinish]],Tasks[[#This Row],[_AlapShift]],WorkWeek,Holidays)))</f>
        <v/>
      </c>
      <c r="FD38" s="89" t="str">
        <f aca="false">IF(Tasks[[#This Row],[Task Name]]="","",IF(Tasks[[#This Row],[_IsSummary]],MIN(INDEX(Tasks[_ShownCalcStart],Tasks[[#This Row],[_Row]]+1):INDEX(Tasks[_ShownCalcStart],Tasks[[#This Row],[_Row]]+Tasks[[#This Row],[_Descendants]])),Tasks[[#This Row],[_ShownCalcStart]]))</f>
        <v/>
      </c>
      <c r="FE38" s="89" t="str">
        <f aca="false">IF(Tasks[[#This Row],[Task Name]]="","",IF(Tasks[[#This Row],[_IsSummary]],MAX(INDEX(Tasks[_ShownCalcFinish],Tasks[[#This Row],[_Row]]+1):INDEX(Tasks[_ShownCalcFinish],Tasks[[#This Row],[_Row]]+Tasks[[#This Row],[_Descendants]])),Tasks[[#This Row],[_ShownCalcFinish]]))</f>
        <v/>
      </c>
      <c r="FF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8" s="42" t="n">
        <f aca="false">IF(AND(Tasks[[#This Row],[_IsLeaf]]=1,Tasks[[#This Row],[_LeafTotalWork]]&gt;0),NETWORKDAYS.INTL(ProjectStart,Tasks[[#This Row],[_ShownFcstStart]],WorkWeek,Holidays),0)</f>
        <v>0</v>
      </c>
      <c r="FS38" s="42" t="n">
        <f aca="false">IF(AND(Tasks[[#This Row],[_IsLeaf]]=1,Tasks[[#This Row],[_LeafTotalWork]]&gt;0),MAX(Tasks[[#This Row],[_StartWorkday]],NETWORKDAYS.INTL(ProjectStart,Tasks[[#This Row],[_ShownFcstFinish]],WorkWeek,Holidays)),0)</f>
        <v>0</v>
      </c>
      <c r="FT38" s="42" t="n">
        <f aca="false">IF(AND(Tasks[[#This Row],[_IsLeaf]]=1,Tasks[[#This Row],[_LeafTotalWork]]&gt;0),Tasks[[#This Row],[_LeafWork]]/(Tasks[[#This Row],[_FinishWorkday]]-Tasks[[#This Row],[_StartWorkday]]+1),0)</f>
        <v>0</v>
      </c>
      <c r="FU38" s="42" t="n">
        <f aca="false">Tasks[[#This Row],[_WorkPerWorkday]]*(Tasks[[#This Row],[_StartWorkday]]-1)</f>
        <v>-0</v>
      </c>
      <c r="FV38" s="42" t="n">
        <f aca="false">IF(Tasks[[#This Row],[_IsLeaf]]=1,MAX(N(Tasks[[#This Row],[_Days]]),0.1),0)</f>
        <v>0</v>
      </c>
      <c r="FW38" s="42" t="n">
        <f aca="false">Tasks[[#This Row],[_WeightDur]]*Tasks[[#This Row],[_LeafProgress]]</f>
        <v>0</v>
      </c>
      <c r="FX38" s="42" t="n">
        <f aca="false">Tasks[[#This Row],[_WeightDur]]*Tasks[[#This Row],[_PlannedPct]]</f>
        <v>0</v>
      </c>
      <c r="FY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8" s="42" t="str">
        <f aca="false">IF(AND(Tasks[[#This Row],[_IsLeaf]]=1,N(Tasks[[#This Row],[_Days]])=0,Tasks[[#This Row],[_LeafProgress]]&lt;1),Tasks[[#This Row],[_ShownFcstFinish]]+Tasks[[#This Row],[_Row]]/100000,"")</f>
        <v/>
      </c>
      <c r="GA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8" s="42" t="str">
        <f aca="false">IF(Tasks[[#This Row],[Task Name]]="","",LEFT(Tasks[[#This Row],[WBS]],FIND(".",Tasks[[#This Row],[WBS]]&amp;".")-1))</f>
        <v/>
      </c>
      <c r="GC38" s="42" t="str">
        <f aca="false">IF(AND(Tasks[[#This Row],[Task Name]]&lt;&gt;"",Tasks[[#This Row],[_Level]]=1),Tasks[[#This Row],[_Row]],"")</f>
        <v/>
      </c>
      <c r="GD38" s="42" t="str">
        <f aca="false">IF(AND(Tasks[[#This Row],[_IsLeaf]]=1,N(Tasks[[#This Row],[_Days]])=0),Tasks[[#This Row],[Planned Finish]]+Tasks[[#This Row],[_Row]]/100000,"")</f>
        <v/>
      </c>
      <c r="GE38" s="42" t="str">
        <f aca="false">IF(AND(Tasks[[#This Row],[_IsLeaf]]=1,Tasks[[#This Row],[_LeafProgress]]&lt;1,OR(N(Tasks[[#This Row],[Finish Var]])&gt;0,Tasks[[#This Row],[Status]]="Late Start")),MAX(0,Tasks[[#This Row],[Finish Var]])+1-Tasks[[#This Row],[_Row]]/1000000,"")</f>
        <v/>
      </c>
      <c r="GF38" s="42" t="str">
        <f aca="false">IF(AND(Tasks[[#This Row],[_IsLeaf]]=1,N(Tasks[[#This Row],[Actual Start]])=0,Tasks[[#This Row],[_ShownFcstStart]]&gt;=StatusDate,Tasks[[#This Row],[_ShownFcstStart]]&lt;=LookaheadEnd),Tasks[[#This Row],[_ShownFcstStart]]+Tasks[[#This Row],[_Row]]/100000,"")</f>
        <v/>
      </c>
      <c r="GG38" s="42" t="str">
        <f aca="false">IF(AND(Tasks[[#This Row],[_IsLeaf]]=1,Tasks[[#This Row],[_LeafProgress]]&lt;1,Tasks[[#This Row],[_ShownFcstFinish]]&gt;=StatusDate,Tasks[[#This Row],[_ShownFcstFinish]]&lt;=LookaheadEnd),Tasks[[#This Row],[_ShownFcstFinish]]+Tasks[[#This Row],[_Row]]/100000,"")</f>
        <v/>
      </c>
      <c r="GH38" s="42" t="str">
        <f aca="false">IF(Tasks[[#This Row],[_LeafCritical]],Tasks[[#This Row],[_ShownFcstStart]]+Tasks[[#This Row],[_Row]]/100000,"")</f>
        <v/>
      </c>
      <c r="GI38" s="42" t="n">
        <f aca="false">Tasks[[#This Row],[_LeafWork]]*Tasks[[#This Row],[_LeafProgress]]</f>
        <v>0</v>
      </c>
      <c r="GJ38" s="89" t="str">
        <f aca="false">IF(AND(Tasks[[#This Row],[_IsLeaf]]=1,Tasks[[#This Row],[_LeafProgress]]&gt;=1),IF(N(Tasks[[#This Row],[Actual Finish]])&gt;0,Tasks[[#This Row],[Actual Finish]],Tasks[[#This Row],[_ShownFcstFinish]]),"")</f>
        <v/>
      </c>
      <c r="GK38" s="42" t="n">
        <f aca="false">IF(Tasks[[#This Row],[_IsLeaf]]=1,N(Tasks[[#This Row],[Story Points]]),0)</f>
        <v>0</v>
      </c>
      <c r="GL38" s="42" t="str">
        <f aca="false">""</f>
        <v/>
      </c>
      <c r="GM38" s="88" t="b">
        <f aca="false">IF(Tasks[[#This Row],[Task Name]]="",FALSE(),AND(Tasks[[#This Row],[_IsLeaf]]=1,N(Tasks[[#This Row],[_Days]])=0))</f>
        <v>0</v>
      </c>
      <c r="GN38" s="89" t="n">
        <f aca="false">IF(Tasks[[#This Row],[Task Name]]="",0,IF(AND(Tasks[[#This Row],[_IsLeaf]]=1,NOT(Tasks[[#This Row],[_IsMilestone]]),N(Tasks[[#This Row],[Progress]])&gt;0),Tasks[[#This Row],[Start]],0))</f>
        <v>0</v>
      </c>
      <c r="GO38" s="89" t="n">
        <f aca="false">IF(Tasks[[#This Row],[_DoneFrom]]=0,0,IF(Tasks[[#This Row],[Progress]]&gt;=1,Tasks[[#This Row],[Finish]],MAX(Tasks[[#This Row],[_DoneFrom]],Tasks[[#This Row],[Start]]+ROUND((Tasks[[#This Row],[Finish]]-Tasks[[#This Row],[Start]]+1)*Tasks[[#This Row],[Progress]],0)-1)))</f>
        <v>0</v>
      </c>
      <c r="GP38" s="89" t="n">
        <f aca="false">IF(Tasks[[#This Row],[Task Name]]="",0,IF(OR(NOT(Tasks[[#This Row],[_IsLeaf]]=1),Tasks[[#This Row],[_IsMilestone]],N(Tasks[[#This Row],[Progress]])&gt;=1),0,IF(Tasks[[#This Row],[_DoneTo]]&gt;0,Tasks[[#This Row],[_DoneTo]]+1,Tasks[[#This Row],[Start]])))</f>
        <v>0</v>
      </c>
      <c r="GQ38" s="89" t="n">
        <f aca="false">IF(Tasks[[#This Row],[_RemFrom]]=0,0,Tasks[[#This Row],[Finish]])</f>
        <v>0</v>
      </c>
      <c r="GR38" s="88" t="b">
        <f aca="false">IF(Tasks[[#This Row],[Task Name]]="",FALSE(),OR(NOT(BaselineSet),N(Tasks[[#This Row],[Baseline Start]])&gt;0))</f>
        <v>0</v>
      </c>
      <c r="GS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8" s="90" t="str">
        <f aca="false">IF(Tasks[[#This Row],[_IsLeaf]]=1,Tasks[[#This Row],[_Row]],"")</f>
        <v/>
      </c>
      <c r="GW38" s="90" t="str">
        <f aca="false">IFERROR(INDEX(Tasks[UID],SMALL(Tasks[_PickKey],Tasks[[#This Row],[_Row]]))&amp;" "&amp;INDEX(Tasks[Task Name],SMALL(Tasks[_PickKey],Tasks[[#This Row],[_Row]])),"")</f>
        <v/>
      </c>
      <c r="GX38" s="42" t="str">
        <f aca="false">IF(Tasks[[#This Row],[Task Name]]="","",IF(Tasks[[#This Row],[_IsSummary]],NETWORKDAYS.INTL(Tasks[[#This Row],[Start]],Tasks[[#This Row],[Finish]],WorkWeek,Holidays),N(Tasks[[#This Row],[_Days]])))</f>
        <v/>
      </c>
    </row>
    <row r="39" customFormat="false" ht="15" hidden="false" customHeight="false" outlineLevel="0" collapsed="false">
      <c r="A39" s="21" t="str">
        <f aca="false">IF(Tasks[[#This Row],[Task Name]]="","",COUNTA(Tasks[[#Headers],[Task Name]]:Tasks[[#This Row],[Task Name]])-1)</f>
        <v/>
      </c>
      <c r="B39" s="22" t="n">
        <v>47</v>
      </c>
      <c r="C39" s="22"/>
      <c r="D39" s="23"/>
      <c r="E39" s="22"/>
      <c r="F39" s="23"/>
      <c r="G39" s="22"/>
      <c r="H39" s="22"/>
      <c r="I39" s="23"/>
      <c r="J39" s="22"/>
      <c r="K39" s="22"/>
      <c r="L39" s="23"/>
      <c r="M39" s="22"/>
      <c r="N39" s="22"/>
      <c r="O39" s="23"/>
      <c r="P39" s="22"/>
      <c r="Q39" s="22"/>
      <c r="R39" s="23"/>
      <c r="S39" s="23"/>
      <c r="T39" s="83"/>
      <c r="U39" s="23"/>
      <c r="V39" s="83"/>
      <c r="W39" s="23"/>
      <c r="X39" s="83"/>
      <c r="Y39" s="23"/>
      <c r="Z39" s="83"/>
      <c r="AA39" s="23"/>
      <c r="AB39" s="23"/>
      <c r="AC39" s="7"/>
      <c r="AD39" s="7"/>
      <c r="AE39" s="62" t="str">
        <f aca="false">IF(Tasks[[#This Row],[Task Name]]="","",IF(Tasks[[#This Row],[_IsSummary]],MIN(INDEX(Tasks[_ShownFcstStart],Tasks[[#This Row],[_Row]]+1):INDEX(Tasks[_ShownFcstStart],Tasks[[#This Row],[_Row]]+Tasks[[#This Row],[_Descendants]])),Tasks[[#This Row],[_ShownFcstStart]]))</f>
        <v/>
      </c>
      <c r="AF39" s="62" t="str">
        <f aca="false">IF(Tasks[[#This Row],[Task Name]]="","",IF(Tasks[[#This Row],[_IsSummary]],MAX(INDEX(Tasks[_ShownFcstFinish],Tasks[[#This Row],[_Row]]+1):INDEX(Tasks[_ShownFcstFinish],Tasks[[#This Row],[_Row]]+Tasks[[#This Row],[_Descendants]])),Tasks[[#This Row],[_ShownFcstFinish]]))</f>
        <v/>
      </c>
      <c r="AG39" s="21" t="str">
        <f aca="false">""</f>
        <v/>
      </c>
      <c r="AH39" s="23"/>
      <c r="AI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39" s="7"/>
      <c r="AK39" s="22"/>
      <c r="AL39" s="23"/>
      <c r="AM39" s="7"/>
      <c r="AN39" s="46" t="str">
        <f aca="false">IF(Tasks[[#This Row],[Task Name]]="","",IF(Tasks[[#This Row],[Finish]]&gt;=Tasks[[#This Row],[Planned Finish]],NETWORKDAYS.INTL(Tasks[[#This Row],[Planned Finish]],Tasks[[#This Row],[Finish]],WorkWeek,Holidays)-1,1-NETWORKDAYS.INTL(Tasks[[#This Row],[Finish]],Tasks[[#This Row],[Planned Finish]],WorkWeek,Holidays)))</f>
        <v/>
      </c>
      <c r="AO39" s="21" t="str">
        <f aca="false">IF(Tasks[[#This Row],[Task Name]]="","",IF(Tasks[[#This Row],[Progress]]&gt;=1,"Complete",IF(OR(N(Tasks[[#This Row],[Actual Start]])&gt;0,Tasks[[#This Row],[Progress]]&gt;0),IF(Tasks[[#This Row],[Finish Var]]&gt;0,"Behind","In Progress"),IF(Tasks[[#This Row],[Planned Start]]&lt;StatusDate,"Late Start","Not Started"))))</f>
        <v/>
      </c>
      <c r="AP39" s="21" t="str">
        <f aca="false">IF(Tasks[[#This Row],[Task Name]]="","",IF(IF(Tasks[[#This Row],[_IsSummary]],COUNTIF(INDEX(Tasks[_LeafCritical],Tasks[[#This Row],[_Row]]+1):INDEX(Tasks[_LeafCritical],Tasks[[#This Row],[_Row]]+Tasks[[#This Row],[_Descendants]]),TRUE())&gt;0,Tasks[[#This Row],[_LeafCritical]]),"Yes",""))</f>
        <v/>
      </c>
      <c r="AQ39" s="62" t="str">
        <f aca="false">IF(Tasks[[#This Row],[Task Name]]="","",IF(N(Tasks[[#This Row],[Baseline Start]])&gt;0,Tasks[[#This Row],[Baseline Start]],Tasks[[#This Row],[_CalcStart]]))</f>
        <v/>
      </c>
      <c r="AR39" s="62" t="str">
        <f aca="false">IF(Tasks[[#This Row],[Task Name]]="","",IF(N(Tasks[[#This Row],[Baseline Finish]])&gt;0,Tasks[[#This Row],[Baseline Finish]],Tasks[[#This Row],[_CalcFinish]]))</f>
        <v/>
      </c>
      <c r="AS39" s="46" t="str">
        <f aca="false">IF(Tasks[[#This Row],[Task Name]]="","",IF(Tasks[[#This Row],[Start]]&gt;=Tasks[[#This Row],[Planned Start]],NETWORKDAYS.INTL(Tasks[[#This Row],[Planned Start]],Tasks[[#This Row],[Start]],WorkWeek,Holidays)-1,1-NETWORKDAYS.INTL(Tasks[[#This Row],[Start]],Tasks[[#This Row],[Planned Start]],WorkWeek,Holidays)))</f>
        <v/>
      </c>
      <c r="AT39" s="62" t="str">
        <f aca="false">IF(Tasks[[#This Row],[Task Name]]="","",IF(Tasks[[#This Row],[_IsSummary]],MIN(INDEX(Tasks[_LeafLateStart],Tasks[[#This Row],[_Row]]+1):INDEX(Tasks[_LeafLateStart],Tasks[[#This Row],[_Row]]+Tasks[[#This Row],[_Descendants]])),Tasks[[#This Row],[_LeafLateStart]]))</f>
        <v/>
      </c>
      <c r="AU39" s="62" t="str">
        <f aca="false">IF(Tasks[[#This Row],[Task Name]]="","",IF(Tasks[[#This Row],[_IsSummary]],MAX(INDEX(Tasks[_LeafLateFinish],Tasks[[#This Row],[_Row]]+1):INDEX(Tasks[_LeafLateFinish],Tasks[[#This Row],[_Row]]+Tasks[[#This Row],[_Descendants]])),Tasks[[#This Row],[_LeafLateFinish]]))</f>
        <v/>
      </c>
      <c r="AV39" s="46" t="str">
        <f aca="false">IF(Tasks[[#This Row],[Task Name]]="","",IF(Tasks[[#This Row],[_IsSummary]],MIN(INDEX(Tasks[_LeafTotalSlack],Tasks[[#This Row],[_Row]]+1):INDEX(Tasks[_LeafTotalSlack],Tasks[[#This Row],[_Row]]+Tasks[[#This Row],[_Descendants]])),Tasks[[#This Row],[_LeafTotalSlack]]))</f>
        <v/>
      </c>
      <c r="AW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4"/>
      <c r="BA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t="str">
        <f aca="false">IF(Tasks[[#This Row],[Task Name]]="","",IF(Tasks[[#This Row],[_Level]]&lt;=OutlineShowLevel,"Yes","No"))</f>
        <v/>
      </c>
      <c r="BE39" s="85" t="str">
        <f aca="false">IF(Tasks[[#This Row],[Task Name]]="","",IF(Tasks[[#This Row],[_IsSummary]],SUM(INDEX(Tasks[_LeafTotalWork],Tasks[[#This Row],[_Row]]+1):INDEX(Tasks[_LeafTotalWork],Tasks[[#This Row],[_Row]]+Tasks[[#This Row],[_Descendants]])),Tasks[[#This Row],[_LeafTotalWork]]))</f>
        <v/>
      </c>
      <c r="BF39" s="23"/>
      <c r="BG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t="str">
        <f aca="false">""</f>
        <v/>
      </c>
      <c r="BI39" s="86"/>
      <c r="BJ39" s="22"/>
      <c r="BK39" s="46" t="str">
        <f aca="false">IF(OR(Tasks[[#This Row],[Task Name]]="",Tasks[[#This Row],[Baseline Duration]]=""),"",Tasks[[#This Row],[_SpanDays]]-N(Tasks[[#This Row],[Baseline Duration]]))</f>
        <v/>
      </c>
      <c r="BL39" s="85" t="str">
        <f aca="false">IF(OR(Tasks[[#This Row],[Task Name]]="",Tasks[[#This Row],[Baseline Work]]=""),"",Tasks[[#This Row],[Work]]-N(Tasks[[#This Row],[Baseline Work]]))</f>
        <v/>
      </c>
      <c r="BM39" s="62" t="str">
        <f aca="false">IF(Tasks[[#This Row],[Task Name]]="","",IF(OR(TakeBaseline="Yes",N(Tasks[[#This Row],[Baseline Start]])=0),Tasks[[#This Row],[Start]],Tasks[[#This Row],[Baseline Start]]))</f>
        <v/>
      </c>
      <c r="BN39" s="62" t="str">
        <f aca="false">IF(Tasks[[#This Row],[Task Name]]="","",IF(OR(TakeBaseline="Yes",N(Tasks[[#This Row],[Baseline Finish]])=0),Tasks[[#This Row],[Finish]],Tasks[[#This Row],[Baseline Finish]]))</f>
        <v/>
      </c>
      <c r="BO39" s="21" t="str">
        <f aca="false">IF(Tasks[[#This Row],[Task Name]]="","",IF(OR(TakeBaseline="Yes",N(Tasks[[#This Row],[Baseline Duration]])=0),Tasks[[#This Row],[_SpanDays]],Tasks[[#This Row],[Baseline Duration]]))</f>
        <v/>
      </c>
      <c r="BP39" s="85" t="str">
        <f aca="false">IF(Tasks[[#This Row],[Task Name]]="","",IF(OR(TakeBaseline="Yes",N(Tasks[[#This Row],[Baseline Work]])=0),Tasks[[#This Row],[Work]],Tasks[[#This Row],[Baseline Work]]))</f>
        <v/>
      </c>
      <c r="BQ39" s="7"/>
      <c r="BR39" s="7"/>
      <c r="BS39" s="22"/>
      <c r="BT39" s="87"/>
      <c r="BU39" s="42" t="str">
        <f aca="false">IF(Tasks[[#This Row],[Task Name]]="","",MAX(1,N(Tasks[[#This Row],[Level]])))</f>
        <v/>
      </c>
      <c r="BV39" s="42" t="n">
        <f aca="false">ROW()-ROW(Tasks[[#Headers],[ID]])</f>
        <v>34</v>
      </c>
      <c r="BW39" s="42" t="n">
        <f aca="false">IF(OR(Tasks[[#This Row],[Task Name]]="",Tasks[[#This Row],[_Level]]&lt;=1),0,IFERROR(LOOKUP(2,1/(Tasks[[#Headers],[_Level]]:Tasks[[#This Row],[_Level]]=Tasks[[#This Row],[_Level]]-1),ROW(Tasks[[#Headers],[_Level]]:Tasks[[#This Row],[_Level]])),0))</f>
        <v>0</v>
      </c>
      <c r="BX39" s="42" t="n">
        <f aca="false">IFERROR(N(INDEX(Tasks[_Level],Tasks[[#This Row],[_Row]]+1)),0)</f>
        <v>0</v>
      </c>
      <c r="BY39" s="88" t="b">
        <f aca="false">AND(Tasks[[#This Row],[Task Name]]&lt;&gt;"",Tasks[[#This Row],[_NextLevel]]&gt;Tasks[[#This Row],[_Level]])</f>
        <v>0</v>
      </c>
      <c r="BZ39" s="42" t="n">
        <f aca="false">IF(Tasks[[#This Row],[_IsSummary]],COUNTIF(Tasks[WBS],Tasks[[#This Row],[WBS]]&amp;".*"),0)</f>
        <v>0</v>
      </c>
      <c r="CA39" s="42" t="n">
        <f aca="false">IF(AND(Tasks[[#This Row],[Task Name]]&lt;&gt;"",NOT(Tasks[[#This Row],[_IsSummary]])),1,0)</f>
        <v>0</v>
      </c>
      <c r="CB39" s="42" t="n">
        <f aca="false">IF(N(Tasks[[#This Row],[_Pred1UID]])=0,0,IFERROR(MATCH(Tasks[[#This Row],[_Pred1UID]],Tasks[UID],0),-1))</f>
        <v>0</v>
      </c>
      <c r="CC39" s="42" t="n">
        <f aca="false">IF(N(Tasks[[#This Row],[_Pred2UID]])=0,0,IFERROR(MATCH(Tasks[[#This Row],[_Pred2UID]],Tasks[UID],0),-1))</f>
        <v>0</v>
      </c>
      <c r="CD39" s="42" t="n">
        <f aca="false">IF(N(Tasks[[#This Row],[_Pred3UID]])=0,0,IFERROR(MATCH(Tasks[[#This Row],[_Pred3UID]],Tasks[UID],0),-1))</f>
        <v>0</v>
      </c>
      <c r="CE39" s="42" t="n">
        <f aca="false">IF(N(Tasks[[#This Row],[_Pred4UID]])=0,0,IFERROR(MATCH(Tasks[[#This Row],[_Pred4UID]],Tasks[UID],0),-1))</f>
        <v>0</v>
      </c>
      <c r="CF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39" s="89" t="n">
        <f aca="false">IF(OR(Tasks[[#This Row],[_ConstraintCode]]=2,Tasks[[#This Row],[_ConstraintCode]]=3,Tasks[[#This Row],[_ConstraintCode]]=4,Tasks[[#This Row],[_ConstraintCode]]=6),Tasks[[#This Row],[_ConstraintStart]],0)</f>
        <v>0</v>
      </c>
      <c r="CI39" s="89" t="n">
        <f aca="false">IF(OR(Tasks[[#This Row],[_ConstraintCode]]=2,Tasks[[#This Row],[_ConstraintCode]]=3,Tasks[[#This Row],[_ConstraintCode]]=5,Tasks[[#This Row],[_ConstraintCode]]=7),Tasks[[#This Row],[_ConstraintStart]],2958465)</f>
        <v>2958465</v>
      </c>
      <c r="CJ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39" s="89" t="str">
        <f aca="false">IF(NOT(Tasks[[#This Row],[_IsLeaf]]=1),"",IF(N(Tasks[[#This Row],[_Days]])&lt;=0,Tasks[[#This Row],[_LeafCalcStart]],WORKDAY.INTL(Tasks[[#This Row],[_LeafCalcStart]],Tasks[[#This Row],[_Days]]-1,WorkWeek,Holidays)))</f>
        <v/>
      </c>
      <c r="CL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39" s="42" t="str">
        <f aca="false">IF(Tasks[[#This Row],[_Predecessors]]="","",TRIM(MID(SUBSTITUTE(SUBSTITUTE(SUBSTITUTE(UPPER(Tasks[[#This Row],[_Predecessors]]),";",",")," ",""),",",REPT(" ",99)),1,99)))</f>
        <v/>
      </c>
      <c r="CO39" s="42" t="str">
        <f aca="false">IF(Tasks[[#This Row],[_Pred1Text]]="","",IFERROR(VALUE(LEFT(Tasks[[#This Row],[_Pred1Text]],MIN(FIND("F",Tasks[[#This Row],[_Pred1Text]]&amp;"F"),FIND("S",Tasks[[#This Row],[_Pred1Text]]&amp;"S"),FIND("+",Tasks[[#This Row],[_Pred1Text]]&amp;"+"),FIND("-",Tasks[[#This Row],[_Pred1Text]]&amp;"-"))-1)),""))</f>
        <v/>
      </c>
      <c r="CP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39" s="42" t="str">
        <f aca="false">IF(Tasks[[#This Row],[_Pred1Text]]="","",TRIM(MID(SUBSTITUTE(SUBSTITUTE(SUBSTITUTE(UPPER(Tasks[[#This Row],[_Predecessors]]),";",",")," ",""),",",REPT(" ",99)),100,99)))</f>
        <v/>
      </c>
      <c r="CS39" s="42" t="str">
        <f aca="false">IF(Tasks[[#This Row],[_Pred2Text]]="","",IFERROR(VALUE(LEFT(Tasks[[#This Row],[_Pred2Text]],MIN(FIND("F",Tasks[[#This Row],[_Pred2Text]]&amp;"F"),FIND("S",Tasks[[#This Row],[_Pred2Text]]&amp;"S"),FIND("+",Tasks[[#This Row],[_Pred2Text]]&amp;"+"),FIND("-",Tasks[[#This Row],[_Pred2Text]]&amp;"-"))-1)),""))</f>
        <v/>
      </c>
      <c r="CT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39" s="42" t="str">
        <f aca="false">IF(Tasks[[#This Row],[_Pred2Text]]="","",TRIM(MID(SUBSTITUTE(SUBSTITUTE(SUBSTITUTE(UPPER(Tasks[[#This Row],[_Predecessors]]),";",",")," ",""),",",REPT(" ",99)),199,99)))</f>
        <v/>
      </c>
      <c r="CW39" s="42" t="str">
        <f aca="false">IF(Tasks[[#This Row],[_Pred3Text]]="","",IFERROR(VALUE(LEFT(Tasks[[#This Row],[_Pred3Text]],MIN(FIND("F",Tasks[[#This Row],[_Pred3Text]]&amp;"F"),FIND("S",Tasks[[#This Row],[_Pred3Text]]&amp;"S"),FIND("+",Tasks[[#This Row],[_Pred3Text]]&amp;"+"),FIND("-",Tasks[[#This Row],[_Pred3Text]]&amp;"-"))-1)),""))</f>
        <v/>
      </c>
      <c r="CX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39" s="42" t="str">
        <f aca="false">IF(Tasks[[#This Row],[_Pred3Text]]="","",TRIM(MID(SUBSTITUTE(SUBSTITUTE(SUBSTITUTE(UPPER(Tasks[[#This Row],[_Predecessors]]),";",",")," ",""),",",REPT(" ",99)),298,99)))</f>
        <v/>
      </c>
      <c r="DA39" s="42" t="str">
        <f aca="false">IF(Tasks[[#This Row],[_Pred4Text]]="","",IFERROR(VALUE(LEFT(Tasks[[#This Row],[_Pred4Text]],MIN(FIND("F",Tasks[[#This Row],[_Pred4Text]]&amp;"F"),FIND("S",Tasks[[#This Row],[_Pred4Text]]&amp;"S"),FIND("+",Tasks[[#This Row],[_Pred4Text]]&amp;"+"),FIND("-",Tasks[[#This Row],[_Pred4Text]]&amp;"-"))-1)),""))</f>
        <v/>
      </c>
      <c r="DB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39" s="42" t="str">
        <f aca="false">IF(OR(Tasks[[#This Row],[Task Name]]="",Tasks[[#This Row],[_Resources]]=""),"",TRIM(MID(SUBSTITUTE(Tasks[[#This Row],[_Resources]],",",REPT(" ",99)),1,99)))</f>
        <v/>
      </c>
      <c r="DE39" s="42" t="str">
        <f aca="false">IF(Tasks[[#This Row],[_Res1Text]]="","",TRIM(MID(SUBSTITUTE(Tasks[[#This Row],[_Resources]],",",REPT(" ",99)),100,99)))</f>
        <v/>
      </c>
      <c r="DF39" s="42" t="str">
        <f aca="false">IF(Tasks[[#This Row],[_Res2Text]]="","",TRIM(MID(SUBSTITUTE(Tasks[[#This Row],[_Resources]],",",REPT(" ",99)),199,99)))</f>
        <v/>
      </c>
      <c r="DG39" s="42" t="str">
        <f aca="false">IF(Tasks[[#This Row],[_Res3Text]]="","",TRIM(MID(SUBSTITUTE(Tasks[[#This Row],[_Resources]],",",REPT(" ",99)),298,99)))</f>
        <v/>
      </c>
      <c r="DH39" s="42" t="n">
        <f aca="false">IF(Tasks[[#This Row],[_Res1Text]]="",0,IFERROR(MATCH(TRIM(LEFT(Tasks[[#This Row],[_Res1Text]],FIND("[",Tasks[[#This Row],[_Res1Text]]&amp;"[")-1)),res_Name,0),IFERROR(MATCH(TRIM(LEFT(Tasks[[#This Row],[_Res1Text]],FIND("[",Tasks[[#This Row],[_Res1Text]]&amp;"[")-1)),res_Initials,0),0)))</f>
        <v>0</v>
      </c>
      <c r="DI39" s="42" t="n">
        <f aca="false">IF(Tasks[[#This Row],[_Res2Text]]="",0,IFERROR(MATCH(TRIM(LEFT(Tasks[[#This Row],[_Res2Text]],FIND("[",Tasks[[#This Row],[_Res2Text]]&amp;"[")-1)),res_Name,0),IFERROR(MATCH(TRIM(LEFT(Tasks[[#This Row],[_Res2Text]],FIND("[",Tasks[[#This Row],[_Res2Text]]&amp;"[")-1)),res_Initials,0),0)))</f>
        <v>0</v>
      </c>
      <c r="DJ39" s="42" t="n">
        <f aca="false">IF(Tasks[[#This Row],[_Res3Text]]="",0,IFERROR(MATCH(TRIM(LEFT(Tasks[[#This Row],[_Res3Text]],FIND("[",Tasks[[#This Row],[_Res3Text]]&amp;"[")-1)),res_Name,0),IFERROR(MATCH(TRIM(LEFT(Tasks[[#This Row],[_Res3Text]],FIND("[",Tasks[[#This Row],[_Res3Text]]&amp;"[")-1)),res_Initials,0),0)))</f>
        <v>0</v>
      </c>
      <c r="DK39" s="42" t="n">
        <f aca="false">IF(Tasks[[#This Row],[_Res4Text]]="",0,IFERROR(MATCH(TRIM(LEFT(Tasks[[#This Row],[_Res4Text]],FIND("[",Tasks[[#This Row],[_Res4Text]]&amp;"[")-1)),res_Name,0),IFERROR(MATCH(TRIM(LEFT(Tasks[[#This Row],[_Res4Text]],FIND("[",Tasks[[#This Row],[_Res4Text]]&amp;"[")-1)),res_Initials,0),0)))</f>
        <v>0</v>
      </c>
      <c r="DL39" s="42" t="str">
        <f aca="false">IF(Tasks[[#This Row],[_Res1Text]]="","",IF(Tasks[[#This Row],[_Res1Row]]&gt;0,INDEX(res_Name,Tasks[[#This Row],[_Res1Row]]),TRIM(LEFT(Tasks[[#This Row],[_Res1Text]],FIND("[",Tasks[[#This Row],[_Res1Text]]&amp;"[")-1))))</f>
        <v/>
      </c>
      <c r="DM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39" s="42" t="n">
        <f aca="false">IF(NOT(Tasks[[#This Row],[_IsLeaf]]=1),0,(Tasks[[#This Row],[_Resource1]]&lt;&gt;"")+(Tasks[[#This Row],[_Res2]]&lt;&gt;"")+(Tasks[[#This Row],[_Res3]]&lt;&gt;"")+(Tasks[[#This Row],[_Res4]]&lt;&gt;""))</f>
        <v>0</v>
      </c>
      <c r="DO39" s="42" t="str">
        <f aca="false">IF(Tasks[[#This Row],[_Res2Text]]="","",IF(Tasks[[#This Row],[_Res2Row]]&gt;0,INDEX(res_Name,Tasks[[#This Row],[_Res2Row]]),TRIM(LEFT(Tasks[[#This Row],[_Res2Text]],FIND("[",Tasks[[#This Row],[_Res2Text]]&amp;"[")-1))))</f>
        <v/>
      </c>
      <c r="DP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39" s="42" t="n">
        <f aca="false">IF(OR(NOT(Tasks[[#This Row],[_IsLeaf]]=1),Tasks[[#This Row],[_Res2Row]]=0),0,N(Tasks[[#This Row],[_Days]])*HoursPerDay*IF(Tasks[[#This Row],[_Res2Units]]="",DefaultUnits,Tasks[[#This Row],[_Res2Units]]))</f>
        <v>0</v>
      </c>
      <c r="DR39" s="42" t="n">
        <f aca="false">IF(AND(AND(Tasks[[#This Row],[_IsLeaf]]=1,Tasks[[#This Row],[_LeafTotalWork]]&gt;0),Tasks[[#This Row],[_Res2Work]]&gt;0),Tasks[[#This Row],[_Res2Work]]/(Tasks[[#This Row],[_FinishWorkday]]-Tasks[[#This Row],[_StartWorkday]]+1),0)</f>
        <v>0</v>
      </c>
      <c r="DS39" s="42" t="n">
        <f aca="false">Tasks[[#This Row],[_Res2WorkPerWD]]*MAX(0,Tasks[[#This Row],[_StartWorkday]]-1)</f>
        <v>0</v>
      </c>
      <c r="DT39" s="42" t="n">
        <f aca="false">Tasks[[#This Row],[_Res2Work]]*Tasks[[#This Row],[_LeafProgress]]</f>
        <v>0</v>
      </c>
      <c r="DU39" s="42" t="str">
        <f aca="false">IF(Tasks[[#This Row],[_Res3Text]]="","",IF(Tasks[[#This Row],[_Res3Row]]&gt;0,INDEX(res_Name,Tasks[[#This Row],[_Res3Row]]),TRIM(LEFT(Tasks[[#This Row],[_Res3Text]],FIND("[",Tasks[[#This Row],[_Res3Text]]&amp;"[")-1))))</f>
        <v/>
      </c>
      <c r="DV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39" s="42" t="n">
        <f aca="false">IF(OR(NOT(Tasks[[#This Row],[_IsLeaf]]=1),Tasks[[#This Row],[_Res3Row]]=0),0,N(Tasks[[#This Row],[_Days]])*HoursPerDay*IF(Tasks[[#This Row],[_Res3Units]]="",DefaultUnits,Tasks[[#This Row],[_Res3Units]]))</f>
        <v>0</v>
      </c>
      <c r="DX39" s="42" t="n">
        <f aca="false">IF(AND(AND(Tasks[[#This Row],[_IsLeaf]]=1,Tasks[[#This Row],[_LeafTotalWork]]&gt;0),Tasks[[#This Row],[_Res3Work]]&gt;0),Tasks[[#This Row],[_Res3Work]]/(Tasks[[#This Row],[_FinishWorkday]]-Tasks[[#This Row],[_StartWorkday]]+1),0)</f>
        <v>0</v>
      </c>
      <c r="DY39" s="42" t="n">
        <f aca="false">Tasks[[#This Row],[_Res3WorkPerWD]]*MAX(0,Tasks[[#This Row],[_StartWorkday]]-1)</f>
        <v>0</v>
      </c>
      <c r="DZ39" s="42" t="n">
        <f aca="false">Tasks[[#This Row],[_Res3Work]]*Tasks[[#This Row],[_LeafProgress]]</f>
        <v>0</v>
      </c>
      <c r="EA39" s="42" t="str">
        <f aca="false">IF(Tasks[[#This Row],[_Res4Text]]="","",IF(Tasks[[#This Row],[_Res4Row]]&gt;0,INDEX(res_Name,Tasks[[#This Row],[_Res4Row]]),TRIM(LEFT(Tasks[[#This Row],[_Res4Text]],FIND("[",Tasks[[#This Row],[_Res4Text]]&amp;"[")-1))))</f>
        <v/>
      </c>
      <c r="EB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39" s="42" t="n">
        <f aca="false">IF(OR(NOT(Tasks[[#This Row],[_IsLeaf]]=1),Tasks[[#This Row],[_Res4Row]]=0),0,N(Tasks[[#This Row],[_Days]])*HoursPerDay*IF(Tasks[[#This Row],[_Res4Units]]="",DefaultUnits,Tasks[[#This Row],[_Res4Units]]))</f>
        <v>0</v>
      </c>
      <c r="ED39" s="42" t="n">
        <f aca="false">IF(AND(AND(Tasks[[#This Row],[_IsLeaf]]=1,Tasks[[#This Row],[_LeafTotalWork]]&gt;0),Tasks[[#This Row],[_Res4Work]]&gt;0),Tasks[[#This Row],[_Res4Work]]/(Tasks[[#This Row],[_FinishWorkday]]-Tasks[[#This Row],[_StartWorkday]]+1),0)</f>
        <v>0</v>
      </c>
      <c r="EE39" s="42" t="n">
        <f aca="false">Tasks[[#This Row],[_Res4WorkPerWD]]*MAX(0,Tasks[[#This Row],[_StartWorkday]]-1)</f>
        <v>0</v>
      </c>
      <c r="EF39" s="42" t="n">
        <f aca="false">Tasks[[#This Row],[_Res4Work]]*Tasks[[#This Row],[_LeafProgress]]</f>
        <v>0</v>
      </c>
      <c r="EG39" s="42" t="n">
        <f aca="false">IF(ISNUMBER(Tasks[[#This Row],[% Complete]]),Tasks[[#This Row],[% Complete]],IF(Tasks[[#This Row],[Stage]]="",0,IFERROR(INDEX(stg_Pct,MATCH(Tasks[[#This Row],[Stage]],stg_Name,0)),0)))</f>
        <v>0</v>
      </c>
      <c r="EH39" s="42" t="n">
        <f aca="false">IF(NOT(Tasks[[#This Row],[_IsLeaf]]=1),0,IF(N(Tasks[[#This Row],[Actual Finish]])&gt;0,1,MIN(1,Tasks[[#This Row],[_Pct]])))</f>
        <v>0</v>
      </c>
      <c r="EI39" s="42" t="n">
        <f aca="false">IF(OR(NOT(Tasks[[#This Row],[_IsLeaf]]=1),Tasks[[#This Row],[_Res1Row]]=0),0,N(Tasks[[#This Row],[_Days]])*HoursPerDay*IF(Tasks[[#This Row],[_Units1]]="",DefaultUnits,Tasks[[#This Row],[_Units1]]))</f>
        <v>0</v>
      </c>
      <c r="EJ39" s="42" t="n">
        <f aca="false">Tasks[[#This Row],[_LeafWork]]+Tasks[[#This Row],[_Res2Work]]+Tasks[[#This Row],[_Res3Work]]+Tasks[[#This Row],[_Res4Work]]</f>
        <v>0</v>
      </c>
      <c r="EK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39" s="42" t="n">
        <f aca="false">IF(NOT(Tasks[[#This Row],[_IsLeaf]]=1),0,MAX(_xlfn.MAXIFS(Tasks[_Row],Tasks[_Pred1UID],Tasks[[#This Row],[UID]]),_xlfn.MAXIFS(Tasks[_Row],Tasks[_Pred2UID],Tasks[[#This Row],[UID]]),_xlfn.MAXIFS(Tasks[_Row],Tasks[_Pred3UID],Tasks[[#This Row],[UID]]),_xlfn.MAXIFS(Tasks[_Row],Tasks[_Pred4UID],Tasks[[#This Row],[UID]])))</f>
        <v>0</v>
      </c>
      <c r="ET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39" s="89" t="str">
        <f aca="false">IF(NOT(Tasks[[#This Row],[_IsLeaf]]=1),"",IF(N(Tasks[[#This Row],[_Days]])&lt;=0,Tasks[[#This Row],[_LeafLateFinish]],WORKDAY.INTL(Tasks[[#This Row],[_LeafLateFinish]],-(Tasks[[#This Row],[_Days]]-1),WorkWeek,Holidays)))</f>
        <v/>
      </c>
      <c r="EW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39" s="88" t="b">
        <f aca="false">AND(Tasks[[#This Row],[_IsLeaf]]=1,Tasks[[#This Row],[_LeafProgress]]&lt;1,N(Tasks[[#This Row],[_LeafTotalSlack]])&lt;=CriticalSlackDays)</f>
        <v>0</v>
      </c>
      <c r="EY39" s="42" t="n">
        <f aca="false">IF(AND(Tasks[[#This Row],[_IsLeaf]]=1,Tasks[[#This Row],[_ConstraintCode]]=1,Tasks[[#This Row],[Mode]]&lt;&gt;"Manual",N(Tasks[[#This Row],[Actual Start]])=0),MAX(0,N(Tasks[[#This Row],[Free Slack]])),0)</f>
        <v>0</v>
      </c>
      <c r="EZ39" s="89" t="str">
        <f aca="false">IF(NOT(Tasks[[#This Row],[_IsLeaf]]=1),"",IF(Tasks[[#This Row],[_AlapShift]]=0,Tasks[[#This Row],[_LeafCalcStart]],WORKDAY.INTL(Tasks[[#This Row],[_LeafCalcStart]],Tasks[[#This Row],[_AlapShift]],WorkWeek,Holidays)))</f>
        <v/>
      </c>
      <c r="FA39" s="89" t="str">
        <f aca="false">IF(NOT(Tasks[[#This Row],[_IsLeaf]]=1),"",IF(Tasks[[#This Row],[_AlapShift]]=0,Tasks[[#This Row],[_LeafCalcFinish]],WORKDAY.INTL(Tasks[[#This Row],[_LeafCalcFinish]],Tasks[[#This Row],[_AlapShift]],WorkWeek,Holidays)))</f>
        <v/>
      </c>
      <c r="FB39" s="89" t="str">
        <f aca="false">IF(NOT(Tasks[[#This Row],[_IsLeaf]]=1),"",IF(Tasks[[#This Row],[_AlapShift]]=0,Tasks[[#This Row],[_LeafFcstStart]],WORKDAY.INTL(Tasks[[#This Row],[_LeafFcstStart]],Tasks[[#This Row],[_AlapShift]],WorkWeek,Holidays)))</f>
        <v/>
      </c>
      <c r="FC39" s="89" t="str">
        <f aca="false">IF(NOT(Tasks[[#This Row],[_IsLeaf]]=1),"",IF(Tasks[[#This Row],[_AlapShift]]=0,Tasks[[#This Row],[_LeafFcstFinish]],WORKDAY.INTL(Tasks[[#This Row],[_LeafFcstFinish]],Tasks[[#This Row],[_AlapShift]],WorkWeek,Holidays)))</f>
        <v/>
      </c>
      <c r="FD39" s="89" t="str">
        <f aca="false">IF(Tasks[[#This Row],[Task Name]]="","",IF(Tasks[[#This Row],[_IsSummary]],MIN(INDEX(Tasks[_ShownCalcStart],Tasks[[#This Row],[_Row]]+1):INDEX(Tasks[_ShownCalcStart],Tasks[[#This Row],[_Row]]+Tasks[[#This Row],[_Descendants]])),Tasks[[#This Row],[_ShownCalcStart]]))</f>
        <v/>
      </c>
      <c r="FE39" s="89" t="str">
        <f aca="false">IF(Tasks[[#This Row],[Task Name]]="","",IF(Tasks[[#This Row],[_IsSummary]],MAX(INDEX(Tasks[_ShownCalcFinish],Tasks[[#This Row],[_Row]]+1):INDEX(Tasks[_ShownCalcFinish],Tasks[[#This Row],[_Row]]+Tasks[[#This Row],[_Descendants]])),Tasks[[#This Row],[_ShownCalcFinish]]))</f>
        <v/>
      </c>
      <c r="FF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39" s="42" t="n">
        <f aca="false">IF(AND(Tasks[[#This Row],[_IsLeaf]]=1,Tasks[[#This Row],[_LeafTotalWork]]&gt;0),NETWORKDAYS.INTL(ProjectStart,Tasks[[#This Row],[_ShownFcstStart]],WorkWeek,Holidays),0)</f>
        <v>0</v>
      </c>
      <c r="FS39" s="42" t="n">
        <f aca="false">IF(AND(Tasks[[#This Row],[_IsLeaf]]=1,Tasks[[#This Row],[_LeafTotalWork]]&gt;0),MAX(Tasks[[#This Row],[_StartWorkday]],NETWORKDAYS.INTL(ProjectStart,Tasks[[#This Row],[_ShownFcstFinish]],WorkWeek,Holidays)),0)</f>
        <v>0</v>
      </c>
      <c r="FT39" s="42" t="n">
        <f aca="false">IF(AND(Tasks[[#This Row],[_IsLeaf]]=1,Tasks[[#This Row],[_LeafTotalWork]]&gt;0),Tasks[[#This Row],[_LeafWork]]/(Tasks[[#This Row],[_FinishWorkday]]-Tasks[[#This Row],[_StartWorkday]]+1),0)</f>
        <v>0</v>
      </c>
      <c r="FU39" s="42" t="n">
        <f aca="false">Tasks[[#This Row],[_WorkPerWorkday]]*(Tasks[[#This Row],[_StartWorkday]]-1)</f>
        <v>-0</v>
      </c>
      <c r="FV39" s="42" t="n">
        <f aca="false">IF(Tasks[[#This Row],[_IsLeaf]]=1,MAX(N(Tasks[[#This Row],[_Days]]),0.1),0)</f>
        <v>0</v>
      </c>
      <c r="FW39" s="42" t="n">
        <f aca="false">Tasks[[#This Row],[_WeightDur]]*Tasks[[#This Row],[_LeafProgress]]</f>
        <v>0</v>
      </c>
      <c r="FX39" s="42" t="n">
        <f aca="false">Tasks[[#This Row],[_WeightDur]]*Tasks[[#This Row],[_PlannedPct]]</f>
        <v>0</v>
      </c>
      <c r="FY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39" s="42" t="str">
        <f aca="false">IF(AND(Tasks[[#This Row],[_IsLeaf]]=1,N(Tasks[[#This Row],[_Days]])=0,Tasks[[#This Row],[_LeafProgress]]&lt;1),Tasks[[#This Row],[_ShownFcstFinish]]+Tasks[[#This Row],[_Row]]/100000,"")</f>
        <v/>
      </c>
      <c r="GA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39" s="42" t="str">
        <f aca="false">IF(Tasks[[#This Row],[Task Name]]="","",LEFT(Tasks[[#This Row],[WBS]],FIND(".",Tasks[[#This Row],[WBS]]&amp;".")-1))</f>
        <v/>
      </c>
      <c r="GC39" s="42" t="str">
        <f aca="false">IF(AND(Tasks[[#This Row],[Task Name]]&lt;&gt;"",Tasks[[#This Row],[_Level]]=1),Tasks[[#This Row],[_Row]],"")</f>
        <v/>
      </c>
      <c r="GD39" s="42" t="str">
        <f aca="false">IF(AND(Tasks[[#This Row],[_IsLeaf]]=1,N(Tasks[[#This Row],[_Days]])=0),Tasks[[#This Row],[Planned Finish]]+Tasks[[#This Row],[_Row]]/100000,"")</f>
        <v/>
      </c>
      <c r="GE39" s="42" t="str">
        <f aca="false">IF(AND(Tasks[[#This Row],[_IsLeaf]]=1,Tasks[[#This Row],[_LeafProgress]]&lt;1,OR(N(Tasks[[#This Row],[Finish Var]])&gt;0,Tasks[[#This Row],[Status]]="Late Start")),MAX(0,Tasks[[#This Row],[Finish Var]])+1-Tasks[[#This Row],[_Row]]/1000000,"")</f>
        <v/>
      </c>
      <c r="GF39" s="42" t="str">
        <f aca="false">IF(AND(Tasks[[#This Row],[_IsLeaf]]=1,N(Tasks[[#This Row],[Actual Start]])=0,Tasks[[#This Row],[_ShownFcstStart]]&gt;=StatusDate,Tasks[[#This Row],[_ShownFcstStart]]&lt;=LookaheadEnd),Tasks[[#This Row],[_ShownFcstStart]]+Tasks[[#This Row],[_Row]]/100000,"")</f>
        <v/>
      </c>
      <c r="GG39" s="42" t="str">
        <f aca="false">IF(AND(Tasks[[#This Row],[_IsLeaf]]=1,Tasks[[#This Row],[_LeafProgress]]&lt;1,Tasks[[#This Row],[_ShownFcstFinish]]&gt;=StatusDate,Tasks[[#This Row],[_ShownFcstFinish]]&lt;=LookaheadEnd),Tasks[[#This Row],[_ShownFcstFinish]]+Tasks[[#This Row],[_Row]]/100000,"")</f>
        <v/>
      </c>
      <c r="GH39" s="42" t="str">
        <f aca="false">IF(Tasks[[#This Row],[_LeafCritical]],Tasks[[#This Row],[_ShownFcstStart]]+Tasks[[#This Row],[_Row]]/100000,"")</f>
        <v/>
      </c>
      <c r="GI39" s="42" t="n">
        <f aca="false">Tasks[[#This Row],[_LeafWork]]*Tasks[[#This Row],[_LeafProgress]]</f>
        <v>0</v>
      </c>
      <c r="GJ39" s="89" t="str">
        <f aca="false">IF(AND(Tasks[[#This Row],[_IsLeaf]]=1,Tasks[[#This Row],[_LeafProgress]]&gt;=1),IF(N(Tasks[[#This Row],[Actual Finish]])&gt;0,Tasks[[#This Row],[Actual Finish]],Tasks[[#This Row],[_ShownFcstFinish]]),"")</f>
        <v/>
      </c>
      <c r="GK39" s="42" t="n">
        <f aca="false">IF(Tasks[[#This Row],[_IsLeaf]]=1,N(Tasks[[#This Row],[Story Points]]),0)</f>
        <v>0</v>
      </c>
      <c r="GL39" s="42" t="str">
        <f aca="false">""</f>
        <v/>
      </c>
      <c r="GM39" s="88" t="b">
        <f aca="false">IF(Tasks[[#This Row],[Task Name]]="",FALSE(),AND(Tasks[[#This Row],[_IsLeaf]]=1,N(Tasks[[#This Row],[_Days]])=0))</f>
        <v>0</v>
      </c>
      <c r="GN39" s="89" t="n">
        <f aca="false">IF(Tasks[[#This Row],[Task Name]]="",0,IF(AND(Tasks[[#This Row],[_IsLeaf]]=1,NOT(Tasks[[#This Row],[_IsMilestone]]),N(Tasks[[#This Row],[Progress]])&gt;0),Tasks[[#This Row],[Start]],0))</f>
        <v>0</v>
      </c>
      <c r="GO39" s="89" t="n">
        <f aca="false">IF(Tasks[[#This Row],[_DoneFrom]]=0,0,IF(Tasks[[#This Row],[Progress]]&gt;=1,Tasks[[#This Row],[Finish]],MAX(Tasks[[#This Row],[_DoneFrom]],Tasks[[#This Row],[Start]]+ROUND((Tasks[[#This Row],[Finish]]-Tasks[[#This Row],[Start]]+1)*Tasks[[#This Row],[Progress]],0)-1)))</f>
        <v>0</v>
      </c>
      <c r="GP39" s="89" t="n">
        <f aca="false">IF(Tasks[[#This Row],[Task Name]]="",0,IF(OR(NOT(Tasks[[#This Row],[_IsLeaf]]=1),Tasks[[#This Row],[_IsMilestone]],N(Tasks[[#This Row],[Progress]])&gt;=1),0,IF(Tasks[[#This Row],[_DoneTo]]&gt;0,Tasks[[#This Row],[_DoneTo]]+1,Tasks[[#This Row],[Start]])))</f>
        <v>0</v>
      </c>
      <c r="GQ39" s="89" t="n">
        <f aca="false">IF(Tasks[[#This Row],[_RemFrom]]=0,0,Tasks[[#This Row],[Finish]])</f>
        <v>0</v>
      </c>
      <c r="GR39" s="88" t="b">
        <f aca="false">IF(Tasks[[#This Row],[Task Name]]="",FALSE(),OR(NOT(BaselineSet),N(Tasks[[#This Row],[Baseline Start]])&gt;0))</f>
        <v>0</v>
      </c>
      <c r="GS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39" s="90" t="str">
        <f aca="false">IF(Tasks[[#This Row],[_IsLeaf]]=1,Tasks[[#This Row],[_Row]],"")</f>
        <v/>
      </c>
      <c r="GW39" s="90" t="str">
        <f aca="false">IFERROR(INDEX(Tasks[UID],SMALL(Tasks[_PickKey],Tasks[[#This Row],[_Row]]))&amp;" "&amp;INDEX(Tasks[Task Name],SMALL(Tasks[_PickKey],Tasks[[#This Row],[_Row]])),"")</f>
        <v/>
      </c>
      <c r="GX39" s="42" t="str">
        <f aca="false">IF(Tasks[[#This Row],[Task Name]]="","",IF(Tasks[[#This Row],[_IsSummary]],NETWORKDAYS.INTL(Tasks[[#This Row],[Start]],Tasks[[#This Row],[Finish]],WorkWeek,Holidays),N(Tasks[[#This Row],[_Days]])))</f>
        <v/>
      </c>
    </row>
    <row r="40" customFormat="false" ht="15" hidden="false" customHeight="false" outlineLevel="0" collapsed="false">
      <c r="A40" s="21" t="str">
        <f aca="false">IF(Tasks[[#This Row],[Task Name]]="","",COUNTA(Tasks[[#Headers],[Task Name]]:Tasks[[#This Row],[Task Name]])-1)</f>
        <v/>
      </c>
      <c r="B40" s="22" t="n">
        <v>48</v>
      </c>
      <c r="C40" s="22"/>
      <c r="D40" s="23"/>
      <c r="E40" s="22"/>
      <c r="F40" s="23"/>
      <c r="G40" s="22"/>
      <c r="H40" s="22"/>
      <c r="I40" s="23"/>
      <c r="J40" s="22"/>
      <c r="K40" s="22"/>
      <c r="L40" s="23"/>
      <c r="M40" s="22"/>
      <c r="N40" s="22"/>
      <c r="O40" s="23"/>
      <c r="P40" s="22"/>
      <c r="Q40" s="22"/>
      <c r="R40" s="23"/>
      <c r="S40" s="23"/>
      <c r="T40" s="83"/>
      <c r="U40" s="23"/>
      <c r="V40" s="83"/>
      <c r="W40" s="23"/>
      <c r="X40" s="83"/>
      <c r="Y40" s="23"/>
      <c r="Z40" s="83"/>
      <c r="AA40" s="23"/>
      <c r="AB40" s="23"/>
      <c r="AC40" s="7"/>
      <c r="AD40" s="7"/>
      <c r="AE40" s="62" t="str">
        <f aca="false">IF(Tasks[[#This Row],[Task Name]]="","",IF(Tasks[[#This Row],[_IsSummary]],MIN(INDEX(Tasks[_ShownFcstStart],Tasks[[#This Row],[_Row]]+1):INDEX(Tasks[_ShownFcstStart],Tasks[[#This Row],[_Row]]+Tasks[[#This Row],[_Descendants]])),Tasks[[#This Row],[_ShownFcstStart]]))</f>
        <v/>
      </c>
      <c r="AF40" s="62" t="str">
        <f aca="false">IF(Tasks[[#This Row],[Task Name]]="","",IF(Tasks[[#This Row],[_IsSummary]],MAX(INDEX(Tasks[_ShownFcstFinish],Tasks[[#This Row],[_Row]]+1):INDEX(Tasks[_ShownFcstFinish],Tasks[[#This Row],[_Row]]+Tasks[[#This Row],[_Descendants]])),Tasks[[#This Row],[_ShownFcstFinish]]))</f>
        <v/>
      </c>
      <c r="AG40" s="21" t="str">
        <f aca="false">""</f>
        <v/>
      </c>
      <c r="AH40" s="23"/>
      <c r="AI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0" s="7"/>
      <c r="AK40" s="22"/>
      <c r="AL40" s="23"/>
      <c r="AM40" s="7"/>
      <c r="AN40" s="46" t="str">
        <f aca="false">IF(Tasks[[#This Row],[Task Name]]="","",IF(Tasks[[#This Row],[Finish]]&gt;=Tasks[[#This Row],[Planned Finish]],NETWORKDAYS.INTL(Tasks[[#This Row],[Planned Finish]],Tasks[[#This Row],[Finish]],WorkWeek,Holidays)-1,1-NETWORKDAYS.INTL(Tasks[[#This Row],[Finish]],Tasks[[#This Row],[Planned Finish]],WorkWeek,Holidays)))</f>
        <v/>
      </c>
      <c r="AO40" s="21" t="str">
        <f aca="false">IF(Tasks[[#This Row],[Task Name]]="","",IF(Tasks[[#This Row],[Progress]]&gt;=1,"Complete",IF(OR(N(Tasks[[#This Row],[Actual Start]])&gt;0,Tasks[[#This Row],[Progress]]&gt;0),IF(Tasks[[#This Row],[Finish Var]]&gt;0,"Behind","In Progress"),IF(Tasks[[#This Row],[Planned Start]]&lt;StatusDate,"Late Start","Not Started"))))</f>
        <v/>
      </c>
      <c r="AP40" s="21" t="str">
        <f aca="false">IF(Tasks[[#This Row],[Task Name]]="","",IF(IF(Tasks[[#This Row],[_IsSummary]],COUNTIF(INDEX(Tasks[_LeafCritical],Tasks[[#This Row],[_Row]]+1):INDEX(Tasks[_LeafCritical],Tasks[[#This Row],[_Row]]+Tasks[[#This Row],[_Descendants]]),TRUE())&gt;0,Tasks[[#This Row],[_LeafCritical]]),"Yes",""))</f>
        <v/>
      </c>
      <c r="AQ40" s="62" t="str">
        <f aca="false">IF(Tasks[[#This Row],[Task Name]]="","",IF(N(Tasks[[#This Row],[Baseline Start]])&gt;0,Tasks[[#This Row],[Baseline Start]],Tasks[[#This Row],[_CalcStart]]))</f>
        <v/>
      </c>
      <c r="AR40" s="62" t="str">
        <f aca="false">IF(Tasks[[#This Row],[Task Name]]="","",IF(N(Tasks[[#This Row],[Baseline Finish]])&gt;0,Tasks[[#This Row],[Baseline Finish]],Tasks[[#This Row],[_CalcFinish]]))</f>
        <v/>
      </c>
      <c r="AS40" s="46" t="str">
        <f aca="false">IF(Tasks[[#This Row],[Task Name]]="","",IF(Tasks[[#This Row],[Start]]&gt;=Tasks[[#This Row],[Planned Start]],NETWORKDAYS.INTL(Tasks[[#This Row],[Planned Start]],Tasks[[#This Row],[Start]],WorkWeek,Holidays)-1,1-NETWORKDAYS.INTL(Tasks[[#This Row],[Start]],Tasks[[#This Row],[Planned Start]],WorkWeek,Holidays)))</f>
        <v/>
      </c>
      <c r="AT40" s="62" t="str">
        <f aca="false">IF(Tasks[[#This Row],[Task Name]]="","",IF(Tasks[[#This Row],[_IsSummary]],MIN(INDEX(Tasks[_LeafLateStart],Tasks[[#This Row],[_Row]]+1):INDEX(Tasks[_LeafLateStart],Tasks[[#This Row],[_Row]]+Tasks[[#This Row],[_Descendants]])),Tasks[[#This Row],[_LeafLateStart]]))</f>
        <v/>
      </c>
      <c r="AU40" s="62" t="str">
        <f aca="false">IF(Tasks[[#This Row],[Task Name]]="","",IF(Tasks[[#This Row],[_IsSummary]],MAX(INDEX(Tasks[_LeafLateFinish],Tasks[[#This Row],[_Row]]+1):INDEX(Tasks[_LeafLateFinish],Tasks[[#This Row],[_Row]]+Tasks[[#This Row],[_Descendants]])),Tasks[[#This Row],[_LeafLateFinish]]))</f>
        <v/>
      </c>
      <c r="AV40" s="46" t="str">
        <f aca="false">IF(Tasks[[#This Row],[Task Name]]="","",IF(Tasks[[#This Row],[_IsSummary]],MIN(INDEX(Tasks[_LeafTotalSlack],Tasks[[#This Row],[_Row]]+1):INDEX(Tasks[_LeafTotalSlack],Tasks[[#This Row],[_Row]]+Tasks[[#This Row],[_Descendants]])),Tasks[[#This Row],[_LeafTotalSlack]]))</f>
        <v/>
      </c>
      <c r="AW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4"/>
      <c r="BA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t="str">
        <f aca="false">IF(Tasks[[#This Row],[Task Name]]="","",IF(Tasks[[#This Row],[_Level]]&lt;=OutlineShowLevel,"Yes","No"))</f>
        <v/>
      </c>
      <c r="BE40" s="85" t="str">
        <f aca="false">IF(Tasks[[#This Row],[Task Name]]="","",IF(Tasks[[#This Row],[_IsSummary]],SUM(INDEX(Tasks[_LeafTotalWork],Tasks[[#This Row],[_Row]]+1):INDEX(Tasks[_LeafTotalWork],Tasks[[#This Row],[_Row]]+Tasks[[#This Row],[_Descendants]])),Tasks[[#This Row],[_LeafTotalWork]]))</f>
        <v/>
      </c>
      <c r="BF40" s="23"/>
      <c r="BG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t="str">
        <f aca="false">""</f>
        <v/>
      </c>
      <c r="BI40" s="86"/>
      <c r="BJ40" s="22"/>
      <c r="BK40" s="46" t="str">
        <f aca="false">IF(OR(Tasks[[#This Row],[Task Name]]="",Tasks[[#This Row],[Baseline Duration]]=""),"",Tasks[[#This Row],[_SpanDays]]-N(Tasks[[#This Row],[Baseline Duration]]))</f>
        <v/>
      </c>
      <c r="BL40" s="85" t="str">
        <f aca="false">IF(OR(Tasks[[#This Row],[Task Name]]="",Tasks[[#This Row],[Baseline Work]]=""),"",Tasks[[#This Row],[Work]]-N(Tasks[[#This Row],[Baseline Work]]))</f>
        <v/>
      </c>
      <c r="BM40" s="62" t="str">
        <f aca="false">IF(Tasks[[#This Row],[Task Name]]="","",IF(OR(TakeBaseline="Yes",N(Tasks[[#This Row],[Baseline Start]])=0),Tasks[[#This Row],[Start]],Tasks[[#This Row],[Baseline Start]]))</f>
        <v/>
      </c>
      <c r="BN40" s="62" t="str">
        <f aca="false">IF(Tasks[[#This Row],[Task Name]]="","",IF(OR(TakeBaseline="Yes",N(Tasks[[#This Row],[Baseline Finish]])=0),Tasks[[#This Row],[Finish]],Tasks[[#This Row],[Baseline Finish]]))</f>
        <v/>
      </c>
      <c r="BO40" s="21" t="str">
        <f aca="false">IF(Tasks[[#This Row],[Task Name]]="","",IF(OR(TakeBaseline="Yes",N(Tasks[[#This Row],[Baseline Duration]])=0),Tasks[[#This Row],[_SpanDays]],Tasks[[#This Row],[Baseline Duration]]))</f>
        <v/>
      </c>
      <c r="BP40" s="85" t="str">
        <f aca="false">IF(Tasks[[#This Row],[Task Name]]="","",IF(OR(TakeBaseline="Yes",N(Tasks[[#This Row],[Baseline Work]])=0),Tasks[[#This Row],[Work]],Tasks[[#This Row],[Baseline Work]]))</f>
        <v/>
      </c>
      <c r="BQ40" s="7"/>
      <c r="BR40" s="7"/>
      <c r="BS40" s="22"/>
      <c r="BT40" s="87"/>
      <c r="BU40" s="42" t="str">
        <f aca="false">IF(Tasks[[#This Row],[Task Name]]="","",MAX(1,N(Tasks[[#This Row],[Level]])))</f>
        <v/>
      </c>
      <c r="BV40" s="42" t="n">
        <f aca="false">ROW()-ROW(Tasks[[#Headers],[ID]])</f>
        <v>35</v>
      </c>
      <c r="BW40" s="42" t="n">
        <f aca="false">IF(OR(Tasks[[#This Row],[Task Name]]="",Tasks[[#This Row],[_Level]]&lt;=1),0,IFERROR(LOOKUP(2,1/(Tasks[[#Headers],[_Level]]:Tasks[[#This Row],[_Level]]=Tasks[[#This Row],[_Level]]-1),ROW(Tasks[[#Headers],[_Level]]:Tasks[[#This Row],[_Level]])),0))</f>
        <v>0</v>
      </c>
      <c r="BX40" s="42" t="n">
        <f aca="false">IFERROR(N(INDEX(Tasks[_Level],Tasks[[#This Row],[_Row]]+1)),0)</f>
        <v>0</v>
      </c>
      <c r="BY40" s="88" t="b">
        <f aca="false">AND(Tasks[[#This Row],[Task Name]]&lt;&gt;"",Tasks[[#This Row],[_NextLevel]]&gt;Tasks[[#This Row],[_Level]])</f>
        <v>0</v>
      </c>
      <c r="BZ40" s="42" t="n">
        <f aca="false">IF(Tasks[[#This Row],[_IsSummary]],COUNTIF(Tasks[WBS],Tasks[[#This Row],[WBS]]&amp;".*"),0)</f>
        <v>0</v>
      </c>
      <c r="CA40" s="42" t="n">
        <f aca="false">IF(AND(Tasks[[#This Row],[Task Name]]&lt;&gt;"",NOT(Tasks[[#This Row],[_IsSummary]])),1,0)</f>
        <v>0</v>
      </c>
      <c r="CB40" s="42" t="n">
        <f aca="false">IF(N(Tasks[[#This Row],[_Pred1UID]])=0,0,IFERROR(MATCH(Tasks[[#This Row],[_Pred1UID]],Tasks[UID],0),-1))</f>
        <v>0</v>
      </c>
      <c r="CC40" s="42" t="n">
        <f aca="false">IF(N(Tasks[[#This Row],[_Pred2UID]])=0,0,IFERROR(MATCH(Tasks[[#This Row],[_Pred2UID]],Tasks[UID],0),-1))</f>
        <v>0</v>
      </c>
      <c r="CD40" s="42" t="n">
        <f aca="false">IF(N(Tasks[[#This Row],[_Pred3UID]])=0,0,IFERROR(MATCH(Tasks[[#This Row],[_Pred3UID]],Tasks[UID],0),-1))</f>
        <v>0</v>
      </c>
      <c r="CE40" s="42" t="n">
        <f aca="false">IF(N(Tasks[[#This Row],[_Pred4UID]])=0,0,IFERROR(MATCH(Tasks[[#This Row],[_Pred4UID]],Tasks[UID],0),-1))</f>
        <v>0</v>
      </c>
      <c r="CF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0" s="89" t="n">
        <f aca="false">IF(OR(Tasks[[#This Row],[_ConstraintCode]]=2,Tasks[[#This Row],[_ConstraintCode]]=3,Tasks[[#This Row],[_ConstraintCode]]=4,Tasks[[#This Row],[_ConstraintCode]]=6),Tasks[[#This Row],[_ConstraintStart]],0)</f>
        <v>0</v>
      </c>
      <c r="CI40" s="89" t="n">
        <f aca="false">IF(OR(Tasks[[#This Row],[_ConstraintCode]]=2,Tasks[[#This Row],[_ConstraintCode]]=3,Tasks[[#This Row],[_ConstraintCode]]=5,Tasks[[#This Row],[_ConstraintCode]]=7),Tasks[[#This Row],[_ConstraintStart]],2958465)</f>
        <v>2958465</v>
      </c>
      <c r="CJ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0" s="89" t="str">
        <f aca="false">IF(NOT(Tasks[[#This Row],[_IsLeaf]]=1),"",IF(N(Tasks[[#This Row],[_Days]])&lt;=0,Tasks[[#This Row],[_LeafCalcStart]],WORKDAY.INTL(Tasks[[#This Row],[_LeafCalcStart]],Tasks[[#This Row],[_Days]]-1,WorkWeek,Holidays)))</f>
        <v/>
      </c>
      <c r="CL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0" s="42" t="str">
        <f aca="false">IF(Tasks[[#This Row],[_Predecessors]]="","",TRIM(MID(SUBSTITUTE(SUBSTITUTE(SUBSTITUTE(UPPER(Tasks[[#This Row],[_Predecessors]]),";",",")," ",""),",",REPT(" ",99)),1,99)))</f>
        <v/>
      </c>
      <c r="CO40" s="42" t="str">
        <f aca="false">IF(Tasks[[#This Row],[_Pred1Text]]="","",IFERROR(VALUE(LEFT(Tasks[[#This Row],[_Pred1Text]],MIN(FIND("F",Tasks[[#This Row],[_Pred1Text]]&amp;"F"),FIND("S",Tasks[[#This Row],[_Pred1Text]]&amp;"S"),FIND("+",Tasks[[#This Row],[_Pred1Text]]&amp;"+"),FIND("-",Tasks[[#This Row],[_Pred1Text]]&amp;"-"))-1)),""))</f>
        <v/>
      </c>
      <c r="CP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0" s="42" t="str">
        <f aca="false">IF(Tasks[[#This Row],[_Pred1Text]]="","",TRIM(MID(SUBSTITUTE(SUBSTITUTE(SUBSTITUTE(UPPER(Tasks[[#This Row],[_Predecessors]]),";",",")," ",""),",",REPT(" ",99)),100,99)))</f>
        <v/>
      </c>
      <c r="CS40" s="42" t="str">
        <f aca="false">IF(Tasks[[#This Row],[_Pred2Text]]="","",IFERROR(VALUE(LEFT(Tasks[[#This Row],[_Pred2Text]],MIN(FIND("F",Tasks[[#This Row],[_Pred2Text]]&amp;"F"),FIND("S",Tasks[[#This Row],[_Pred2Text]]&amp;"S"),FIND("+",Tasks[[#This Row],[_Pred2Text]]&amp;"+"),FIND("-",Tasks[[#This Row],[_Pred2Text]]&amp;"-"))-1)),""))</f>
        <v/>
      </c>
      <c r="CT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0" s="42" t="str">
        <f aca="false">IF(Tasks[[#This Row],[_Pred2Text]]="","",TRIM(MID(SUBSTITUTE(SUBSTITUTE(SUBSTITUTE(UPPER(Tasks[[#This Row],[_Predecessors]]),";",",")," ",""),",",REPT(" ",99)),199,99)))</f>
        <v/>
      </c>
      <c r="CW40" s="42" t="str">
        <f aca="false">IF(Tasks[[#This Row],[_Pred3Text]]="","",IFERROR(VALUE(LEFT(Tasks[[#This Row],[_Pred3Text]],MIN(FIND("F",Tasks[[#This Row],[_Pred3Text]]&amp;"F"),FIND("S",Tasks[[#This Row],[_Pred3Text]]&amp;"S"),FIND("+",Tasks[[#This Row],[_Pred3Text]]&amp;"+"),FIND("-",Tasks[[#This Row],[_Pred3Text]]&amp;"-"))-1)),""))</f>
        <v/>
      </c>
      <c r="CX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0" s="42" t="str">
        <f aca="false">IF(Tasks[[#This Row],[_Pred3Text]]="","",TRIM(MID(SUBSTITUTE(SUBSTITUTE(SUBSTITUTE(UPPER(Tasks[[#This Row],[_Predecessors]]),";",",")," ",""),",",REPT(" ",99)),298,99)))</f>
        <v/>
      </c>
      <c r="DA40" s="42" t="str">
        <f aca="false">IF(Tasks[[#This Row],[_Pred4Text]]="","",IFERROR(VALUE(LEFT(Tasks[[#This Row],[_Pred4Text]],MIN(FIND("F",Tasks[[#This Row],[_Pred4Text]]&amp;"F"),FIND("S",Tasks[[#This Row],[_Pred4Text]]&amp;"S"),FIND("+",Tasks[[#This Row],[_Pred4Text]]&amp;"+"),FIND("-",Tasks[[#This Row],[_Pred4Text]]&amp;"-"))-1)),""))</f>
        <v/>
      </c>
      <c r="DB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0" s="42" t="str">
        <f aca="false">IF(OR(Tasks[[#This Row],[Task Name]]="",Tasks[[#This Row],[_Resources]]=""),"",TRIM(MID(SUBSTITUTE(Tasks[[#This Row],[_Resources]],",",REPT(" ",99)),1,99)))</f>
        <v/>
      </c>
      <c r="DE40" s="42" t="str">
        <f aca="false">IF(Tasks[[#This Row],[_Res1Text]]="","",TRIM(MID(SUBSTITUTE(Tasks[[#This Row],[_Resources]],",",REPT(" ",99)),100,99)))</f>
        <v/>
      </c>
      <c r="DF40" s="42" t="str">
        <f aca="false">IF(Tasks[[#This Row],[_Res2Text]]="","",TRIM(MID(SUBSTITUTE(Tasks[[#This Row],[_Resources]],",",REPT(" ",99)),199,99)))</f>
        <v/>
      </c>
      <c r="DG40" s="42" t="str">
        <f aca="false">IF(Tasks[[#This Row],[_Res3Text]]="","",TRIM(MID(SUBSTITUTE(Tasks[[#This Row],[_Resources]],",",REPT(" ",99)),298,99)))</f>
        <v/>
      </c>
      <c r="DH40" s="42" t="n">
        <f aca="false">IF(Tasks[[#This Row],[_Res1Text]]="",0,IFERROR(MATCH(TRIM(LEFT(Tasks[[#This Row],[_Res1Text]],FIND("[",Tasks[[#This Row],[_Res1Text]]&amp;"[")-1)),res_Name,0),IFERROR(MATCH(TRIM(LEFT(Tasks[[#This Row],[_Res1Text]],FIND("[",Tasks[[#This Row],[_Res1Text]]&amp;"[")-1)),res_Initials,0),0)))</f>
        <v>0</v>
      </c>
      <c r="DI40" s="42" t="n">
        <f aca="false">IF(Tasks[[#This Row],[_Res2Text]]="",0,IFERROR(MATCH(TRIM(LEFT(Tasks[[#This Row],[_Res2Text]],FIND("[",Tasks[[#This Row],[_Res2Text]]&amp;"[")-1)),res_Name,0),IFERROR(MATCH(TRIM(LEFT(Tasks[[#This Row],[_Res2Text]],FIND("[",Tasks[[#This Row],[_Res2Text]]&amp;"[")-1)),res_Initials,0),0)))</f>
        <v>0</v>
      </c>
      <c r="DJ40" s="42" t="n">
        <f aca="false">IF(Tasks[[#This Row],[_Res3Text]]="",0,IFERROR(MATCH(TRIM(LEFT(Tasks[[#This Row],[_Res3Text]],FIND("[",Tasks[[#This Row],[_Res3Text]]&amp;"[")-1)),res_Name,0),IFERROR(MATCH(TRIM(LEFT(Tasks[[#This Row],[_Res3Text]],FIND("[",Tasks[[#This Row],[_Res3Text]]&amp;"[")-1)),res_Initials,0),0)))</f>
        <v>0</v>
      </c>
      <c r="DK40" s="42" t="n">
        <f aca="false">IF(Tasks[[#This Row],[_Res4Text]]="",0,IFERROR(MATCH(TRIM(LEFT(Tasks[[#This Row],[_Res4Text]],FIND("[",Tasks[[#This Row],[_Res4Text]]&amp;"[")-1)),res_Name,0),IFERROR(MATCH(TRIM(LEFT(Tasks[[#This Row],[_Res4Text]],FIND("[",Tasks[[#This Row],[_Res4Text]]&amp;"[")-1)),res_Initials,0),0)))</f>
        <v>0</v>
      </c>
      <c r="DL40" s="42" t="str">
        <f aca="false">IF(Tasks[[#This Row],[_Res1Text]]="","",IF(Tasks[[#This Row],[_Res1Row]]&gt;0,INDEX(res_Name,Tasks[[#This Row],[_Res1Row]]),TRIM(LEFT(Tasks[[#This Row],[_Res1Text]],FIND("[",Tasks[[#This Row],[_Res1Text]]&amp;"[")-1))))</f>
        <v/>
      </c>
      <c r="DM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0" s="42" t="n">
        <f aca="false">IF(NOT(Tasks[[#This Row],[_IsLeaf]]=1),0,(Tasks[[#This Row],[_Resource1]]&lt;&gt;"")+(Tasks[[#This Row],[_Res2]]&lt;&gt;"")+(Tasks[[#This Row],[_Res3]]&lt;&gt;"")+(Tasks[[#This Row],[_Res4]]&lt;&gt;""))</f>
        <v>0</v>
      </c>
      <c r="DO40" s="42" t="str">
        <f aca="false">IF(Tasks[[#This Row],[_Res2Text]]="","",IF(Tasks[[#This Row],[_Res2Row]]&gt;0,INDEX(res_Name,Tasks[[#This Row],[_Res2Row]]),TRIM(LEFT(Tasks[[#This Row],[_Res2Text]],FIND("[",Tasks[[#This Row],[_Res2Text]]&amp;"[")-1))))</f>
        <v/>
      </c>
      <c r="DP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0" s="42" t="n">
        <f aca="false">IF(OR(NOT(Tasks[[#This Row],[_IsLeaf]]=1),Tasks[[#This Row],[_Res2Row]]=0),0,N(Tasks[[#This Row],[_Days]])*HoursPerDay*IF(Tasks[[#This Row],[_Res2Units]]="",DefaultUnits,Tasks[[#This Row],[_Res2Units]]))</f>
        <v>0</v>
      </c>
      <c r="DR40" s="42" t="n">
        <f aca="false">IF(AND(AND(Tasks[[#This Row],[_IsLeaf]]=1,Tasks[[#This Row],[_LeafTotalWork]]&gt;0),Tasks[[#This Row],[_Res2Work]]&gt;0),Tasks[[#This Row],[_Res2Work]]/(Tasks[[#This Row],[_FinishWorkday]]-Tasks[[#This Row],[_StartWorkday]]+1),0)</f>
        <v>0</v>
      </c>
      <c r="DS40" s="42" t="n">
        <f aca="false">Tasks[[#This Row],[_Res2WorkPerWD]]*MAX(0,Tasks[[#This Row],[_StartWorkday]]-1)</f>
        <v>0</v>
      </c>
      <c r="DT40" s="42" t="n">
        <f aca="false">Tasks[[#This Row],[_Res2Work]]*Tasks[[#This Row],[_LeafProgress]]</f>
        <v>0</v>
      </c>
      <c r="DU40" s="42" t="str">
        <f aca="false">IF(Tasks[[#This Row],[_Res3Text]]="","",IF(Tasks[[#This Row],[_Res3Row]]&gt;0,INDEX(res_Name,Tasks[[#This Row],[_Res3Row]]),TRIM(LEFT(Tasks[[#This Row],[_Res3Text]],FIND("[",Tasks[[#This Row],[_Res3Text]]&amp;"[")-1))))</f>
        <v/>
      </c>
      <c r="DV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0" s="42" t="n">
        <f aca="false">IF(OR(NOT(Tasks[[#This Row],[_IsLeaf]]=1),Tasks[[#This Row],[_Res3Row]]=0),0,N(Tasks[[#This Row],[_Days]])*HoursPerDay*IF(Tasks[[#This Row],[_Res3Units]]="",DefaultUnits,Tasks[[#This Row],[_Res3Units]]))</f>
        <v>0</v>
      </c>
      <c r="DX40" s="42" t="n">
        <f aca="false">IF(AND(AND(Tasks[[#This Row],[_IsLeaf]]=1,Tasks[[#This Row],[_LeafTotalWork]]&gt;0),Tasks[[#This Row],[_Res3Work]]&gt;0),Tasks[[#This Row],[_Res3Work]]/(Tasks[[#This Row],[_FinishWorkday]]-Tasks[[#This Row],[_StartWorkday]]+1),0)</f>
        <v>0</v>
      </c>
      <c r="DY40" s="42" t="n">
        <f aca="false">Tasks[[#This Row],[_Res3WorkPerWD]]*MAX(0,Tasks[[#This Row],[_StartWorkday]]-1)</f>
        <v>0</v>
      </c>
      <c r="DZ40" s="42" t="n">
        <f aca="false">Tasks[[#This Row],[_Res3Work]]*Tasks[[#This Row],[_LeafProgress]]</f>
        <v>0</v>
      </c>
      <c r="EA40" s="42" t="str">
        <f aca="false">IF(Tasks[[#This Row],[_Res4Text]]="","",IF(Tasks[[#This Row],[_Res4Row]]&gt;0,INDEX(res_Name,Tasks[[#This Row],[_Res4Row]]),TRIM(LEFT(Tasks[[#This Row],[_Res4Text]],FIND("[",Tasks[[#This Row],[_Res4Text]]&amp;"[")-1))))</f>
        <v/>
      </c>
      <c r="EB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0" s="42" t="n">
        <f aca="false">IF(OR(NOT(Tasks[[#This Row],[_IsLeaf]]=1),Tasks[[#This Row],[_Res4Row]]=0),0,N(Tasks[[#This Row],[_Days]])*HoursPerDay*IF(Tasks[[#This Row],[_Res4Units]]="",DefaultUnits,Tasks[[#This Row],[_Res4Units]]))</f>
        <v>0</v>
      </c>
      <c r="ED40" s="42" t="n">
        <f aca="false">IF(AND(AND(Tasks[[#This Row],[_IsLeaf]]=1,Tasks[[#This Row],[_LeafTotalWork]]&gt;0),Tasks[[#This Row],[_Res4Work]]&gt;0),Tasks[[#This Row],[_Res4Work]]/(Tasks[[#This Row],[_FinishWorkday]]-Tasks[[#This Row],[_StartWorkday]]+1),0)</f>
        <v>0</v>
      </c>
      <c r="EE40" s="42" t="n">
        <f aca="false">Tasks[[#This Row],[_Res4WorkPerWD]]*MAX(0,Tasks[[#This Row],[_StartWorkday]]-1)</f>
        <v>0</v>
      </c>
      <c r="EF40" s="42" t="n">
        <f aca="false">Tasks[[#This Row],[_Res4Work]]*Tasks[[#This Row],[_LeafProgress]]</f>
        <v>0</v>
      </c>
      <c r="EG40" s="42" t="n">
        <f aca="false">IF(ISNUMBER(Tasks[[#This Row],[% Complete]]),Tasks[[#This Row],[% Complete]],IF(Tasks[[#This Row],[Stage]]="",0,IFERROR(INDEX(stg_Pct,MATCH(Tasks[[#This Row],[Stage]],stg_Name,0)),0)))</f>
        <v>0</v>
      </c>
      <c r="EH40" s="42" t="n">
        <f aca="false">IF(NOT(Tasks[[#This Row],[_IsLeaf]]=1),0,IF(N(Tasks[[#This Row],[Actual Finish]])&gt;0,1,MIN(1,Tasks[[#This Row],[_Pct]])))</f>
        <v>0</v>
      </c>
      <c r="EI40" s="42" t="n">
        <f aca="false">IF(OR(NOT(Tasks[[#This Row],[_IsLeaf]]=1),Tasks[[#This Row],[_Res1Row]]=0),0,N(Tasks[[#This Row],[_Days]])*HoursPerDay*IF(Tasks[[#This Row],[_Units1]]="",DefaultUnits,Tasks[[#This Row],[_Units1]]))</f>
        <v>0</v>
      </c>
      <c r="EJ40" s="42" t="n">
        <f aca="false">Tasks[[#This Row],[_LeafWork]]+Tasks[[#This Row],[_Res2Work]]+Tasks[[#This Row],[_Res3Work]]+Tasks[[#This Row],[_Res4Work]]</f>
        <v>0</v>
      </c>
      <c r="EK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0" s="42" t="n">
        <f aca="false">IF(NOT(Tasks[[#This Row],[_IsLeaf]]=1),0,MAX(_xlfn.MAXIFS(Tasks[_Row],Tasks[_Pred1UID],Tasks[[#This Row],[UID]]),_xlfn.MAXIFS(Tasks[_Row],Tasks[_Pred2UID],Tasks[[#This Row],[UID]]),_xlfn.MAXIFS(Tasks[_Row],Tasks[_Pred3UID],Tasks[[#This Row],[UID]]),_xlfn.MAXIFS(Tasks[_Row],Tasks[_Pred4UID],Tasks[[#This Row],[UID]])))</f>
        <v>0</v>
      </c>
      <c r="ET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0" s="89" t="str">
        <f aca="false">IF(NOT(Tasks[[#This Row],[_IsLeaf]]=1),"",IF(N(Tasks[[#This Row],[_Days]])&lt;=0,Tasks[[#This Row],[_LeafLateFinish]],WORKDAY.INTL(Tasks[[#This Row],[_LeafLateFinish]],-(Tasks[[#This Row],[_Days]]-1),WorkWeek,Holidays)))</f>
        <v/>
      </c>
      <c r="EW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0" s="88" t="b">
        <f aca="false">AND(Tasks[[#This Row],[_IsLeaf]]=1,Tasks[[#This Row],[_LeafProgress]]&lt;1,N(Tasks[[#This Row],[_LeafTotalSlack]])&lt;=CriticalSlackDays)</f>
        <v>0</v>
      </c>
      <c r="EY40" s="42" t="n">
        <f aca="false">IF(AND(Tasks[[#This Row],[_IsLeaf]]=1,Tasks[[#This Row],[_ConstraintCode]]=1,Tasks[[#This Row],[Mode]]&lt;&gt;"Manual",N(Tasks[[#This Row],[Actual Start]])=0),MAX(0,N(Tasks[[#This Row],[Free Slack]])),0)</f>
        <v>0</v>
      </c>
      <c r="EZ40" s="89" t="str">
        <f aca="false">IF(NOT(Tasks[[#This Row],[_IsLeaf]]=1),"",IF(Tasks[[#This Row],[_AlapShift]]=0,Tasks[[#This Row],[_LeafCalcStart]],WORKDAY.INTL(Tasks[[#This Row],[_LeafCalcStart]],Tasks[[#This Row],[_AlapShift]],WorkWeek,Holidays)))</f>
        <v/>
      </c>
      <c r="FA40" s="89" t="str">
        <f aca="false">IF(NOT(Tasks[[#This Row],[_IsLeaf]]=1),"",IF(Tasks[[#This Row],[_AlapShift]]=0,Tasks[[#This Row],[_LeafCalcFinish]],WORKDAY.INTL(Tasks[[#This Row],[_LeafCalcFinish]],Tasks[[#This Row],[_AlapShift]],WorkWeek,Holidays)))</f>
        <v/>
      </c>
      <c r="FB40" s="89" t="str">
        <f aca="false">IF(NOT(Tasks[[#This Row],[_IsLeaf]]=1),"",IF(Tasks[[#This Row],[_AlapShift]]=0,Tasks[[#This Row],[_LeafFcstStart]],WORKDAY.INTL(Tasks[[#This Row],[_LeafFcstStart]],Tasks[[#This Row],[_AlapShift]],WorkWeek,Holidays)))</f>
        <v/>
      </c>
      <c r="FC40" s="89" t="str">
        <f aca="false">IF(NOT(Tasks[[#This Row],[_IsLeaf]]=1),"",IF(Tasks[[#This Row],[_AlapShift]]=0,Tasks[[#This Row],[_LeafFcstFinish]],WORKDAY.INTL(Tasks[[#This Row],[_LeafFcstFinish]],Tasks[[#This Row],[_AlapShift]],WorkWeek,Holidays)))</f>
        <v/>
      </c>
      <c r="FD40" s="89" t="str">
        <f aca="false">IF(Tasks[[#This Row],[Task Name]]="","",IF(Tasks[[#This Row],[_IsSummary]],MIN(INDEX(Tasks[_ShownCalcStart],Tasks[[#This Row],[_Row]]+1):INDEX(Tasks[_ShownCalcStart],Tasks[[#This Row],[_Row]]+Tasks[[#This Row],[_Descendants]])),Tasks[[#This Row],[_ShownCalcStart]]))</f>
        <v/>
      </c>
      <c r="FE40" s="89" t="str">
        <f aca="false">IF(Tasks[[#This Row],[Task Name]]="","",IF(Tasks[[#This Row],[_IsSummary]],MAX(INDEX(Tasks[_ShownCalcFinish],Tasks[[#This Row],[_Row]]+1):INDEX(Tasks[_ShownCalcFinish],Tasks[[#This Row],[_Row]]+Tasks[[#This Row],[_Descendants]])),Tasks[[#This Row],[_ShownCalcFinish]]))</f>
        <v/>
      </c>
      <c r="FF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0" s="42" t="n">
        <f aca="false">IF(AND(Tasks[[#This Row],[_IsLeaf]]=1,Tasks[[#This Row],[_LeafTotalWork]]&gt;0),NETWORKDAYS.INTL(ProjectStart,Tasks[[#This Row],[_ShownFcstStart]],WorkWeek,Holidays),0)</f>
        <v>0</v>
      </c>
      <c r="FS40" s="42" t="n">
        <f aca="false">IF(AND(Tasks[[#This Row],[_IsLeaf]]=1,Tasks[[#This Row],[_LeafTotalWork]]&gt;0),MAX(Tasks[[#This Row],[_StartWorkday]],NETWORKDAYS.INTL(ProjectStart,Tasks[[#This Row],[_ShownFcstFinish]],WorkWeek,Holidays)),0)</f>
        <v>0</v>
      </c>
      <c r="FT40" s="42" t="n">
        <f aca="false">IF(AND(Tasks[[#This Row],[_IsLeaf]]=1,Tasks[[#This Row],[_LeafTotalWork]]&gt;0),Tasks[[#This Row],[_LeafWork]]/(Tasks[[#This Row],[_FinishWorkday]]-Tasks[[#This Row],[_StartWorkday]]+1),0)</f>
        <v>0</v>
      </c>
      <c r="FU40" s="42" t="n">
        <f aca="false">Tasks[[#This Row],[_WorkPerWorkday]]*(Tasks[[#This Row],[_StartWorkday]]-1)</f>
        <v>-0</v>
      </c>
      <c r="FV40" s="42" t="n">
        <f aca="false">IF(Tasks[[#This Row],[_IsLeaf]]=1,MAX(N(Tasks[[#This Row],[_Days]]),0.1),0)</f>
        <v>0</v>
      </c>
      <c r="FW40" s="42" t="n">
        <f aca="false">Tasks[[#This Row],[_WeightDur]]*Tasks[[#This Row],[_LeafProgress]]</f>
        <v>0</v>
      </c>
      <c r="FX40" s="42" t="n">
        <f aca="false">Tasks[[#This Row],[_WeightDur]]*Tasks[[#This Row],[_PlannedPct]]</f>
        <v>0</v>
      </c>
      <c r="FY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0" s="42" t="str">
        <f aca="false">IF(AND(Tasks[[#This Row],[_IsLeaf]]=1,N(Tasks[[#This Row],[_Days]])=0,Tasks[[#This Row],[_LeafProgress]]&lt;1),Tasks[[#This Row],[_ShownFcstFinish]]+Tasks[[#This Row],[_Row]]/100000,"")</f>
        <v/>
      </c>
      <c r="GA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0" s="42" t="str">
        <f aca="false">IF(Tasks[[#This Row],[Task Name]]="","",LEFT(Tasks[[#This Row],[WBS]],FIND(".",Tasks[[#This Row],[WBS]]&amp;".")-1))</f>
        <v/>
      </c>
      <c r="GC40" s="42" t="str">
        <f aca="false">IF(AND(Tasks[[#This Row],[Task Name]]&lt;&gt;"",Tasks[[#This Row],[_Level]]=1),Tasks[[#This Row],[_Row]],"")</f>
        <v/>
      </c>
      <c r="GD40" s="42" t="str">
        <f aca="false">IF(AND(Tasks[[#This Row],[_IsLeaf]]=1,N(Tasks[[#This Row],[_Days]])=0),Tasks[[#This Row],[Planned Finish]]+Tasks[[#This Row],[_Row]]/100000,"")</f>
        <v/>
      </c>
      <c r="GE40" s="42" t="str">
        <f aca="false">IF(AND(Tasks[[#This Row],[_IsLeaf]]=1,Tasks[[#This Row],[_LeafProgress]]&lt;1,OR(N(Tasks[[#This Row],[Finish Var]])&gt;0,Tasks[[#This Row],[Status]]="Late Start")),MAX(0,Tasks[[#This Row],[Finish Var]])+1-Tasks[[#This Row],[_Row]]/1000000,"")</f>
        <v/>
      </c>
      <c r="GF40" s="42" t="str">
        <f aca="false">IF(AND(Tasks[[#This Row],[_IsLeaf]]=1,N(Tasks[[#This Row],[Actual Start]])=0,Tasks[[#This Row],[_ShownFcstStart]]&gt;=StatusDate,Tasks[[#This Row],[_ShownFcstStart]]&lt;=LookaheadEnd),Tasks[[#This Row],[_ShownFcstStart]]+Tasks[[#This Row],[_Row]]/100000,"")</f>
        <v/>
      </c>
      <c r="GG40" s="42" t="str">
        <f aca="false">IF(AND(Tasks[[#This Row],[_IsLeaf]]=1,Tasks[[#This Row],[_LeafProgress]]&lt;1,Tasks[[#This Row],[_ShownFcstFinish]]&gt;=StatusDate,Tasks[[#This Row],[_ShownFcstFinish]]&lt;=LookaheadEnd),Tasks[[#This Row],[_ShownFcstFinish]]+Tasks[[#This Row],[_Row]]/100000,"")</f>
        <v/>
      </c>
      <c r="GH40" s="42" t="str">
        <f aca="false">IF(Tasks[[#This Row],[_LeafCritical]],Tasks[[#This Row],[_ShownFcstStart]]+Tasks[[#This Row],[_Row]]/100000,"")</f>
        <v/>
      </c>
      <c r="GI40" s="42" t="n">
        <f aca="false">Tasks[[#This Row],[_LeafWork]]*Tasks[[#This Row],[_LeafProgress]]</f>
        <v>0</v>
      </c>
      <c r="GJ40" s="89" t="str">
        <f aca="false">IF(AND(Tasks[[#This Row],[_IsLeaf]]=1,Tasks[[#This Row],[_LeafProgress]]&gt;=1),IF(N(Tasks[[#This Row],[Actual Finish]])&gt;0,Tasks[[#This Row],[Actual Finish]],Tasks[[#This Row],[_ShownFcstFinish]]),"")</f>
        <v/>
      </c>
      <c r="GK40" s="42" t="n">
        <f aca="false">IF(Tasks[[#This Row],[_IsLeaf]]=1,N(Tasks[[#This Row],[Story Points]]),0)</f>
        <v>0</v>
      </c>
      <c r="GL40" s="42" t="str">
        <f aca="false">""</f>
        <v/>
      </c>
      <c r="GM40" s="88" t="b">
        <f aca="false">IF(Tasks[[#This Row],[Task Name]]="",FALSE(),AND(Tasks[[#This Row],[_IsLeaf]]=1,N(Tasks[[#This Row],[_Days]])=0))</f>
        <v>0</v>
      </c>
      <c r="GN40" s="89" t="n">
        <f aca="false">IF(Tasks[[#This Row],[Task Name]]="",0,IF(AND(Tasks[[#This Row],[_IsLeaf]]=1,NOT(Tasks[[#This Row],[_IsMilestone]]),N(Tasks[[#This Row],[Progress]])&gt;0),Tasks[[#This Row],[Start]],0))</f>
        <v>0</v>
      </c>
      <c r="GO40" s="89" t="n">
        <f aca="false">IF(Tasks[[#This Row],[_DoneFrom]]=0,0,IF(Tasks[[#This Row],[Progress]]&gt;=1,Tasks[[#This Row],[Finish]],MAX(Tasks[[#This Row],[_DoneFrom]],Tasks[[#This Row],[Start]]+ROUND((Tasks[[#This Row],[Finish]]-Tasks[[#This Row],[Start]]+1)*Tasks[[#This Row],[Progress]],0)-1)))</f>
        <v>0</v>
      </c>
      <c r="GP40" s="89" t="n">
        <f aca="false">IF(Tasks[[#This Row],[Task Name]]="",0,IF(OR(NOT(Tasks[[#This Row],[_IsLeaf]]=1),Tasks[[#This Row],[_IsMilestone]],N(Tasks[[#This Row],[Progress]])&gt;=1),0,IF(Tasks[[#This Row],[_DoneTo]]&gt;0,Tasks[[#This Row],[_DoneTo]]+1,Tasks[[#This Row],[Start]])))</f>
        <v>0</v>
      </c>
      <c r="GQ40" s="89" t="n">
        <f aca="false">IF(Tasks[[#This Row],[_RemFrom]]=0,0,Tasks[[#This Row],[Finish]])</f>
        <v>0</v>
      </c>
      <c r="GR40" s="88" t="b">
        <f aca="false">IF(Tasks[[#This Row],[Task Name]]="",FALSE(),OR(NOT(BaselineSet),N(Tasks[[#This Row],[Baseline Start]])&gt;0))</f>
        <v>0</v>
      </c>
      <c r="GS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0" s="90" t="str">
        <f aca="false">IF(Tasks[[#This Row],[_IsLeaf]]=1,Tasks[[#This Row],[_Row]],"")</f>
        <v/>
      </c>
      <c r="GW40" s="90" t="str">
        <f aca="false">IFERROR(INDEX(Tasks[UID],SMALL(Tasks[_PickKey],Tasks[[#This Row],[_Row]]))&amp;" "&amp;INDEX(Tasks[Task Name],SMALL(Tasks[_PickKey],Tasks[[#This Row],[_Row]])),"")</f>
        <v/>
      </c>
      <c r="GX40" s="42" t="str">
        <f aca="false">IF(Tasks[[#This Row],[Task Name]]="","",IF(Tasks[[#This Row],[_IsSummary]],NETWORKDAYS.INTL(Tasks[[#This Row],[Start]],Tasks[[#This Row],[Finish]],WorkWeek,Holidays),N(Tasks[[#This Row],[_Days]])))</f>
        <v/>
      </c>
    </row>
    <row r="41" customFormat="false" ht="15" hidden="false" customHeight="false" outlineLevel="0" collapsed="false">
      <c r="A41" s="21" t="str">
        <f aca="false">IF(Tasks[[#This Row],[Task Name]]="","",COUNTA(Tasks[[#Headers],[Task Name]]:Tasks[[#This Row],[Task Name]])-1)</f>
        <v/>
      </c>
      <c r="B41" s="22" t="n">
        <v>49</v>
      </c>
      <c r="C41" s="22"/>
      <c r="D41" s="23"/>
      <c r="E41" s="22"/>
      <c r="F41" s="23"/>
      <c r="G41" s="22"/>
      <c r="H41" s="22"/>
      <c r="I41" s="23"/>
      <c r="J41" s="22"/>
      <c r="K41" s="22"/>
      <c r="L41" s="23"/>
      <c r="M41" s="22"/>
      <c r="N41" s="22"/>
      <c r="O41" s="23"/>
      <c r="P41" s="22"/>
      <c r="Q41" s="22"/>
      <c r="R41" s="23"/>
      <c r="S41" s="23"/>
      <c r="T41" s="83"/>
      <c r="U41" s="23"/>
      <c r="V41" s="83"/>
      <c r="W41" s="23"/>
      <c r="X41" s="83"/>
      <c r="Y41" s="23"/>
      <c r="Z41" s="83"/>
      <c r="AA41" s="23"/>
      <c r="AB41" s="23"/>
      <c r="AC41" s="7"/>
      <c r="AD41" s="7"/>
      <c r="AE41" s="62" t="str">
        <f aca="false">IF(Tasks[[#This Row],[Task Name]]="","",IF(Tasks[[#This Row],[_IsSummary]],MIN(INDEX(Tasks[_ShownFcstStart],Tasks[[#This Row],[_Row]]+1):INDEX(Tasks[_ShownFcstStart],Tasks[[#This Row],[_Row]]+Tasks[[#This Row],[_Descendants]])),Tasks[[#This Row],[_ShownFcstStart]]))</f>
        <v/>
      </c>
      <c r="AF41" s="62" t="str">
        <f aca="false">IF(Tasks[[#This Row],[Task Name]]="","",IF(Tasks[[#This Row],[_IsSummary]],MAX(INDEX(Tasks[_ShownFcstFinish],Tasks[[#This Row],[_Row]]+1):INDEX(Tasks[_ShownFcstFinish],Tasks[[#This Row],[_Row]]+Tasks[[#This Row],[_Descendants]])),Tasks[[#This Row],[_ShownFcstFinish]]))</f>
        <v/>
      </c>
      <c r="AG41" s="21" t="str">
        <f aca="false">""</f>
        <v/>
      </c>
      <c r="AH41" s="23"/>
      <c r="AI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1" s="7"/>
      <c r="AK41" s="22"/>
      <c r="AL41" s="23"/>
      <c r="AM41" s="7"/>
      <c r="AN41" s="46" t="str">
        <f aca="false">IF(Tasks[[#This Row],[Task Name]]="","",IF(Tasks[[#This Row],[Finish]]&gt;=Tasks[[#This Row],[Planned Finish]],NETWORKDAYS.INTL(Tasks[[#This Row],[Planned Finish]],Tasks[[#This Row],[Finish]],WorkWeek,Holidays)-1,1-NETWORKDAYS.INTL(Tasks[[#This Row],[Finish]],Tasks[[#This Row],[Planned Finish]],WorkWeek,Holidays)))</f>
        <v/>
      </c>
      <c r="AO41" s="21" t="str">
        <f aca="false">IF(Tasks[[#This Row],[Task Name]]="","",IF(Tasks[[#This Row],[Progress]]&gt;=1,"Complete",IF(OR(N(Tasks[[#This Row],[Actual Start]])&gt;0,Tasks[[#This Row],[Progress]]&gt;0),IF(Tasks[[#This Row],[Finish Var]]&gt;0,"Behind","In Progress"),IF(Tasks[[#This Row],[Planned Start]]&lt;StatusDate,"Late Start","Not Started"))))</f>
        <v/>
      </c>
      <c r="AP41" s="21" t="str">
        <f aca="false">IF(Tasks[[#This Row],[Task Name]]="","",IF(IF(Tasks[[#This Row],[_IsSummary]],COUNTIF(INDEX(Tasks[_LeafCritical],Tasks[[#This Row],[_Row]]+1):INDEX(Tasks[_LeafCritical],Tasks[[#This Row],[_Row]]+Tasks[[#This Row],[_Descendants]]),TRUE())&gt;0,Tasks[[#This Row],[_LeafCritical]]),"Yes",""))</f>
        <v/>
      </c>
      <c r="AQ41" s="62" t="str">
        <f aca="false">IF(Tasks[[#This Row],[Task Name]]="","",IF(N(Tasks[[#This Row],[Baseline Start]])&gt;0,Tasks[[#This Row],[Baseline Start]],Tasks[[#This Row],[_CalcStart]]))</f>
        <v/>
      </c>
      <c r="AR41" s="62" t="str">
        <f aca="false">IF(Tasks[[#This Row],[Task Name]]="","",IF(N(Tasks[[#This Row],[Baseline Finish]])&gt;0,Tasks[[#This Row],[Baseline Finish]],Tasks[[#This Row],[_CalcFinish]]))</f>
        <v/>
      </c>
      <c r="AS41" s="46" t="str">
        <f aca="false">IF(Tasks[[#This Row],[Task Name]]="","",IF(Tasks[[#This Row],[Start]]&gt;=Tasks[[#This Row],[Planned Start]],NETWORKDAYS.INTL(Tasks[[#This Row],[Planned Start]],Tasks[[#This Row],[Start]],WorkWeek,Holidays)-1,1-NETWORKDAYS.INTL(Tasks[[#This Row],[Start]],Tasks[[#This Row],[Planned Start]],WorkWeek,Holidays)))</f>
        <v/>
      </c>
      <c r="AT41" s="62" t="str">
        <f aca="false">IF(Tasks[[#This Row],[Task Name]]="","",IF(Tasks[[#This Row],[_IsSummary]],MIN(INDEX(Tasks[_LeafLateStart],Tasks[[#This Row],[_Row]]+1):INDEX(Tasks[_LeafLateStart],Tasks[[#This Row],[_Row]]+Tasks[[#This Row],[_Descendants]])),Tasks[[#This Row],[_LeafLateStart]]))</f>
        <v/>
      </c>
      <c r="AU41" s="62" t="str">
        <f aca="false">IF(Tasks[[#This Row],[Task Name]]="","",IF(Tasks[[#This Row],[_IsSummary]],MAX(INDEX(Tasks[_LeafLateFinish],Tasks[[#This Row],[_Row]]+1):INDEX(Tasks[_LeafLateFinish],Tasks[[#This Row],[_Row]]+Tasks[[#This Row],[_Descendants]])),Tasks[[#This Row],[_LeafLateFinish]]))</f>
        <v/>
      </c>
      <c r="AV41" s="46" t="str">
        <f aca="false">IF(Tasks[[#This Row],[Task Name]]="","",IF(Tasks[[#This Row],[_IsSummary]],MIN(INDEX(Tasks[_LeafTotalSlack],Tasks[[#This Row],[_Row]]+1):INDEX(Tasks[_LeafTotalSlack],Tasks[[#This Row],[_Row]]+Tasks[[#This Row],[_Descendants]])),Tasks[[#This Row],[_LeafTotalSlack]]))</f>
        <v/>
      </c>
      <c r="AW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4"/>
      <c r="BA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t="str">
        <f aca="false">IF(Tasks[[#This Row],[Task Name]]="","",IF(Tasks[[#This Row],[_Level]]&lt;=OutlineShowLevel,"Yes","No"))</f>
        <v/>
      </c>
      <c r="BE41" s="85" t="str">
        <f aca="false">IF(Tasks[[#This Row],[Task Name]]="","",IF(Tasks[[#This Row],[_IsSummary]],SUM(INDEX(Tasks[_LeafTotalWork],Tasks[[#This Row],[_Row]]+1):INDEX(Tasks[_LeafTotalWork],Tasks[[#This Row],[_Row]]+Tasks[[#This Row],[_Descendants]])),Tasks[[#This Row],[_LeafTotalWork]]))</f>
        <v/>
      </c>
      <c r="BF41" s="23"/>
      <c r="BG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t="str">
        <f aca="false">""</f>
        <v/>
      </c>
      <c r="BI41" s="86"/>
      <c r="BJ41" s="22"/>
      <c r="BK41" s="46" t="str">
        <f aca="false">IF(OR(Tasks[[#This Row],[Task Name]]="",Tasks[[#This Row],[Baseline Duration]]=""),"",Tasks[[#This Row],[_SpanDays]]-N(Tasks[[#This Row],[Baseline Duration]]))</f>
        <v/>
      </c>
      <c r="BL41" s="85" t="str">
        <f aca="false">IF(OR(Tasks[[#This Row],[Task Name]]="",Tasks[[#This Row],[Baseline Work]]=""),"",Tasks[[#This Row],[Work]]-N(Tasks[[#This Row],[Baseline Work]]))</f>
        <v/>
      </c>
      <c r="BM41" s="62" t="str">
        <f aca="false">IF(Tasks[[#This Row],[Task Name]]="","",IF(OR(TakeBaseline="Yes",N(Tasks[[#This Row],[Baseline Start]])=0),Tasks[[#This Row],[Start]],Tasks[[#This Row],[Baseline Start]]))</f>
        <v/>
      </c>
      <c r="BN41" s="62" t="str">
        <f aca="false">IF(Tasks[[#This Row],[Task Name]]="","",IF(OR(TakeBaseline="Yes",N(Tasks[[#This Row],[Baseline Finish]])=0),Tasks[[#This Row],[Finish]],Tasks[[#This Row],[Baseline Finish]]))</f>
        <v/>
      </c>
      <c r="BO41" s="21" t="str">
        <f aca="false">IF(Tasks[[#This Row],[Task Name]]="","",IF(OR(TakeBaseline="Yes",N(Tasks[[#This Row],[Baseline Duration]])=0),Tasks[[#This Row],[_SpanDays]],Tasks[[#This Row],[Baseline Duration]]))</f>
        <v/>
      </c>
      <c r="BP41" s="85" t="str">
        <f aca="false">IF(Tasks[[#This Row],[Task Name]]="","",IF(OR(TakeBaseline="Yes",N(Tasks[[#This Row],[Baseline Work]])=0),Tasks[[#This Row],[Work]],Tasks[[#This Row],[Baseline Work]]))</f>
        <v/>
      </c>
      <c r="BQ41" s="7"/>
      <c r="BR41" s="7"/>
      <c r="BS41" s="22"/>
      <c r="BT41" s="87"/>
      <c r="BU41" s="42" t="str">
        <f aca="false">IF(Tasks[[#This Row],[Task Name]]="","",MAX(1,N(Tasks[[#This Row],[Level]])))</f>
        <v/>
      </c>
      <c r="BV41" s="42" t="n">
        <f aca="false">ROW()-ROW(Tasks[[#Headers],[ID]])</f>
        <v>36</v>
      </c>
      <c r="BW41" s="42" t="n">
        <f aca="false">IF(OR(Tasks[[#This Row],[Task Name]]="",Tasks[[#This Row],[_Level]]&lt;=1),0,IFERROR(LOOKUP(2,1/(Tasks[[#Headers],[_Level]]:Tasks[[#This Row],[_Level]]=Tasks[[#This Row],[_Level]]-1),ROW(Tasks[[#Headers],[_Level]]:Tasks[[#This Row],[_Level]])),0))</f>
        <v>0</v>
      </c>
      <c r="BX41" s="42" t="n">
        <f aca="false">IFERROR(N(INDEX(Tasks[_Level],Tasks[[#This Row],[_Row]]+1)),0)</f>
        <v>0</v>
      </c>
      <c r="BY41" s="88" t="b">
        <f aca="false">AND(Tasks[[#This Row],[Task Name]]&lt;&gt;"",Tasks[[#This Row],[_NextLevel]]&gt;Tasks[[#This Row],[_Level]])</f>
        <v>0</v>
      </c>
      <c r="BZ41" s="42" t="n">
        <f aca="false">IF(Tasks[[#This Row],[_IsSummary]],COUNTIF(Tasks[WBS],Tasks[[#This Row],[WBS]]&amp;".*"),0)</f>
        <v>0</v>
      </c>
      <c r="CA41" s="42" t="n">
        <f aca="false">IF(AND(Tasks[[#This Row],[Task Name]]&lt;&gt;"",NOT(Tasks[[#This Row],[_IsSummary]])),1,0)</f>
        <v>0</v>
      </c>
      <c r="CB41" s="42" t="n">
        <f aca="false">IF(N(Tasks[[#This Row],[_Pred1UID]])=0,0,IFERROR(MATCH(Tasks[[#This Row],[_Pred1UID]],Tasks[UID],0),-1))</f>
        <v>0</v>
      </c>
      <c r="CC41" s="42" t="n">
        <f aca="false">IF(N(Tasks[[#This Row],[_Pred2UID]])=0,0,IFERROR(MATCH(Tasks[[#This Row],[_Pred2UID]],Tasks[UID],0),-1))</f>
        <v>0</v>
      </c>
      <c r="CD41" s="42" t="n">
        <f aca="false">IF(N(Tasks[[#This Row],[_Pred3UID]])=0,0,IFERROR(MATCH(Tasks[[#This Row],[_Pred3UID]],Tasks[UID],0),-1))</f>
        <v>0</v>
      </c>
      <c r="CE41" s="42" t="n">
        <f aca="false">IF(N(Tasks[[#This Row],[_Pred4UID]])=0,0,IFERROR(MATCH(Tasks[[#This Row],[_Pred4UID]],Tasks[UID],0),-1))</f>
        <v>0</v>
      </c>
      <c r="CF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1" s="89" t="n">
        <f aca="false">IF(OR(Tasks[[#This Row],[_ConstraintCode]]=2,Tasks[[#This Row],[_ConstraintCode]]=3,Tasks[[#This Row],[_ConstraintCode]]=4,Tasks[[#This Row],[_ConstraintCode]]=6),Tasks[[#This Row],[_ConstraintStart]],0)</f>
        <v>0</v>
      </c>
      <c r="CI41" s="89" t="n">
        <f aca="false">IF(OR(Tasks[[#This Row],[_ConstraintCode]]=2,Tasks[[#This Row],[_ConstraintCode]]=3,Tasks[[#This Row],[_ConstraintCode]]=5,Tasks[[#This Row],[_ConstraintCode]]=7),Tasks[[#This Row],[_ConstraintStart]],2958465)</f>
        <v>2958465</v>
      </c>
      <c r="CJ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1" s="89" t="str">
        <f aca="false">IF(NOT(Tasks[[#This Row],[_IsLeaf]]=1),"",IF(N(Tasks[[#This Row],[_Days]])&lt;=0,Tasks[[#This Row],[_LeafCalcStart]],WORKDAY.INTL(Tasks[[#This Row],[_LeafCalcStart]],Tasks[[#This Row],[_Days]]-1,WorkWeek,Holidays)))</f>
        <v/>
      </c>
      <c r="CL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1" s="42" t="str">
        <f aca="false">IF(Tasks[[#This Row],[_Predecessors]]="","",TRIM(MID(SUBSTITUTE(SUBSTITUTE(SUBSTITUTE(UPPER(Tasks[[#This Row],[_Predecessors]]),";",",")," ",""),",",REPT(" ",99)),1,99)))</f>
        <v/>
      </c>
      <c r="CO41" s="42" t="str">
        <f aca="false">IF(Tasks[[#This Row],[_Pred1Text]]="","",IFERROR(VALUE(LEFT(Tasks[[#This Row],[_Pred1Text]],MIN(FIND("F",Tasks[[#This Row],[_Pred1Text]]&amp;"F"),FIND("S",Tasks[[#This Row],[_Pred1Text]]&amp;"S"),FIND("+",Tasks[[#This Row],[_Pred1Text]]&amp;"+"),FIND("-",Tasks[[#This Row],[_Pred1Text]]&amp;"-"))-1)),""))</f>
        <v/>
      </c>
      <c r="CP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1" s="42" t="str">
        <f aca="false">IF(Tasks[[#This Row],[_Pred1Text]]="","",TRIM(MID(SUBSTITUTE(SUBSTITUTE(SUBSTITUTE(UPPER(Tasks[[#This Row],[_Predecessors]]),";",",")," ",""),",",REPT(" ",99)),100,99)))</f>
        <v/>
      </c>
      <c r="CS41" s="42" t="str">
        <f aca="false">IF(Tasks[[#This Row],[_Pred2Text]]="","",IFERROR(VALUE(LEFT(Tasks[[#This Row],[_Pred2Text]],MIN(FIND("F",Tasks[[#This Row],[_Pred2Text]]&amp;"F"),FIND("S",Tasks[[#This Row],[_Pred2Text]]&amp;"S"),FIND("+",Tasks[[#This Row],[_Pred2Text]]&amp;"+"),FIND("-",Tasks[[#This Row],[_Pred2Text]]&amp;"-"))-1)),""))</f>
        <v/>
      </c>
      <c r="CT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1" s="42" t="str">
        <f aca="false">IF(Tasks[[#This Row],[_Pred2Text]]="","",TRIM(MID(SUBSTITUTE(SUBSTITUTE(SUBSTITUTE(UPPER(Tasks[[#This Row],[_Predecessors]]),";",",")," ",""),",",REPT(" ",99)),199,99)))</f>
        <v/>
      </c>
      <c r="CW41" s="42" t="str">
        <f aca="false">IF(Tasks[[#This Row],[_Pred3Text]]="","",IFERROR(VALUE(LEFT(Tasks[[#This Row],[_Pred3Text]],MIN(FIND("F",Tasks[[#This Row],[_Pred3Text]]&amp;"F"),FIND("S",Tasks[[#This Row],[_Pred3Text]]&amp;"S"),FIND("+",Tasks[[#This Row],[_Pred3Text]]&amp;"+"),FIND("-",Tasks[[#This Row],[_Pred3Text]]&amp;"-"))-1)),""))</f>
        <v/>
      </c>
      <c r="CX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1" s="42" t="str">
        <f aca="false">IF(Tasks[[#This Row],[_Pred3Text]]="","",TRIM(MID(SUBSTITUTE(SUBSTITUTE(SUBSTITUTE(UPPER(Tasks[[#This Row],[_Predecessors]]),";",",")," ",""),",",REPT(" ",99)),298,99)))</f>
        <v/>
      </c>
      <c r="DA41" s="42" t="str">
        <f aca="false">IF(Tasks[[#This Row],[_Pred4Text]]="","",IFERROR(VALUE(LEFT(Tasks[[#This Row],[_Pred4Text]],MIN(FIND("F",Tasks[[#This Row],[_Pred4Text]]&amp;"F"),FIND("S",Tasks[[#This Row],[_Pred4Text]]&amp;"S"),FIND("+",Tasks[[#This Row],[_Pred4Text]]&amp;"+"),FIND("-",Tasks[[#This Row],[_Pred4Text]]&amp;"-"))-1)),""))</f>
        <v/>
      </c>
      <c r="DB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1" s="42" t="str">
        <f aca="false">IF(OR(Tasks[[#This Row],[Task Name]]="",Tasks[[#This Row],[_Resources]]=""),"",TRIM(MID(SUBSTITUTE(Tasks[[#This Row],[_Resources]],",",REPT(" ",99)),1,99)))</f>
        <v/>
      </c>
      <c r="DE41" s="42" t="str">
        <f aca="false">IF(Tasks[[#This Row],[_Res1Text]]="","",TRIM(MID(SUBSTITUTE(Tasks[[#This Row],[_Resources]],",",REPT(" ",99)),100,99)))</f>
        <v/>
      </c>
      <c r="DF41" s="42" t="str">
        <f aca="false">IF(Tasks[[#This Row],[_Res2Text]]="","",TRIM(MID(SUBSTITUTE(Tasks[[#This Row],[_Resources]],",",REPT(" ",99)),199,99)))</f>
        <v/>
      </c>
      <c r="DG41" s="42" t="str">
        <f aca="false">IF(Tasks[[#This Row],[_Res3Text]]="","",TRIM(MID(SUBSTITUTE(Tasks[[#This Row],[_Resources]],",",REPT(" ",99)),298,99)))</f>
        <v/>
      </c>
      <c r="DH41" s="42" t="n">
        <f aca="false">IF(Tasks[[#This Row],[_Res1Text]]="",0,IFERROR(MATCH(TRIM(LEFT(Tasks[[#This Row],[_Res1Text]],FIND("[",Tasks[[#This Row],[_Res1Text]]&amp;"[")-1)),res_Name,0),IFERROR(MATCH(TRIM(LEFT(Tasks[[#This Row],[_Res1Text]],FIND("[",Tasks[[#This Row],[_Res1Text]]&amp;"[")-1)),res_Initials,0),0)))</f>
        <v>0</v>
      </c>
      <c r="DI41" s="42" t="n">
        <f aca="false">IF(Tasks[[#This Row],[_Res2Text]]="",0,IFERROR(MATCH(TRIM(LEFT(Tasks[[#This Row],[_Res2Text]],FIND("[",Tasks[[#This Row],[_Res2Text]]&amp;"[")-1)),res_Name,0),IFERROR(MATCH(TRIM(LEFT(Tasks[[#This Row],[_Res2Text]],FIND("[",Tasks[[#This Row],[_Res2Text]]&amp;"[")-1)),res_Initials,0),0)))</f>
        <v>0</v>
      </c>
      <c r="DJ41" s="42" t="n">
        <f aca="false">IF(Tasks[[#This Row],[_Res3Text]]="",0,IFERROR(MATCH(TRIM(LEFT(Tasks[[#This Row],[_Res3Text]],FIND("[",Tasks[[#This Row],[_Res3Text]]&amp;"[")-1)),res_Name,0),IFERROR(MATCH(TRIM(LEFT(Tasks[[#This Row],[_Res3Text]],FIND("[",Tasks[[#This Row],[_Res3Text]]&amp;"[")-1)),res_Initials,0),0)))</f>
        <v>0</v>
      </c>
      <c r="DK41" s="42" t="n">
        <f aca="false">IF(Tasks[[#This Row],[_Res4Text]]="",0,IFERROR(MATCH(TRIM(LEFT(Tasks[[#This Row],[_Res4Text]],FIND("[",Tasks[[#This Row],[_Res4Text]]&amp;"[")-1)),res_Name,0),IFERROR(MATCH(TRIM(LEFT(Tasks[[#This Row],[_Res4Text]],FIND("[",Tasks[[#This Row],[_Res4Text]]&amp;"[")-1)),res_Initials,0),0)))</f>
        <v>0</v>
      </c>
      <c r="DL41" s="42" t="str">
        <f aca="false">IF(Tasks[[#This Row],[_Res1Text]]="","",IF(Tasks[[#This Row],[_Res1Row]]&gt;0,INDEX(res_Name,Tasks[[#This Row],[_Res1Row]]),TRIM(LEFT(Tasks[[#This Row],[_Res1Text]],FIND("[",Tasks[[#This Row],[_Res1Text]]&amp;"[")-1))))</f>
        <v/>
      </c>
      <c r="DM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1" s="42" t="n">
        <f aca="false">IF(NOT(Tasks[[#This Row],[_IsLeaf]]=1),0,(Tasks[[#This Row],[_Resource1]]&lt;&gt;"")+(Tasks[[#This Row],[_Res2]]&lt;&gt;"")+(Tasks[[#This Row],[_Res3]]&lt;&gt;"")+(Tasks[[#This Row],[_Res4]]&lt;&gt;""))</f>
        <v>0</v>
      </c>
      <c r="DO41" s="42" t="str">
        <f aca="false">IF(Tasks[[#This Row],[_Res2Text]]="","",IF(Tasks[[#This Row],[_Res2Row]]&gt;0,INDEX(res_Name,Tasks[[#This Row],[_Res2Row]]),TRIM(LEFT(Tasks[[#This Row],[_Res2Text]],FIND("[",Tasks[[#This Row],[_Res2Text]]&amp;"[")-1))))</f>
        <v/>
      </c>
      <c r="DP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1" s="42" t="n">
        <f aca="false">IF(OR(NOT(Tasks[[#This Row],[_IsLeaf]]=1),Tasks[[#This Row],[_Res2Row]]=0),0,N(Tasks[[#This Row],[_Days]])*HoursPerDay*IF(Tasks[[#This Row],[_Res2Units]]="",DefaultUnits,Tasks[[#This Row],[_Res2Units]]))</f>
        <v>0</v>
      </c>
      <c r="DR41" s="42" t="n">
        <f aca="false">IF(AND(AND(Tasks[[#This Row],[_IsLeaf]]=1,Tasks[[#This Row],[_LeafTotalWork]]&gt;0),Tasks[[#This Row],[_Res2Work]]&gt;0),Tasks[[#This Row],[_Res2Work]]/(Tasks[[#This Row],[_FinishWorkday]]-Tasks[[#This Row],[_StartWorkday]]+1),0)</f>
        <v>0</v>
      </c>
      <c r="DS41" s="42" t="n">
        <f aca="false">Tasks[[#This Row],[_Res2WorkPerWD]]*MAX(0,Tasks[[#This Row],[_StartWorkday]]-1)</f>
        <v>0</v>
      </c>
      <c r="DT41" s="42" t="n">
        <f aca="false">Tasks[[#This Row],[_Res2Work]]*Tasks[[#This Row],[_LeafProgress]]</f>
        <v>0</v>
      </c>
      <c r="DU41" s="42" t="str">
        <f aca="false">IF(Tasks[[#This Row],[_Res3Text]]="","",IF(Tasks[[#This Row],[_Res3Row]]&gt;0,INDEX(res_Name,Tasks[[#This Row],[_Res3Row]]),TRIM(LEFT(Tasks[[#This Row],[_Res3Text]],FIND("[",Tasks[[#This Row],[_Res3Text]]&amp;"[")-1))))</f>
        <v/>
      </c>
      <c r="DV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1" s="42" t="n">
        <f aca="false">IF(OR(NOT(Tasks[[#This Row],[_IsLeaf]]=1),Tasks[[#This Row],[_Res3Row]]=0),0,N(Tasks[[#This Row],[_Days]])*HoursPerDay*IF(Tasks[[#This Row],[_Res3Units]]="",DefaultUnits,Tasks[[#This Row],[_Res3Units]]))</f>
        <v>0</v>
      </c>
      <c r="DX41" s="42" t="n">
        <f aca="false">IF(AND(AND(Tasks[[#This Row],[_IsLeaf]]=1,Tasks[[#This Row],[_LeafTotalWork]]&gt;0),Tasks[[#This Row],[_Res3Work]]&gt;0),Tasks[[#This Row],[_Res3Work]]/(Tasks[[#This Row],[_FinishWorkday]]-Tasks[[#This Row],[_StartWorkday]]+1),0)</f>
        <v>0</v>
      </c>
      <c r="DY41" s="42" t="n">
        <f aca="false">Tasks[[#This Row],[_Res3WorkPerWD]]*MAX(0,Tasks[[#This Row],[_StartWorkday]]-1)</f>
        <v>0</v>
      </c>
      <c r="DZ41" s="42" t="n">
        <f aca="false">Tasks[[#This Row],[_Res3Work]]*Tasks[[#This Row],[_LeafProgress]]</f>
        <v>0</v>
      </c>
      <c r="EA41" s="42" t="str">
        <f aca="false">IF(Tasks[[#This Row],[_Res4Text]]="","",IF(Tasks[[#This Row],[_Res4Row]]&gt;0,INDEX(res_Name,Tasks[[#This Row],[_Res4Row]]),TRIM(LEFT(Tasks[[#This Row],[_Res4Text]],FIND("[",Tasks[[#This Row],[_Res4Text]]&amp;"[")-1))))</f>
        <v/>
      </c>
      <c r="EB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1" s="42" t="n">
        <f aca="false">IF(OR(NOT(Tasks[[#This Row],[_IsLeaf]]=1),Tasks[[#This Row],[_Res4Row]]=0),0,N(Tasks[[#This Row],[_Days]])*HoursPerDay*IF(Tasks[[#This Row],[_Res4Units]]="",DefaultUnits,Tasks[[#This Row],[_Res4Units]]))</f>
        <v>0</v>
      </c>
      <c r="ED41" s="42" t="n">
        <f aca="false">IF(AND(AND(Tasks[[#This Row],[_IsLeaf]]=1,Tasks[[#This Row],[_LeafTotalWork]]&gt;0),Tasks[[#This Row],[_Res4Work]]&gt;0),Tasks[[#This Row],[_Res4Work]]/(Tasks[[#This Row],[_FinishWorkday]]-Tasks[[#This Row],[_StartWorkday]]+1),0)</f>
        <v>0</v>
      </c>
      <c r="EE41" s="42" t="n">
        <f aca="false">Tasks[[#This Row],[_Res4WorkPerWD]]*MAX(0,Tasks[[#This Row],[_StartWorkday]]-1)</f>
        <v>0</v>
      </c>
      <c r="EF41" s="42" t="n">
        <f aca="false">Tasks[[#This Row],[_Res4Work]]*Tasks[[#This Row],[_LeafProgress]]</f>
        <v>0</v>
      </c>
      <c r="EG41" s="42" t="n">
        <f aca="false">IF(ISNUMBER(Tasks[[#This Row],[% Complete]]),Tasks[[#This Row],[% Complete]],IF(Tasks[[#This Row],[Stage]]="",0,IFERROR(INDEX(stg_Pct,MATCH(Tasks[[#This Row],[Stage]],stg_Name,0)),0)))</f>
        <v>0</v>
      </c>
      <c r="EH41" s="42" t="n">
        <f aca="false">IF(NOT(Tasks[[#This Row],[_IsLeaf]]=1),0,IF(N(Tasks[[#This Row],[Actual Finish]])&gt;0,1,MIN(1,Tasks[[#This Row],[_Pct]])))</f>
        <v>0</v>
      </c>
      <c r="EI41" s="42" t="n">
        <f aca="false">IF(OR(NOT(Tasks[[#This Row],[_IsLeaf]]=1),Tasks[[#This Row],[_Res1Row]]=0),0,N(Tasks[[#This Row],[_Days]])*HoursPerDay*IF(Tasks[[#This Row],[_Units1]]="",DefaultUnits,Tasks[[#This Row],[_Units1]]))</f>
        <v>0</v>
      </c>
      <c r="EJ41" s="42" t="n">
        <f aca="false">Tasks[[#This Row],[_LeafWork]]+Tasks[[#This Row],[_Res2Work]]+Tasks[[#This Row],[_Res3Work]]+Tasks[[#This Row],[_Res4Work]]</f>
        <v>0</v>
      </c>
      <c r="EK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1" s="42" t="n">
        <f aca="false">IF(NOT(Tasks[[#This Row],[_IsLeaf]]=1),0,MAX(_xlfn.MAXIFS(Tasks[_Row],Tasks[_Pred1UID],Tasks[[#This Row],[UID]]),_xlfn.MAXIFS(Tasks[_Row],Tasks[_Pred2UID],Tasks[[#This Row],[UID]]),_xlfn.MAXIFS(Tasks[_Row],Tasks[_Pred3UID],Tasks[[#This Row],[UID]]),_xlfn.MAXIFS(Tasks[_Row],Tasks[_Pred4UID],Tasks[[#This Row],[UID]])))</f>
        <v>0</v>
      </c>
      <c r="ET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1" s="89" t="str">
        <f aca="false">IF(NOT(Tasks[[#This Row],[_IsLeaf]]=1),"",IF(N(Tasks[[#This Row],[_Days]])&lt;=0,Tasks[[#This Row],[_LeafLateFinish]],WORKDAY.INTL(Tasks[[#This Row],[_LeafLateFinish]],-(Tasks[[#This Row],[_Days]]-1),WorkWeek,Holidays)))</f>
        <v/>
      </c>
      <c r="EW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1" s="88" t="b">
        <f aca="false">AND(Tasks[[#This Row],[_IsLeaf]]=1,Tasks[[#This Row],[_LeafProgress]]&lt;1,N(Tasks[[#This Row],[_LeafTotalSlack]])&lt;=CriticalSlackDays)</f>
        <v>0</v>
      </c>
      <c r="EY41" s="42" t="n">
        <f aca="false">IF(AND(Tasks[[#This Row],[_IsLeaf]]=1,Tasks[[#This Row],[_ConstraintCode]]=1,Tasks[[#This Row],[Mode]]&lt;&gt;"Manual",N(Tasks[[#This Row],[Actual Start]])=0),MAX(0,N(Tasks[[#This Row],[Free Slack]])),0)</f>
        <v>0</v>
      </c>
      <c r="EZ41" s="89" t="str">
        <f aca="false">IF(NOT(Tasks[[#This Row],[_IsLeaf]]=1),"",IF(Tasks[[#This Row],[_AlapShift]]=0,Tasks[[#This Row],[_LeafCalcStart]],WORKDAY.INTL(Tasks[[#This Row],[_LeafCalcStart]],Tasks[[#This Row],[_AlapShift]],WorkWeek,Holidays)))</f>
        <v/>
      </c>
      <c r="FA41" s="89" t="str">
        <f aca="false">IF(NOT(Tasks[[#This Row],[_IsLeaf]]=1),"",IF(Tasks[[#This Row],[_AlapShift]]=0,Tasks[[#This Row],[_LeafCalcFinish]],WORKDAY.INTL(Tasks[[#This Row],[_LeafCalcFinish]],Tasks[[#This Row],[_AlapShift]],WorkWeek,Holidays)))</f>
        <v/>
      </c>
      <c r="FB41" s="89" t="str">
        <f aca="false">IF(NOT(Tasks[[#This Row],[_IsLeaf]]=1),"",IF(Tasks[[#This Row],[_AlapShift]]=0,Tasks[[#This Row],[_LeafFcstStart]],WORKDAY.INTL(Tasks[[#This Row],[_LeafFcstStart]],Tasks[[#This Row],[_AlapShift]],WorkWeek,Holidays)))</f>
        <v/>
      </c>
      <c r="FC41" s="89" t="str">
        <f aca="false">IF(NOT(Tasks[[#This Row],[_IsLeaf]]=1),"",IF(Tasks[[#This Row],[_AlapShift]]=0,Tasks[[#This Row],[_LeafFcstFinish]],WORKDAY.INTL(Tasks[[#This Row],[_LeafFcstFinish]],Tasks[[#This Row],[_AlapShift]],WorkWeek,Holidays)))</f>
        <v/>
      </c>
      <c r="FD41" s="89" t="str">
        <f aca="false">IF(Tasks[[#This Row],[Task Name]]="","",IF(Tasks[[#This Row],[_IsSummary]],MIN(INDEX(Tasks[_ShownCalcStart],Tasks[[#This Row],[_Row]]+1):INDEX(Tasks[_ShownCalcStart],Tasks[[#This Row],[_Row]]+Tasks[[#This Row],[_Descendants]])),Tasks[[#This Row],[_ShownCalcStart]]))</f>
        <v/>
      </c>
      <c r="FE41" s="89" t="str">
        <f aca="false">IF(Tasks[[#This Row],[Task Name]]="","",IF(Tasks[[#This Row],[_IsSummary]],MAX(INDEX(Tasks[_ShownCalcFinish],Tasks[[#This Row],[_Row]]+1):INDEX(Tasks[_ShownCalcFinish],Tasks[[#This Row],[_Row]]+Tasks[[#This Row],[_Descendants]])),Tasks[[#This Row],[_ShownCalcFinish]]))</f>
        <v/>
      </c>
      <c r="FF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1" s="42" t="n">
        <f aca="false">IF(AND(Tasks[[#This Row],[_IsLeaf]]=1,Tasks[[#This Row],[_LeafTotalWork]]&gt;0),NETWORKDAYS.INTL(ProjectStart,Tasks[[#This Row],[_ShownFcstStart]],WorkWeek,Holidays),0)</f>
        <v>0</v>
      </c>
      <c r="FS41" s="42" t="n">
        <f aca="false">IF(AND(Tasks[[#This Row],[_IsLeaf]]=1,Tasks[[#This Row],[_LeafTotalWork]]&gt;0),MAX(Tasks[[#This Row],[_StartWorkday]],NETWORKDAYS.INTL(ProjectStart,Tasks[[#This Row],[_ShownFcstFinish]],WorkWeek,Holidays)),0)</f>
        <v>0</v>
      </c>
      <c r="FT41" s="42" t="n">
        <f aca="false">IF(AND(Tasks[[#This Row],[_IsLeaf]]=1,Tasks[[#This Row],[_LeafTotalWork]]&gt;0),Tasks[[#This Row],[_LeafWork]]/(Tasks[[#This Row],[_FinishWorkday]]-Tasks[[#This Row],[_StartWorkday]]+1),0)</f>
        <v>0</v>
      </c>
      <c r="FU41" s="42" t="n">
        <f aca="false">Tasks[[#This Row],[_WorkPerWorkday]]*(Tasks[[#This Row],[_StartWorkday]]-1)</f>
        <v>-0</v>
      </c>
      <c r="FV41" s="42" t="n">
        <f aca="false">IF(Tasks[[#This Row],[_IsLeaf]]=1,MAX(N(Tasks[[#This Row],[_Days]]),0.1),0)</f>
        <v>0</v>
      </c>
      <c r="FW41" s="42" t="n">
        <f aca="false">Tasks[[#This Row],[_WeightDur]]*Tasks[[#This Row],[_LeafProgress]]</f>
        <v>0</v>
      </c>
      <c r="FX41" s="42" t="n">
        <f aca="false">Tasks[[#This Row],[_WeightDur]]*Tasks[[#This Row],[_PlannedPct]]</f>
        <v>0</v>
      </c>
      <c r="FY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1" s="42" t="str">
        <f aca="false">IF(AND(Tasks[[#This Row],[_IsLeaf]]=1,N(Tasks[[#This Row],[_Days]])=0,Tasks[[#This Row],[_LeafProgress]]&lt;1),Tasks[[#This Row],[_ShownFcstFinish]]+Tasks[[#This Row],[_Row]]/100000,"")</f>
        <v/>
      </c>
      <c r="GA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1" s="42" t="str">
        <f aca="false">IF(Tasks[[#This Row],[Task Name]]="","",LEFT(Tasks[[#This Row],[WBS]],FIND(".",Tasks[[#This Row],[WBS]]&amp;".")-1))</f>
        <v/>
      </c>
      <c r="GC41" s="42" t="str">
        <f aca="false">IF(AND(Tasks[[#This Row],[Task Name]]&lt;&gt;"",Tasks[[#This Row],[_Level]]=1),Tasks[[#This Row],[_Row]],"")</f>
        <v/>
      </c>
      <c r="GD41" s="42" t="str">
        <f aca="false">IF(AND(Tasks[[#This Row],[_IsLeaf]]=1,N(Tasks[[#This Row],[_Days]])=0),Tasks[[#This Row],[Planned Finish]]+Tasks[[#This Row],[_Row]]/100000,"")</f>
        <v/>
      </c>
      <c r="GE41" s="42" t="str">
        <f aca="false">IF(AND(Tasks[[#This Row],[_IsLeaf]]=1,Tasks[[#This Row],[_LeafProgress]]&lt;1,OR(N(Tasks[[#This Row],[Finish Var]])&gt;0,Tasks[[#This Row],[Status]]="Late Start")),MAX(0,Tasks[[#This Row],[Finish Var]])+1-Tasks[[#This Row],[_Row]]/1000000,"")</f>
        <v/>
      </c>
      <c r="GF41" s="42" t="str">
        <f aca="false">IF(AND(Tasks[[#This Row],[_IsLeaf]]=1,N(Tasks[[#This Row],[Actual Start]])=0,Tasks[[#This Row],[_ShownFcstStart]]&gt;=StatusDate,Tasks[[#This Row],[_ShownFcstStart]]&lt;=LookaheadEnd),Tasks[[#This Row],[_ShownFcstStart]]+Tasks[[#This Row],[_Row]]/100000,"")</f>
        <v/>
      </c>
      <c r="GG41" s="42" t="str">
        <f aca="false">IF(AND(Tasks[[#This Row],[_IsLeaf]]=1,Tasks[[#This Row],[_LeafProgress]]&lt;1,Tasks[[#This Row],[_ShownFcstFinish]]&gt;=StatusDate,Tasks[[#This Row],[_ShownFcstFinish]]&lt;=LookaheadEnd),Tasks[[#This Row],[_ShownFcstFinish]]+Tasks[[#This Row],[_Row]]/100000,"")</f>
        <v/>
      </c>
      <c r="GH41" s="42" t="str">
        <f aca="false">IF(Tasks[[#This Row],[_LeafCritical]],Tasks[[#This Row],[_ShownFcstStart]]+Tasks[[#This Row],[_Row]]/100000,"")</f>
        <v/>
      </c>
      <c r="GI41" s="42" t="n">
        <f aca="false">Tasks[[#This Row],[_LeafWork]]*Tasks[[#This Row],[_LeafProgress]]</f>
        <v>0</v>
      </c>
      <c r="GJ41" s="89" t="str">
        <f aca="false">IF(AND(Tasks[[#This Row],[_IsLeaf]]=1,Tasks[[#This Row],[_LeafProgress]]&gt;=1),IF(N(Tasks[[#This Row],[Actual Finish]])&gt;0,Tasks[[#This Row],[Actual Finish]],Tasks[[#This Row],[_ShownFcstFinish]]),"")</f>
        <v/>
      </c>
      <c r="GK41" s="42" t="n">
        <f aca="false">IF(Tasks[[#This Row],[_IsLeaf]]=1,N(Tasks[[#This Row],[Story Points]]),0)</f>
        <v>0</v>
      </c>
      <c r="GL41" s="42" t="str">
        <f aca="false">""</f>
        <v/>
      </c>
      <c r="GM41" s="88" t="b">
        <f aca="false">IF(Tasks[[#This Row],[Task Name]]="",FALSE(),AND(Tasks[[#This Row],[_IsLeaf]]=1,N(Tasks[[#This Row],[_Days]])=0))</f>
        <v>0</v>
      </c>
      <c r="GN41" s="89" t="n">
        <f aca="false">IF(Tasks[[#This Row],[Task Name]]="",0,IF(AND(Tasks[[#This Row],[_IsLeaf]]=1,NOT(Tasks[[#This Row],[_IsMilestone]]),N(Tasks[[#This Row],[Progress]])&gt;0),Tasks[[#This Row],[Start]],0))</f>
        <v>0</v>
      </c>
      <c r="GO41" s="89" t="n">
        <f aca="false">IF(Tasks[[#This Row],[_DoneFrom]]=0,0,IF(Tasks[[#This Row],[Progress]]&gt;=1,Tasks[[#This Row],[Finish]],MAX(Tasks[[#This Row],[_DoneFrom]],Tasks[[#This Row],[Start]]+ROUND((Tasks[[#This Row],[Finish]]-Tasks[[#This Row],[Start]]+1)*Tasks[[#This Row],[Progress]],0)-1)))</f>
        <v>0</v>
      </c>
      <c r="GP41" s="89" t="n">
        <f aca="false">IF(Tasks[[#This Row],[Task Name]]="",0,IF(OR(NOT(Tasks[[#This Row],[_IsLeaf]]=1),Tasks[[#This Row],[_IsMilestone]],N(Tasks[[#This Row],[Progress]])&gt;=1),0,IF(Tasks[[#This Row],[_DoneTo]]&gt;0,Tasks[[#This Row],[_DoneTo]]+1,Tasks[[#This Row],[Start]])))</f>
        <v>0</v>
      </c>
      <c r="GQ41" s="89" t="n">
        <f aca="false">IF(Tasks[[#This Row],[_RemFrom]]=0,0,Tasks[[#This Row],[Finish]])</f>
        <v>0</v>
      </c>
      <c r="GR41" s="88" t="b">
        <f aca="false">IF(Tasks[[#This Row],[Task Name]]="",FALSE(),OR(NOT(BaselineSet),N(Tasks[[#This Row],[Baseline Start]])&gt;0))</f>
        <v>0</v>
      </c>
      <c r="GS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1" s="90" t="str">
        <f aca="false">IF(Tasks[[#This Row],[_IsLeaf]]=1,Tasks[[#This Row],[_Row]],"")</f>
        <v/>
      </c>
      <c r="GW41" s="90" t="str">
        <f aca="false">IFERROR(INDEX(Tasks[UID],SMALL(Tasks[_PickKey],Tasks[[#This Row],[_Row]]))&amp;" "&amp;INDEX(Tasks[Task Name],SMALL(Tasks[_PickKey],Tasks[[#This Row],[_Row]])),"")</f>
        <v/>
      </c>
      <c r="GX41" s="42" t="str">
        <f aca="false">IF(Tasks[[#This Row],[Task Name]]="","",IF(Tasks[[#This Row],[_IsSummary]],NETWORKDAYS.INTL(Tasks[[#This Row],[Start]],Tasks[[#This Row],[Finish]],WorkWeek,Holidays),N(Tasks[[#This Row],[_Days]])))</f>
        <v/>
      </c>
    </row>
    <row r="42" customFormat="false" ht="15" hidden="false" customHeight="false" outlineLevel="0" collapsed="false">
      <c r="A42" s="21" t="str">
        <f aca="false">IF(Tasks[[#This Row],[Task Name]]="","",COUNTA(Tasks[[#Headers],[Task Name]]:Tasks[[#This Row],[Task Name]])-1)</f>
        <v/>
      </c>
      <c r="B42" s="22" t="n">
        <v>50</v>
      </c>
      <c r="C42" s="22"/>
      <c r="D42" s="23"/>
      <c r="E42" s="22"/>
      <c r="F42" s="23"/>
      <c r="G42" s="22"/>
      <c r="H42" s="22"/>
      <c r="I42" s="23"/>
      <c r="J42" s="22"/>
      <c r="K42" s="22"/>
      <c r="L42" s="23"/>
      <c r="M42" s="22"/>
      <c r="N42" s="22"/>
      <c r="O42" s="23"/>
      <c r="P42" s="22"/>
      <c r="Q42" s="22"/>
      <c r="R42" s="23"/>
      <c r="S42" s="23"/>
      <c r="T42" s="83"/>
      <c r="U42" s="23"/>
      <c r="V42" s="83"/>
      <c r="W42" s="23"/>
      <c r="X42" s="83"/>
      <c r="Y42" s="23"/>
      <c r="Z42" s="83"/>
      <c r="AA42" s="23"/>
      <c r="AB42" s="23"/>
      <c r="AC42" s="7"/>
      <c r="AD42" s="7"/>
      <c r="AE42" s="62" t="str">
        <f aca="false">IF(Tasks[[#This Row],[Task Name]]="","",IF(Tasks[[#This Row],[_IsSummary]],MIN(INDEX(Tasks[_ShownFcstStart],Tasks[[#This Row],[_Row]]+1):INDEX(Tasks[_ShownFcstStart],Tasks[[#This Row],[_Row]]+Tasks[[#This Row],[_Descendants]])),Tasks[[#This Row],[_ShownFcstStart]]))</f>
        <v/>
      </c>
      <c r="AF42" s="62" t="str">
        <f aca="false">IF(Tasks[[#This Row],[Task Name]]="","",IF(Tasks[[#This Row],[_IsSummary]],MAX(INDEX(Tasks[_ShownFcstFinish],Tasks[[#This Row],[_Row]]+1):INDEX(Tasks[_ShownFcstFinish],Tasks[[#This Row],[_Row]]+Tasks[[#This Row],[_Descendants]])),Tasks[[#This Row],[_ShownFcstFinish]]))</f>
        <v/>
      </c>
      <c r="AG42" s="21" t="str">
        <f aca="false">""</f>
        <v/>
      </c>
      <c r="AH42" s="23"/>
      <c r="AI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2" s="7"/>
      <c r="AK42" s="22"/>
      <c r="AL42" s="23"/>
      <c r="AM42" s="7"/>
      <c r="AN42" s="46" t="str">
        <f aca="false">IF(Tasks[[#This Row],[Task Name]]="","",IF(Tasks[[#This Row],[Finish]]&gt;=Tasks[[#This Row],[Planned Finish]],NETWORKDAYS.INTL(Tasks[[#This Row],[Planned Finish]],Tasks[[#This Row],[Finish]],WorkWeek,Holidays)-1,1-NETWORKDAYS.INTL(Tasks[[#This Row],[Finish]],Tasks[[#This Row],[Planned Finish]],WorkWeek,Holidays)))</f>
        <v/>
      </c>
      <c r="AO42" s="21" t="str">
        <f aca="false">IF(Tasks[[#This Row],[Task Name]]="","",IF(Tasks[[#This Row],[Progress]]&gt;=1,"Complete",IF(OR(N(Tasks[[#This Row],[Actual Start]])&gt;0,Tasks[[#This Row],[Progress]]&gt;0),IF(Tasks[[#This Row],[Finish Var]]&gt;0,"Behind","In Progress"),IF(Tasks[[#This Row],[Planned Start]]&lt;StatusDate,"Late Start","Not Started"))))</f>
        <v/>
      </c>
      <c r="AP42" s="21" t="str">
        <f aca="false">IF(Tasks[[#This Row],[Task Name]]="","",IF(IF(Tasks[[#This Row],[_IsSummary]],COUNTIF(INDEX(Tasks[_LeafCritical],Tasks[[#This Row],[_Row]]+1):INDEX(Tasks[_LeafCritical],Tasks[[#This Row],[_Row]]+Tasks[[#This Row],[_Descendants]]),TRUE())&gt;0,Tasks[[#This Row],[_LeafCritical]]),"Yes",""))</f>
        <v/>
      </c>
      <c r="AQ42" s="62" t="str">
        <f aca="false">IF(Tasks[[#This Row],[Task Name]]="","",IF(N(Tasks[[#This Row],[Baseline Start]])&gt;0,Tasks[[#This Row],[Baseline Start]],Tasks[[#This Row],[_CalcStart]]))</f>
        <v/>
      </c>
      <c r="AR42" s="62" t="str">
        <f aca="false">IF(Tasks[[#This Row],[Task Name]]="","",IF(N(Tasks[[#This Row],[Baseline Finish]])&gt;0,Tasks[[#This Row],[Baseline Finish]],Tasks[[#This Row],[_CalcFinish]]))</f>
        <v/>
      </c>
      <c r="AS42" s="46" t="str">
        <f aca="false">IF(Tasks[[#This Row],[Task Name]]="","",IF(Tasks[[#This Row],[Start]]&gt;=Tasks[[#This Row],[Planned Start]],NETWORKDAYS.INTL(Tasks[[#This Row],[Planned Start]],Tasks[[#This Row],[Start]],WorkWeek,Holidays)-1,1-NETWORKDAYS.INTL(Tasks[[#This Row],[Start]],Tasks[[#This Row],[Planned Start]],WorkWeek,Holidays)))</f>
        <v/>
      </c>
      <c r="AT42" s="62" t="str">
        <f aca="false">IF(Tasks[[#This Row],[Task Name]]="","",IF(Tasks[[#This Row],[_IsSummary]],MIN(INDEX(Tasks[_LeafLateStart],Tasks[[#This Row],[_Row]]+1):INDEX(Tasks[_LeafLateStart],Tasks[[#This Row],[_Row]]+Tasks[[#This Row],[_Descendants]])),Tasks[[#This Row],[_LeafLateStart]]))</f>
        <v/>
      </c>
      <c r="AU42" s="62" t="str">
        <f aca="false">IF(Tasks[[#This Row],[Task Name]]="","",IF(Tasks[[#This Row],[_IsSummary]],MAX(INDEX(Tasks[_LeafLateFinish],Tasks[[#This Row],[_Row]]+1):INDEX(Tasks[_LeafLateFinish],Tasks[[#This Row],[_Row]]+Tasks[[#This Row],[_Descendants]])),Tasks[[#This Row],[_LeafLateFinish]]))</f>
        <v/>
      </c>
      <c r="AV42" s="46" t="str">
        <f aca="false">IF(Tasks[[#This Row],[Task Name]]="","",IF(Tasks[[#This Row],[_IsSummary]],MIN(INDEX(Tasks[_LeafTotalSlack],Tasks[[#This Row],[_Row]]+1):INDEX(Tasks[_LeafTotalSlack],Tasks[[#This Row],[_Row]]+Tasks[[#This Row],[_Descendants]])),Tasks[[#This Row],[_LeafTotalSlack]]))</f>
        <v/>
      </c>
      <c r="AW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4"/>
      <c r="BA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t="str">
        <f aca="false">IF(Tasks[[#This Row],[Task Name]]="","",IF(Tasks[[#This Row],[_Level]]&lt;=OutlineShowLevel,"Yes","No"))</f>
        <v/>
      </c>
      <c r="BE42" s="85" t="str">
        <f aca="false">IF(Tasks[[#This Row],[Task Name]]="","",IF(Tasks[[#This Row],[_IsSummary]],SUM(INDEX(Tasks[_LeafTotalWork],Tasks[[#This Row],[_Row]]+1):INDEX(Tasks[_LeafTotalWork],Tasks[[#This Row],[_Row]]+Tasks[[#This Row],[_Descendants]])),Tasks[[#This Row],[_LeafTotalWork]]))</f>
        <v/>
      </c>
      <c r="BF42" s="23"/>
      <c r="BG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t="str">
        <f aca="false">""</f>
        <v/>
      </c>
      <c r="BI42" s="86"/>
      <c r="BJ42" s="22"/>
      <c r="BK42" s="46" t="str">
        <f aca="false">IF(OR(Tasks[[#This Row],[Task Name]]="",Tasks[[#This Row],[Baseline Duration]]=""),"",Tasks[[#This Row],[_SpanDays]]-N(Tasks[[#This Row],[Baseline Duration]]))</f>
        <v/>
      </c>
      <c r="BL42" s="85" t="str">
        <f aca="false">IF(OR(Tasks[[#This Row],[Task Name]]="",Tasks[[#This Row],[Baseline Work]]=""),"",Tasks[[#This Row],[Work]]-N(Tasks[[#This Row],[Baseline Work]]))</f>
        <v/>
      </c>
      <c r="BM42" s="62" t="str">
        <f aca="false">IF(Tasks[[#This Row],[Task Name]]="","",IF(OR(TakeBaseline="Yes",N(Tasks[[#This Row],[Baseline Start]])=0),Tasks[[#This Row],[Start]],Tasks[[#This Row],[Baseline Start]]))</f>
        <v/>
      </c>
      <c r="BN42" s="62" t="str">
        <f aca="false">IF(Tasks[[#This Row],[Task Name]]="","",IF(OR(TakeBaseline="Yes",N(Tasks[[#This Row],[Baseline Finish]])=0),Tasks[[#This Row],[Finish]],Tasks[[#This Row],[Baseline Finish]]))</f>
        <v/>
      </c>
      <c r="BO42" s="21" t="str">
        <f aca="false">IF(Tasks[[#This Row],[Task Name]]="","",IF(OR(TakeBaseline="Yes",N(Tasks[[#This Row],[Baseline Duration]])=0),Tasks[[#This Row],[_SpanDays]],Tasks[[#This Row],[Baseline Duration]]))</f>
        <v/>
      </c>
      <c r="BP42" s="85" t="str">
        <f aca="false">IF(Tasks[[#This Row],[Task Name]]="","",IF(OR(TakeBaseline="Yes",N(Tasks[[#This Row],[Baseline Work]])=0),Tasks[[#This Row],[Work]],Tasks[[#This Row],[Baseline Work]]))</f>
        <v/>
      </c>
      <c r="BQ42" s="7"/>
      <c r="BR42" s="7"/>
      <c r="BS42" s="22"/>
      <c r="BT42" s="87"/>
      <c r="BU42" s="42" t="str">
        <f aca="false">IF(Tasks[[#This Row],[Task Name]]="","",MAX(1,N(Tasks[[#This Row],[Level]])))</f>
        <v/>
      </c>
      <c r="BV42" s="42" t="n">
        <f aca="false">ROW()-ROW(Tasks[[#Headers],[ID]])</f>
        <v>37</v>
      </c>
      <c r="BW42" s="42" t="n">
        <f aca="false">IF(OR(Tasks[[#This Row],[Task Name]]="",Tasks[[#This Row],[_Level]]&lt;=1),0,IFERROR(LOOKUP(2,1/(Tasks[[#Headers],[_Level]]:Tasks[[#This Row],[_Level]]=Tasks[[#This Row],[_Level]]-1),ROW(Tasks[[#Headers],[_Level]]:Tasks[[#This Row],[_Level]])),0))</f>
        <v>0</v>
      </c>
      <c r="BX42" s="42" t="n">
        <f aca="false">IFERROR(N(INDEX(Tasks[_Level],Tasks[[#This Row],[_Row]]+1)),0)</f>
        <v>0</v>
      </c>
      <c r="BY42" s="88" t="b">
        <f aca="false">AND(Tasks[[#This Row],[Task Name]]&lt;&gt;"",Tasks[[#This Row],[_NextLevel]]&gt;Tasks[[#This Row],[_Level]])</f>
        <v>0</v>
      </c>
      <c r="BZ42" s="42" t="n">
        <f aca="false">IF(Tasks[[#This Row],[_IsSummary]],COUNTIF(Tasks[WBS],Tasks[[#This Row],[WBS]]&amp;".*"),0)</f>
        <v>0</v>
      </c>
      <c r="CA42" s="42" t="n">
        <f aca="false">IF(AND(Tasks[[#This Row],[Task Name]]&lt;&gt;"",NOT(Tasks[[#This Row],[_IsSummary]])),1,0)</f>
        <v>0</v>
      </c>
      <c r="CB42" s="42" t="n">
        <f aca="false">IF(N(Tasks[[#This Row],[_Pred1UID]])=0,0,IFERROR(MATCH(Tasks[[#This Row],[_Pred1UID]],Tasks[UID],0),-1))</f>
        <v>0</v>
      </c>
      <c r="CC42" s="42" t="n">
        <f aca="false">IF(N(Tasks[[#This Row],[_Pred2UID]])=0,0,IFERROR(MATCH(Tasks[[#This Row],[_Pred2UID]],Tasks[UID],0),-1))</f>
        <v>0</v>
      </c>
      <c r="CD42" s="42" t="n">
        <f aca="false">IF(N(Tasks[[#This Row],[_Pred3UID]])=0,0,IFERROR(MATCH(Tasks[[#This Row],[_Pred3UID]],Tasks[UID],0),-1))</f>
        <v>0</v>
      </c>
      <c r="CE42" s="42" t="n">
        <f aca="false">IF(N(Tasks[[#This Row],[_Pred4UID]])=0,0,IFERROR(MATCH(Tasks[[#This Row],[_Pred4UID]],Tasks[UID],0),-1))</f>
        <v>0</v>
      </c>
      <c r="CF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2" s="89" t="n">
        <f aca="false">IF(OR(Tasks[[#This Row],[_ConstraintCode]]=2,Tasks[[#This Row],[_ConstraintCode]]=3,Tasks[[#This Row],[_ConstraintCode]]=4,Tasks[[#This Row],[_ConstraintCode]]=6),Tasks[[#This Row],[_ConstraintStart]],0)</f>
        <v>0</v>
      </c>
      <c r="CI42" s="89" t="n">
        <f aca="false">IF(OR(Tasks[[#This Row],[_ConstraintCode]]=2,Tasks[[#This Row],[_ConstraintCode]]=3,Tasks[[#This Row],[_ConstraintCode]]=5,Tasks[[#This Row],[_ConstraintCode]]=7),Tasks[[#This Row],[_ConstraintStart]],2958465)</f>
        <v>2958465</v>
      </c>
      <c r="CJ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2" s="89" t="str">
        <f aca="false">IF(NOT(Tasks[[#This Row],[_IsLeaf]]=1),"",IF(N(Tasks[[#This Row],[_Days]])&lt;=0,Tasks[[#This Row],[_LeafCalcStart]],WORKDAY.INTL(Tasks[[#This Row],[_LeafCalcStart]],Tasks[[#This Row],[_Days]]-1,WorkWeek,Holidays)))</f>
        <v/>
      </c>
      <c r="CL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2" s="42" t="str">
        <f aca="false">IF(Tasks[[#This Row],[_Predecessors]]="","",TRIM(MID(SUBSTITUTE(SUBSTITUTE(SUBSTITUTE(UPPER(Tasks[[#This Row],[_Predecessors]]),";",",")," ",""),",",REPT(" ",99)),1,99)))</f>
        <v/>
      </c>
      <c r="CO42" s="42" t="str">
        <f aca="false">IF(Tasks[[#This Row],[_Pred1Text]]="","",IFERROR(VALUE(LEFT(Tasks[[#This Row],[_Pred1Text]],MIN(FIND("F",Tasks[[#This Row],[_Pred1Text]]&amp;"F"),FIND("S",Tasks[[#This Row],[_Pred1Text]]&amp;"S"),FIND("+",Tasks[[#This Row],[_Pred1Text]]&amp;"+"),FIND("-",Tasks[[#This Row],[_Pred1Text]]&amp;"-"))-1)),""))</f>
        <v/>
      </c>
      <c r="CP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2" s="42" t="str">
        <f aca="false">IF(Tasks[[#This Row],[_Pred1Text]]="","",TRIM(MID(SUBSTITUTE(SUBSTITUTE(SUBSTITUTE(UPPER(Tasks[[#This Row],[_Predecessors]]),";",",")," ",""),",",REPT(" ",99)),100,99)))</f>
        <v/>
      </c>
      <c r="CS42" s="42" t="str">
        <f aca="false">IF(Tasks[[#This Row],[_Pred2Text]]="","",IFERROR(VALUE(LEFT(Tasks[[#This Row],[_Pred2Text]],MIN(FIND("F",Tasks[[#This Row],[_Pred2Text]]&amp;"F"),FIND("S",Tasks[[#This Row],[_Pred2Text]]&amp;"S"),FIND("+",Tasks[[#This Row],[_Pred2Text]]&amp;"+"),FIND("-",Tasks[[#This Row],[_Pred2Text]]&amp;"-"))-1)),""))</f>
        <v/>
      </c>
      <c r="CT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2" s="42" t="str">
        <f aca="false">IF(Tasks[[#This Row],[_Pred2Text]]="","",TRIM(MID(SUBSTITUTE(SUBSTITUTE(SUBSTITUTE(UPPER(Tasks[[#This Row],[_Predecessors]]),";",",")," ",""),",",REPT(" ",99)),199,99)))</f>
        <v/>
      </c>
      <c r="CW42" s="42" t="str">
        <f aca="false">IF(Tasks[[#This Row],[_Pred3Text]]="","",IFERROR(VALUE(LEFT(Tasks[[#This Row],[_Pred3Text]],MIN(FIND("F",Tasks[[#This Row],[_Pred3Text]]&amp;"F"),FIND("S",Tasks[[#This Row],[_Pred3Text]]&amp;"S"),FIND("+",Tasks[[#This Row],[_Pred3Text]]&amp;"+"),FIND("-",Tasks[[#This Row],[_Pred3Text]]&amp;"-"))-1)),""))</f>
        <v/>
      </c>
      <c r="CX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2" s="42" t="str">
        <f aca="false">IF(Tasks[[#This Row],[_Pred3Text]]="","",TRIM(MID(SUBSTITUTE(SUBSTITUTE(SUBSTITUTE(UPPER(Tasks[[#This Row],[_Predecessors]]),";",",")," ",""),",",REPT(" ",99)),298,99)))</f>
        <v/>
      </c>
      <c r="DA42" s="42" t="str">
        <f aca="false">IF(Tasks[[#This Row],[_Pred4Text]]="","",IFERROR(VALUE(LEFT(Tasks[[#This Row],[_Pred4Text]],MIN(FIND("F",Tasks[[#This Row],[_Pred4Text]]&amp;"F"),FIND("S",Tasks[[#This Row],[_Pred4Text]]&amp;"S"),FIND("+",Tasks[[#This Row],[_Pred4Text]]&amp;"+"),FIND("-",Tasks[[#This Row],[_Pred4Text]]&amp;"-"))-1)),""))</f>
        <v/>
      </c>
      <c r="DB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2" s="42" t="str">
        <f aca="false">IF(OR(Tasks[[#This Row],[Task Name]]="",Tasks[[#This Row],[_Resources]]=""),"",TRIM(MID(SUBSTITUTE(Tasks[[#This Row],[_Resources]],",",REPT(" ",99)),1,99)))</f>
        <v/>
      </c>
      <c r="DE42" s="42" t="str">
        <f aca="false">IF(Tasks[[#This Row],[_Res1Text]]="","",TRIM(MID(SUBSTITUTE(Tasks[[#This Row],[_Resources]],",",REPT(" ",99)),100,99)))</f>
        <v/>
      </c>
      <c r="DF42" s="42" t="str">
        <f aca="false">IF(Tasks[[#This Row],[_Res2Text]]="","",TRIM(MID(SUBSTITUTE(Tasks[[#This Row],[_Resources]],",",REPT(" ",99)),199,99)))</f>
        <v/>
      </c>
      <c r="DG42" s="42" t="str">
        <f aca="false">IF(Tasks[[#This Row],[_Res3Text]]="","",TRIM(MID(SUBSTITUTE(Tasks[[#This Row],[_Resources]],",",REPT(" ",99)),298,99)))</f>
        <v/>
      </c>
      <c r="DH42" s="42" t="n">
        <f aca="false">IF(Tasks[[#This Row],[_Res1Text]]="",0,IFERROR(MATCH(TRIM(LEFT(Tasks[[#This Row],[_Res1Text]],FIND("[",Tasks[[#This Row],[_Res1Text]]&amp;"[")-1)),res_Name,0),IFERROR(MATCH(TRIM(LEFT(Tasks[[#This Row],[_Res1Text]],FIND("[",Tasks[[#This Row],[_Res1Text]]&amp;"[")-1)),res_Initials,0),0)))</f>
        <v>0</v>
      </c>
      <c r="DI42" s="42" t="n">
        <f aca="false">IF(Tasks[[#This Row],[_Res2Text]]="",0,IFERROR(MATCH(TRIM(LEFT(Tasks[[#This Row],[_Res2Text]],FIND("[",Tasks[[#This Row],[_Res2Text]]&amp;"[")-1)),res_Name,0),IFERROR(MATCH(TRIM(LEFT(Tasks[[#This Row],[_Res2Text]],FIND("[",Tasks[[#This Row],[_Res2Text]]&amp;"[")-1)),res_Initials,0),0)))</f>
        <v>0</v>
      </c>
      <c r="DJ42" s="42" t="n">
        <f aca="false">IF(Tasks[[#This Row],[_Res3Text]]="",0,IFERROR(MATCH(TRIM(LEFT(Tasks[[#This Row],[_Res3Text]],FIND("[",Tasks[[#This Row],[_Res3Text]]&amp;"[")-1)),res_Name,0),IFERROR(MATCH(TRIM(LEFT(Tasks[[#This Row],[_Res3Text]],FIND("[",Tasks[[#This Row],[_Res3Text]]&amp;"[")-1)),res_Initials,0),0)))</f>
        <v>0</v>
      </c>
      <c r="DK42" s="42" t="n">
        <f aca="false">IF(Tasks[[#This Row],[_Res4Text]]="",0,IFERROR(MATCH(TRIM(LEFT(Tasks[[#This Row],[_Res4Text]],FIND("[",Tasks[[#This Row],[_Res4Text]]&amp;"[")-1)),res_Name,0),IFERROR(MATCH(TRIM(LEFT(Tasks[[#This Row],[_Res4Text]],FIND("[",Tasks[[#This Row],[_Res4Text]]&amp;"[")-1)),res_Initials,0),0)))</f>
        <v>0</v>
      </c>
      <c r="DL42" s="42" t="str">
        <f aca="false">IF(Tasks[[#This Row],[_Res1Text]]="","",IF(Tasks[[#This Row],[_Res1Row]]&gt;0,INDEX(res_Name,Tasks[[#This Row],[_Res1Row]]),TRIM(LEFT(Tasks[[#This Row],[_Res1Text]],FIND("[",Tasks[[#This Row],[_Res1Text]]&amp;"[")-1))))</f>
        <v/>
      </c>
      <c r="DM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2" s="42" t="n">
        <f aca="false">IF(NOT(Tasks[[#This Row],[_IsLeaf]]=1),0,(Tasks[[#This Row],[_Resource1]]&lt;&gt;"")+(Tasks[[#This Row],[_Res2]]&lt;&gt;"")+(Tasks[[#This Row],[_Res3]]&lt;&gt;"")+(Tasks[[#This Row],[_Res4]]&lt;&gt;""))</f>
        <v>0</v>
      </c>
      <c r="DO42" s="42" t="str">
        <f aca="false">IF(Tasks[[#This Row],[_Res2Text]]="","",IF(Tasks[[#This Row],[_Res2Row]]&gt;0,INDEX(res_Name,Tasks[[#This Row],[_Res2Row]]),TRIM(LEFT(Tasks[[#This Row],[_Res2Text]],FIND("[",Tasks[[#This Row],[_Res2Text]]&amp;"[")-1))))</f>
        <v/>
      </c>
      <c r="DP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2" s="42" t="n">
        <f aca="false">IF(OR(NOT(Tasks[[#This Row],[_IsLeaf]]=1),Tasks[[#This Row],[_Res2Row]]=0),0,N(Tasks[[#This Row],[_Days]])*HoursPerDay*IF(Tasks[[#This Row],[_Res2Units]]="",DefaultUnits,Tasks[[#This Row],[_Res2Units]]))</f>
        <v>0</v>
      </c>
      <c r="DR42" s="42" t="n">
        <f aca="false">IF(AND(AND(Tasks[[#This Row],[_IsLeaf]]=1,Tasks[[#This Row],[_LeafTotalWork]]&gt;0),Tasks[[#This Row],[_Res2Work]]&gt;0),Tasks[[#This Row],[_Res2Work]]/(Tasks[[#This Row],[_FinishWorkday]]-Tasks[[#This Row],[_StartWorkday]]+1),0)</f>
        <v>0</v>
      </c>
      <c r="DS42" s="42" t="n">
        <f aca="false">Tasks[[#This Row],[_Res2WorkPerWD]]*MAX(0,Tasks[[#This Row],[_StartWorkday]]-1)</f>
        <v>0</v>
      </c>
      <c r="DT42" s="42" t="n">
        <f aca="false">Tasks[[#This Row],[_Res2Work]]*Tasks[[#This Row],[_LeafProgress]]</f>
        <v>0</v>
      </c>
      <c r="DU42" s="42" t="str">
        <f aca="false">IF(Tasks[[#This Row],[_Res3Text]]="","",IF(Tasks[[#This Row],[_Res3Row]]&gt;0,INDEX(res_Name,Tasks[[#This Row],[_Res3Row]]),TRIM(LEFT(Tasks[[#This Row],[_Res3Text]],FIND("[",Tasks[[#This Row],[_Res3Text]]&amp;"[")-1))))</f>
        <v/>
      </c>
      <c r="DV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2" s="42" t="n">
        <f aca="false">IF(OR(NOT(Tasks[[#This Row],[_IsLeaf]]=1),Tasks[[#This Row],[_Res3Row]]=0),0,N(Tasks[[#This Row],[_Days]])*HoursPerDay*IF(Tasks[[#This Row],[_Res3Units]]="",DefaultUnits,Tasks[[#This Row],[_Res3Units]]))</f>
        <v>0</v>
      </c>
      <c r="DX42" s="42" t="n">
        <f aca="false">IF(AND(AND(Tasks[[#This Row],[_IsLeaf]]=1,Tasks[[#This Row],[_LeafTotalWork]]&gt;0),Tasks[[#This Row],[_Res3Work]]&gt;0),Tasks[[#This Row],[_Res3Work]]/(Tasks[[#This Row],[_FinishWorkday]]-Tasks[[#This Row],[_StartWorkday]]+1),0)</f>
        <v>0</v>
      </c>
      <c r="DY42" s="42" t="n">
        <f aca="false">Tasks[[#This Row],[_Res3WorkPerWD]]*MAX(0,Tasks[[#This Row],[_StartWorkday]]-1)</f>
        <v>0</v>
      </c>
      <c r="DZ42" s="42" t="n">
        <f aca="false">Tasks[[#This Row],[_Res3Work]]*Tasks[[#This Row],[_LeafProgress]]</f>
        <v>0</v>
      </c>
      <c r="EA42" s="42" t="str">
        <f aca="false">IF(Tasks[[#This Row],[_Res4Text]]="","",IF(Tasks[[#This Row],[_Res4Row]]&gt;0,INDEX(res_Name,Tasks[[#This Row],[_Res4Row]]),TRIM(LEFT(Tasks[[#This Row],[_Res4Text]],FIND("[",Tasks[[#This Row],[_Res4Text]]&amp;"[")-1))))</f>
        <v/>
      </c>
      <c r="EB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2" s="42" t="n">
        <f aca="false">IF(OR(NOT(Tasks[[#This Row],[_IsLeaf]]=1),Tasks[[#This Row],[_Res4Row]]=0),0,N(Tasks[[#This Row],[_Days]])*HoursPerDay*IF(Tasks[[#This Row],[_Res4Units]]="",DefaultUnits,Tasks[[#This Row],[_Res4Units]]))</f>
        <v>0</v>
      </c>
      <c r="ED42" s="42" t="n">
        <f aca="false">IF(AND(AND(Tasks[[#This Row],[_IsLeaf]]=1,Tasks[[#This Row],[_LeafTotalWork]]&gt;0),Tasks[[#This Row],[_Res4Work]]&gt;0),Tasks[[#This Row],[_Res4Work]]/(Tasks[[#This Row],[_FinishWorkday]]-Tasks[[#This Row],[_StartWorkday]]+1),0)</f>
        <v>0</v>
      </c>
      <c r="EE42" s="42" t="n">
        <f aca="false">Tasks[[#This Row],[_Res4WorkPerWD]]*MAX(0,Tasks[[#This Row],[_StartWorkday]]-1)</f>
        <v>0</v>
      </c>
      <c r="EF42" s="42" t="n">
        <f aca="false">Tasks[[#This Row],[_Res4Work]]*Tasks[[#This Row],[_LeafProgress]]</f>
        <v>0</v>
      </c>
      <c r="EG42" s="42" t="n">
        <f aca="false">IF(ISNUMBER(Tasks[[#This Row],[% Complete]]),Tasks[[#This Row],[% Complete]],IF(Tasks[[#This Row],[Stage]]="",0,IFERROR(INDEX(stg_Pct,MATCH(Tasks[[#This Row],[Stage]],stg_Name,0)),0)))</f>
        <v>0</v>
      </c>
      <c r="EH42" s="42" t="n">
        <f aca="false">IF(NOT(Tasks[[#This Row],[_IsLeaf]]=1),0,IF(N(Tasks[[#This Row],[Actual Finish]])&gt;0,1,MIN(1,Tasks[[#This Row],[_Pct]])))</f>
        <v>0</v>
      </c>
      <c r="EI42" s="42" t="n">
        <f aca="false">IF(OR(NOT(Tasks[[#This Row],[_IsLeaf]]=1),Tasks[[#This Row],[_Res1Row]]=0),0,N(Tasks[[#This Row],[_Days]])*HoursPerDay*IF(Tasks[[#This Row],[_Units1]]="",DefaultUnits,Tasks[[#This Row],[_Units1]]))</f>
        <v>0</v>
      </c>
      <c r="EJ42" s="42" t="n">
        <f aca="false">Tasks[[#This Row],[_LeafWork]]+Tasks[[#This Row],[_Res2Work]]+Tasks[[#This Row],[_Res3Work]]+Tasks[[#This Row],[_Res4Work]]</f>
        <v>0</v>
      </c>
      <c r="EK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2" s="42" t="n">
        <f aca="false">IF(NOT(Tasks[[#This Row],[_IsLeaf]]=1),0,MAX(_xlfn.MAXIFS(Tasks[_Row],Tasks[_Pred1UID],Tasks[[#This Row],[UID]]),_xlfn.MAXIFS(Tasks[_Row],Tasks[_Pred2UID],Tasks[[#This Row],[UID]]),_xlfn.MAXIFS(Tasks[_Row],Tasks[_Pred3UID],Tasks[[#This Row],[UID]]),_xlfn.MAXIFS(Tasks[_Row],Tasks[_Pred4UID],Tasks[[#This Row],[UID]])))</f>
        <v>0</v>
      </c>
      <c r="ET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2" s="89" t="str">
        <f aca="false">IF(NOT(Tasks[[#This Row],[_IsLeaf]]=1),"",IF(N(Tasks[[#This Row],[_Days]])&lt;=0,Tasks[[#This Row],[_LeafLateFinish]],WORKDAY.INTL(Tasks[[#This Row],[_LeafLateFinish]],-(Tasks[[#This Row],[_Days]]-1),WorkWeek,Holidays)))</f>
        <v/>
      </c>
      <c r="EW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2" s="88" t="b">
        <f aca="false">AND(Tasks[[#This Row],[_IsLeaf]]=1,Tasks[[#This Row],[_LeafProgress]]&lt;1,N(Tasks[[#This Row],[_LeafTotalSlack]])&lt;=CriticalSlackDays)</f>
        <v>0</v>
      </c>
      <c r="EY42" s="42" t="n">
        <f aca="false">IF(AND(Tasks[[#This Row],[_IsLeaf]]=1,Tasks[[#This Row],[_ConstraintCode]]=1,Tasks[[#This Row],[Mode]]&lt;&gt;"Manual",N(Tasks[[#This Row],[Actual Start]])=0),MAX(0,N(Tasks[[#This Row],[Free Slack]])),0)</f>
        <v>0</v>
      </c>
      <c r="EZ42" s="89" t="str">
        <f aca="false">IF(NOT(Tasks[[#This Row],[_IsLeaf]]=1),"",IF(Tasks[[#This Row],[_AlapShift]]=0,Tasks[[#This Row],[_LeafCalcStart]],WORKDAY.INTL(Tasks[[#This Row],[_LeafCalcStart]],Tasks[[#This Row],[_AlapShift]],WorkWeek,Holidays)))</f>
        <v/>
      </c>
      <c r="FA42" s="89" t="str">
        <f aca="false">IF(NOT(Tasks[[#This Row],[_IsLeaf]]=1),"",IF(Tasks[[#This Row],[_AlapShift]]=0,Tasks[[#This Row],[_LeafCalcFinish]],WORKDAY.INTL(Tasks[[#This Row],[_LeafCalcFinish]],Tasks[[#This Row],[_AlapShift]],WorkWeek,Holidays)))</f>
        <v/>
      </c>
      <c r="FB42" s="89" t="str">
        <f aca="false">IF(NOT(Tasks[[#This Row],[_IsLeaf]]=1),"",IF(Tasks[[#This Row],[_AlapShift]]=0,Tasks[[#This Row],[_LeafFcstStart]],WORKDAY.INTL(Tasks[[#This Row],[_LeafFcstStart]],Tasks[[#This Row],[_AlapShift]],WorkWeek,Holidays)))</f>
        <v/>
      </c>
      <c r="FC42" s="89" t="str">
        <f aca="false">IF(NOT(Tasks[[#This Row],[_IsLeaf]]=1),"",IF(Tasks[[#This Row],[_AlapShift]]=0,Tasks[[#This Row],[_LeafFcstFinish]],WORKDAY.INTL(Tasks[[#This Row],[_LeafFcstFinish]],Tasks[[#This Row],[_AlapShift]],WorkWeek,Holidays)))</f>
        <v/>
      </c>
      <c r="FD42" s="89" t="str">
        <f aca="false">IF(Tasks[[#This Row],[Task Name]]="","",IF(Tasks[[#This Row],[_IsSummary]],MIN(INDEX(Tasks[_ShownCalcStart],Tasks[[#This Row],[_Row]]+1):INDEX(Tasks[_ShownCalcStart],Tasks[[#This Row],[_Row]]+Tasks[[#This Row],[_Descendants]])),Tasks[[#This Row],[_ShownCalcStart]]))</f>
        <v/>
      </c>
      <c r="FE42" s="89" t="str">
        <f aca="false">IF(Tasks[[#This Row],[Task Name]]="","",IF(Tasks[[#This Row],[_IsSummary]],MAX(INDEX(Tasks[_ShownCalcFinish],Tasks[[#This Row],[_Row]]+1):INDEX(Tasks[_ShownCalcFinish],Tasks[[#This Row],[_Row]]+Tasks[[#This Row],[_Descendants]])),Tasks[[#This Row],[_ShownCalcFinish]]))</f>
        <v/>
      </c>
      <c r="FF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2" s="42" t="n">
        <f aca="false">IF(AND(Tasks[[#This Row],[_IsLeaf]]=1,Tasks[[#This Row],[_LeafTotalWork]]&gt;0),NETWORKDAYS.INTL(ProjectStart,Tasks[[#This Row],[_ShownFcstStart]],WorkWeek,Holidays),0)</f>
        <v>0</v>
      </c>
      <c r="FS42" s="42" t="n">
        <f aca="false">IF(AND(Tasks[[#This Row],[_IsLeaf]]=1,Tasks[[#This Row],[_LeafTotalWork]]&gt;0),MAX(Tasks[[#This Row],[_StartWorkday]],NETWORKDAYS.INTL(ProjectStart,Tasks[[#This Row],[_ShownFcstFinish]],WorkWeek,Holidays)),0)</f>
        <v>0</v>
      </c>
      <c r="FT42" s="42" t="n">
        <f aca="false">IF(AND(Tasks[[#This Row],[_IsLeaf]]=1,Tasks[[#This Row],[_LeafTotalWork]]&gt;0),Tasks[[#This Row],[_LeafWork]]/(Tasks[[#This Row],[_FinishWorkday]]-Tasks[[#This Row],[_StartWorkday]]+1),0)</f>
        <v>0</v>
      </c>
      <c r="FU42" s="42" t="n">
        <f aca="false">Tasks[[#This Row],[_WorkPerWorkday]]*(Tasks[[#This Row],[_StartWorkday]]-1)</f>
        <v>-0</v>
      </c>
      <c r="FV42" s="42" t="n">
        <f aca="false">IF(Tasks[[#This Row],[_IsLeaf]]=1,MAX(N(Tasks[[#This Row],[_Days]]),0.1),0)</f>
        <v>0</v>
      </c>
      <c r="FW42" s="42" t="n">
        <f aca="false">Tasks[[#This Row],[_WeightDur]]*Tasks[[#This Row],[_LeafProgress]]</f>
        <v>0</v>
      </c>
      <c r="FX42" s="42" t="n">
        <f aca="false">Tasks[[#This Row],[_WeightDur]]*Tasks[[#This Row],[_PlannedPct]]</f>
        <v>0</v>
      </c>
      <c r="FY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2" s="42" t="str">
        <f aca="false">IF(AND(Tasks[[#This Row],[_IsLeaf]]=1,N(Tasks[[#This Row],[_Days]])=0,Tasks[[#This Row],[_LeafProgress]]&lt;1),Tasks[[#This Row],[_ShownFcstFinish]]+Tasks[[#This Row],[_Row]]/100000,"")</f>
        <v/>
      </c>
      <c r="GA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2" s="42" t="str">
        <f aca="false">IF(Tasks[[#This Row],[Task Name]]="","",LEFT(Tasks[[#This Row],[WBS]],FIND(".",Tasks[[#This Row],[WBS]]&amp;".")-1))</f>
        <v/>
      </c>
      <c r="GC42" s="42" t="str">
        <f aca="false">IF(AND(Tasks[[#This Row],[Task Name]]&lt;&gt;"",Tasks[[#This Row],[_Level]]=1),Tasks[[#This Row],[_Row]],"")</f>
        <v/>
      </c>
      <c r="GD42" s="42" t="str">
        <f aca="false">IF(AND(Tasks[[#This Row],[_IsLeaf]]=1,N(Tasks[[#This Row],[_Days]])=0),Tasks[[#This Row],[Planned Finish]]+Tasks[[#This Row],[_Row]]/100000,"")</f>
        <v/>
      </c>
      <c r="GE42" s="42" t="str">
        <f aca="false">IF(AND(Tasks[[#This Row],[_IsLeaf]]=1,Tasks[[#This Row],[_LeafProgress]]&lt;1,OR(N(Tasks[[#This Row],[Finish Var]])&gt;0,Tasks[[#This Row],[Status]]="Late Start")),MAX(0,Tasks[[#This Row],[Finish Var]])+1-Tasks[[#This Row],[_Row]]/1000000,"")</f>
        <v/>
      </c>
      <c r="GF42" s="42" t="str">
        <f aca="false">IF(AND(Tasks[[#This Row],[_IsLeaf]]=1,N(Tasks[[#This Row],[Actual Start]])=0,Tasks[[#This Row],[_ShownFcstStart]]&gt;=StatusDate,Tasks[[#This Row],[_ShownFcstStart]]&lt;=LookaheadEnd),Tasks[[#This Row],[_ShownFcstStart]]+Tasks[[#This Row],[_Row]]/100000,"")</f>
        <v/>
      </c>
      <c r="GG42" s="42" t="str">
        <f aca="false">IF(AND(Tasks[[#This Row],[_IsLeaf]]=1,Tasks[[#This Row],[_LeafProgress]]&lt;1,Tasks[[#This Row],[_ShownFcstFinish]]&gt;=StatusDate,Tasks[[#This Row],[_ShownFcstFinish]]&lt;=LookaheadEnd),Tasks[[#This Row],[_ShownFcstFinish]]+Tasks[[#This Row],[_Row]]/100000,"")</f>
        <v/>
      </c>
      <c r="GH42" s="42" t="str">
        <f aca="false">IF(Tasks[[#This Row],[_LeafCritical]],Tasks[[#This Row],[_ShownFcstStart]]+Tasks[[#This Row],[_Row]]/100000,"")</f>
        <v/>
      </c>
      <c r="GI42" s="42" t="n">
        <f aca="false">Tasks[[#This Row],[_LeafWork]]*Tasks[[#This Row],[_LeafProgress]]</f>
        <v>0</v>
      </c>
      <c r="GJ42" s="89" t="str">
        <f aca="false">IF(AND(Tasks[[#This Row],[_IsLeaf]]=1,Tasks[[#This Row],[_LeafProgress]]&gt;=1),IF(N(Tasks[[#This Row],[Actual Finish]])&gt;0,Tasks[[#This Row],[Actual Finish]],Tasks[[#This Row],[_ShownFcstFinish]]),"")</f>
        <v/>
      </c>
      <c r="GK42" s="42" t="n">
        <f aca="false">IF(Tasks[[#This Row],[_IsLeaf]]=1,N(Tasks[[#This Row],[Story Points]]),0)</f>
        <v>0</v>
      </c>
      <c r="GL42" s="42" t="str">
        <f aca="false">""</f>
        <v/>
      </c>
      <c r="GM42" s="88" t="b">
        <f aca="false">IF(Tasks[[#This Row],[Task Name]]="",FALSE(),AND(Tasks[[#This Row],[_IsLeaf]]=1,N(Tasks[[#This Row],[_Days]])=0))</f>
        <v>0</v>
      </c>
      <c r="GN42" s="89" t="n">
        <f aca="false">IF(Tasks[[#This Row],[Task Name]]="",0,IF(AND(Tasks[[#This Row],[_IsLeaf]]=1,NOT(Tasks[[#This Row],[_IsMilestone]]),N(Tasks[[#This Row],[Progress]])&gt;0),Tasks[[#This Row],[Start]],0))</f>
        <v>0</v>
      </c>
      <c r="GO42" s="89" t="n">
        <f aca="false">IF(Tasks[[#This Row],[_DoneFrom]]=0,0,IF(Tasks[[#This Row],[Progress]]&gt;=1,Tasks[[#This Row],[Finish]],MAX(Tasks[[#This Row],[_DoneFrom]],Tasks[[#This Row],[Start]]+ROUND((Tasks[[#This Row],[Finish]]-Tasks[[#This Row],[Start]]+1)*Tasks[[#This Row],[Progress]],0)-1)))</f>
        <v>0</v>
      </c>
      <c r="GP42" s="89" t="n">
        <f aca="false">IF(Tasks[[#This Row],[Task Name]]="",0,IF(OR(NOT(Tasks[[#This Row],[_IsLeaf]]=1),Tasks[[#This Row],[_IsMilestone]],N(Tasks[[#This Row],[Progress]])&gt;=1),0,IF(Tasks[[#This Row],[_DoneTo]]&gt;0,Tasks[[#This Row],[_DoneTo]]+1,Tasks[[#This Row],[Start]])))</f>
        <v>0</v>
      </c>
      <c r="GQ42" s="89" t="n">
        <f aca="false">IF(Tasks[[#This Row],[_RemFrom]]=0,0,Tasks[[#This Row],[Finish]])</f>
        <v>0</v>
      </c>
      <c r="GR42" s="88" t="b">
        <f aca="false">IF(Tasks[[#This Row],[Task Name]]="",FALSE(),OR(NOT(BaselineSet),N(Tasks[[#This Row],[Baseline Start]])&gt;0))</f>
        <v>0</v>
      </c>
      <c r="GS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2" s="90" t="str">
        <f aca="false">IF(Tasks[[#This Row],[_IsLeaf]]=1,Tasks[[#This Row],[_Row]],"")</f>
        <v/>
      </c>
      <c r="GW42" s="90" t="str">
        <f aca="false">IFERROR(INDEX(Tasks[UID],SMALL(Tasks[_PickKey],Tasks[[#This Row],[_Row]]))&amp;" "&amp;INDEX(Tasks[Task Name],SMALL(Tasks[_PickKey],Tasks[[#This Row],[_Row]])),"")</f>
        <v/>
      </c>
      <c r="GX42" s="42" t="str">
        <f aca="false">IF(Tasks[[#This Row],[Task Name]]="","",IF(Tasks[[#This Row],[_IsSummary]],NETWORKDAYS.INTL(Tasks[[#This Row],[Start]],Tasks[[#This Row],[Finish]],WorkWeek,Holidays),N(Tasks[[#This Row],[_Days]])))</f>
        <v/>
      </c>
    </row>
    <row r="43" customFormat="false" ht="15" hidden="false" customHeight="false" outlineLevel="0" collapsed="false">
      <c r="A43" s="21" t="str">
        <f aca="false">IF(Tasks[[#This Row],[Task Name]]="","",COUNTA(Tasks[[#Headers],[Task Name]]:Tasks[[#This Row],[Task Name]])-1)</f>
        <v/>
      </c>
      <c r="B43" s="22" t="n">
        <v>51</v>
      </c>
      <c r="C43" s="22"/>
      <c r="D43" s="23"/>
      <c r="E43" s="22"/>
      <c r="F43" s="23"/>
      <c r="G43" s="22"/>
      <c r="H43" s="22"/>
      <c r="I43" s="23"/>
      <c r="J43" s="22"/>
      <c r="K43" s="22"/>
      <c r="L43" s="23"/>
      <c r="M43" s="22"/>
      <c r="N43" s="22"/>
      <c r="O43" s="23"/>
      <c r="P43" s="22"/>
      <c r="Q43" s="22"/>
      <c r="R43" s="23"/>
      <c r="S43" s="23"/>
      <c r="T43" s="83"/>
      <c r="U43" s="23"/>
      <c r="V43" s="83"/>
      <c r="W43" s="23"/>
      <c r="X43" s="83"/>
      <c r="Y43" s="23"/>
      <c r="Z43" s="83"/>
      <c r="AA43" s="23"/>
      <c r="AB43" s="23"/>
      <c r="AC43" s="7"/>
      <c r="AD43" s="7"/>
      <c r="AE43" s="62" t="str">
        <f aca="false">IF(Tasks[[#This Row],[Task Name]]="","",IF(Tasks[[#This Row],[_IsSummary]],MIN(INDEX(Tasks[_ShownFcstStart],Tasks[[#This Row],[_Row]]+1):INDEX(Tasks[_ShownFcstStart],Tasks[[#This Row],[_Row]]+Tasks[[#This Row],[_Descendants]])),Tasks[[#This Row],[_ShownFcstStart]]))</f>
        <v/>
      </c>
      <c r="AF43" s="62" t="str">
        <f aca="false">IF(Tasks[[#This Row],[Task Name]]="","",IF(Tasks[[#This Row],[_IsSummary]],MAX(INDEX(Tasks[_ShownFcstFinish],Tasks[[#This Row],[_Row]]+1):INDEX(Tasks[_ShownFcstFinish],Tasks[[#This Row],[_Row]]+Tasks[[#This Row],[_Descendants]])),Tasks[[#This Row],[_ShownFcstFinish]]))</f>
        <v/>
      </c>
      <c r="AG43" s="21" t="str">
        <f aca="false">""</f>
        <v/>
      </c>
      <c r="AH43" s="23"/>
      <c r="AI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3" s="7"/>
      <c r="AK43" s="22"/>
      <c r="AL43" s="23"/>
      <c r="AM43" s="7"/>
      <c r="AN43" s="46" t="str">
        <f aca="false">IF(Tasks[[#This Row],[Task Name]]="","",IF(Tasks[[#This Row],[Finish]]&gt;=Tasks[[#This Row],[Planned Finish]],NETWORKDAYS.INTL(Tasks[[#This Row],[Planned Finish]],Tasks[[#This Row],[Finish]],WorkWeek,Holidays)-1,1-NETWORKDAYS.INTL(Tasks[[#This Row],[Finish]],Tasks[[#This Row],[Planned Finish]],WorkWeek,Holidays)))</f>
        <v/>
      </c>
      <c r="AO43" s="21" t="str">
        <f aca="false">IF(Tasks[[#This Row],[Task Name]]="","",IF(Tasks[[#This Row],[Progress]]&gt;=1,"Complete",IF(OR(N(Tasks[[#This Row],[Actual Start]])&gt;0,Tasks[[#This Row],[Progress]]&gt;0),IF(Tasks[[#This Row],[Finish Var]]&gt;0,"Behind","In Progress"),IF(Tasks[[#This Row],[Planned Start]]&lt;StatusDate,"Late Start","Not Started"))))</f>
        <v/>
      </c>
      <c r="AP43" s="21" t="str">
        <f aca="false">IF(Tasks[[#This Row],[Task Name]]="","",IF(IF(Tasks[[#This Row],[_IsSummary]],COUNTIF(INDEX(Tasks[_LeafCritical],Tasks[[#This Row],[_Row]]+1):INDEX(Tasks[_LeafCritical],Tasks[[#This Row],[_Row]]+Tasks[[#This Row],[_Descendants]]),TRUE())&gt;0,Tasks[[#This Row],[_LeafCritical]]),"Yes",""))</f>
        <v/>
      </c>
      <c r="AQ43" s="62" t="str">
        <f aca="false">IF(Tasks[[#This Row],[Task Name]]="","",IF(N(Tasks[[#This Row],[Baseline Start]])&gt;0,Tasks[[#This Row],[Baseline Start]],Tasks[[#This Row],[_CalcStart]]))</f>
        <v/>
      </c>
      <c r="AR43" s="62" t="str">
        <f aca="false">IF(Tasks[[#This Row],[Task Name]]="","",IF(N(Tasks[[#This Row],[Baseline Finish]])&gt;0,Tasks[[#This Row],[Baseline Finish]],Tasks[[#This Row],[_CalcFinish]]))</f>
        <v/>
      </c>
      <c r="AS43" s="46" t="str">
        <f aca="false">IF(Tasks[[#This Row],[Task Name]]="","",IF(Tasks[[#This Row],[Start]]&gt;=Tasks[[#This Row],[Planned Start]],NETWORKDAYS.INTL(Tasks[[#This Row],[Planned Start]],Tasks[[#This Row],[Start]],WorkWeek,Holidays)-1,1-NETWORKDAYS.INTL(Tasks[[#This Row],[Start]],Tasks[[#This Row],[Planned Start]],WorkWeek,Holidays)))</f>
        <v/>
      </c>
      <c r="AT43" s="62" t="str">
        <f aca="false">IF(Tasks[[#This Row],[Task Name]]="","",IF(Tasks[[#This Row],[_IsSummary]],MIN(INDEX(Tasks[_LeafLateStart],Tasks[[#This Row],[_Row]]+1):INDEX(Tasks[_LeafLateStart],Tasks[[#This Row],[_Row]]+Tasks[[#This Row],[_Descendants]])),Tasks[[#This Row],[_LeafLateStart]]))</f>
        <v/>
      </c>
      <c r="AU43" s="62" t="str">
        <f aca="false">IF(Tasks[[#This Row],[Task Name]]="","",IF(Tasks[[#This Row],[_IsSummary]],MAX(INDEX(Tasks[_LeafLateFinish],Tasks[[#This Row],[_Row]]+1):INDEX(Tasks[_LeafLateFinish],Tasks[[#This Row],[_Row]]+Tasks[[#This Row],[_Descendants]])),Tasks[[#This Row],[_LeafLateFinish]]))</f>
        <v/>
      </c>
      <c r="AV43" s="46" t="str">
        <f aca="false">IF(Tasks[[#This Row],[Task Name]]="","",IF(Tasks[[#This Row],[_IsSummary]],MIN(INDEX(Tasks[_LeafTotalSlack],Tasks[[#This Row],[_Row]]+1):INDEX(Tasks[_LeafTotalSlack],Tasks[[#This Row],[_Row]]+Tasks[[#This Row],[_Descendants]])),Tasks[[#This Row],[_LeafTotalSlack]]))</f>
        <v/>
      </c>
      <c r="AW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4"/>
      <c r="BA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t="str">
        <f aca="false">IF(Tasks[[#This Row],[Task Name]]="","",IF(Tasks[[#This Row],[_Level]]&lt;=OutlineShowLevel,"Yes","No"))</f>
        <v/>
      </c>
      <c r="BE43" s="85" t="str">
        <f aca="false">IF(Tasks[[#This Row],[Task Name]]="","",IF(Tasks[[#This Row],[_IsSummary]],SUM(INDEX(Tasks[_LeafTotalWork],Tasks[[#This Row],[_Row]]+1):INDEX(Tasks[_LeafTotalWork],Tasks[[#This Row],[_Row]]+Tasks[[#This Row],[_Descendants]])),Tasks[[#This Row],[_LeafTotalWork]]))</f>
        <v/>
      </c>
      <c r="BF43" s="23"/>
      <c r="BG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t="str">
        <f aca="false">""</f>
        <v/>
      </c>
      <c r="BI43" s="86"/>
      <c r="BJ43" s="22"/>
      <c r="BK43" s="46" t="str">
        <f aca="false">IF(OR(Tasks[[#This Row],[Task Name]]="",Tasks[[#This Row],[Baseline Duration]]=""),"",Tasks[[#This Row],[_SpanDays]]-N(Tasks[[#This Row],[Baseline Duration]]))</f>
        <v/>
      </c>
      <c r="BL43" s="85" t="str">
        <f aca="false">IF(OR(Tasks[[#This Row],[Task Name]]="",Tasks[[#This Row],[Baseline Work]]=""),"",Tasks[[#This Row],[Work]]-N(Tasks[[#This Row],[Baseline Work]]))</f>
        <v/>
      </c>
      <c r="BM43" s="62" t="str">
        <f aca="false">IF(Tasks[[#This Row],[Task Name]]="","",IF(OR(TakeBaseline="Yes",N(Tasks[[#This Row],[Baseline Start]])=0),Tasks[[#This Row],[Start]],Tasks[[#This Row],[Baseline Start]]))</f>
        <v/>
      </c>
      <c r="BN43" s="62" t="str">
        <f aca="false">IF(Tasks[[#This Row],[Task Name]]="","",IF(OR(TakeBaseline="Yes",N(Tasks[[#This Row],[Baseline Finish]])=0),Tasks[[#This Row],[Finish]],Tasks[[#This Row],[Baseline Finish]]))</f>
        <v/>
      </c>
      <c r="BO43" s="21" t="str">
        <f aca="false">IF(Tasks[[#This Row],[Task Name]]="","",IF(OR(TakeBaseline="Yes",N(Tasks[[#This Row],[Baseline Duration]])=0),Tasks[[#This Row],[_SpanDays]],Tasks[[#This Row],[Baseline Duration]]))</f>
        <v/>
      </c>
      <c r="BP43" s="85" t="str">
        <f aca="false">IF(Tasks[[#This Row],[Task Name]]="","",IF(OR(TakeBaseline="Yes",N(Tasks[[#This Row],[Baseline Work]])=0),Tasks[[#This Row],[Work]],Tasks[[#This Row],[Baseline Work]]))</f>
        <v/>
      </c>
      <c r="BQ43" s="7"/>
      <c r="BR43" s="7"/>
      <c r="BS43" s="22"/>
      <c r="BT43" s="87"/>
      <c r="BU43" s="42" t="str">
        <f aca="false">IF(Tasks[[#This Row],[Task Name]]="","",MAX(1,N(Tasks[[#This Row],[Level]])))</f>
        <v/>
      </c>
      <c r="BV43" s="42" t="n">
        <f aca="false">ROW()-ROW(Tasks[[#Headers],[ID]])</f>
        <v>38</v>
      </c>
      <c r="BW43" s="42" t="n">
        <f aca="false">IF(OR(Tasks[[#This Row],[Task Name]]="",Tasks[[#This Row],[_Level]]&lt;=1),0,IFERROR(LOOKUP(2,1/(Tasks[[#Headers],[_Level]]:Tasks[[#This Row],[_Level]]=Tasks[[#This Row],[_Level]]-1),ROW(Tasks[[#Headers],[_Level]]:Tasks[[#This Row],[_Level]])),0))</f>
        <v>0</v>
      </c>
      <c r="BX43" s="42" t="n">
        <f aca="false">IFERROR(N(INDEX(Tasks[_Level],Tasks[[#This Row],[_Row]]+1)),0)</f>
        <v>0</v>
      </c>
      <c r="BY43" s="88" t="b">
        <f aca="false">AND(Tasks[[#This Row],[Task Name]]&lt;&gt;"",Tasks[[#This Row],[_NextLevel]]&gt;Tasks[[#This Row],[_Level]])</f>
        <v>0</v>
      </c>
      <c r="BZ43" s="42" t="n">
        <f aca="false">IF(Tasks[[#This Row],[_IsSummary]],COUNTIF(Tasks[WBS],Tasks[[#This Row],[WBS]]&amp;".*"),0)</f>
        <v>0</v>
      </c>
      <c r="CA43" s="42" t="n">
        <f aca="false">IF(AND(Tasks[[#This Row],[Task Name]]&lt;&gt;"",NOT(Tasks[[#This Row],[_IsSummary]])),1,0)</f>
        <v>0</v>
      </c>
      <c r="CB43" s="42" t="n">
        <f aca="false">IF(N(Tasks[[#This Row],[_Pred1UID]])=0,0,IFERROR(MATCH(Tasks[[#This Row],[_Pred1UID]],Tasks[UID],0),-1))</f>
        <v>0</v>
      </c>
      <c r="CC43" s="42" t="n">
        <f aca="false">IF(N(Tasks[[#This Row],[_Pred2UID]])=0,0,IFERROR(MATCH(Tasks[[#This Row],[_Pred2UID]],Tasks[UID],0),-1))</f>
        <v>0</v>
      </c>
      <c r="CD43" s="42" t="n">
        <f aca="false">IF(N(Tasks[[#This Row],[_Pred3UID]])=0,0,IFERROR(MATCH(Tasks[[#This Row],[_Pred3UID]],Tasks[UID],0),-1))</f>
        <v>0</v>
      </c>
      <c r="CE43" s="42" t="n">
        <f aca="false">IF(N(Tasks[[#This Row],[_Pred4UID]])=0,0,IFERROR(MATCH(Tasks[[#This Row],[_Pred4UID]],Tasks[UID],0),-1))</f>
        <v>0</v>
      </c>
      <c r="CF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3" s="89" t="n">
        <f aca="false">IF(OR(Tasks[[#This Row],[_ConstraintCode]]=2,Tasks[[#This Row],[_ConstraintCode]]=3,Tasks[[#This Row],[_ConstraintCode]]=4,Tasks[[#This Row],[_ConstraintCode]]=6),Tasks[[#This Row],[_ConstraintStart]],0)</f>
        <v>0</v>
      </c>
      <c r="CI43" s="89" t="n">
        <f aca="false">IF(OR(Tasks[[#This Row],[_ConstraintCode]]=2,Tasks[[#This Row],[_ConstraintCode]]=3,Tasks[[#This Row],[_ConstraintCode]]=5,Tasks[[#This Row],[_ConstraintCode]]=7),Tasks[[#This Row],[_ConstraintStart]],2958465)</f>
        <v>2958465</v>
      </c>
      <c r="CJ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3" s="89" t="str">
        <f aca="false">IF(NOT(Tasks[[#This Row],[_IsLeaf]]=1),"",IF(N(Tasks[[#This Row],[_Days]])&lt;=0,Tasks[[#This Row],[_LeafCalcStart]],WORKDAY.INTL(Tasks[[#This Row],[_LeafCalcStart]],Tasks[[#This Row],[_Days]]-1,WorkWeek,Holidays)))</f>
        <v/>
      </c>
      <c r="CL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3" s="42" t="str">
        <f aca="false">IF(Tasks[[#This Row],[_Predecessors]]="","",TRIM(MID(SUBSTITUTE(SUBSTITUTE(SUBSTITUTE(UPPER(Tasks[[#This Row],[_Predecessors]]),";",",")," ",""),",",REPT(" ",99)),1,99)))</f>
        <v/>
      </c>
      <c r="CO43" s="42" t="str">
        <f aca="false">IF(Tasks[[#This Row],[_Pred1Text]]="","",IFERROR(VALUE(LEFT(Tasks[[#This Row],[_Pred1Text]],MIN(FIND("F",Tasks[[#This Row],[_Pred1Text]]&amp;"F"),FIND("S",Tasks[[#This Row],[_Pred1Text]]&amp;"S"),FIND("+",Tasks[[#This Row],[_Pred1Text]]&amp;"+"),FIND("-",Tasks[[#This Row],[_Pred1Text]]&amp;"-"))-1)),""))</f>
        <v/>
      </c>
      <c r="CP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3" s="42" t="str">
        <f aca="false">IF(Tasks[[#This Row],[_Pred1Text]]="","",TRIM(MID(SUBSTITUTE(SUBSTITUTE(SUBSTITUTE(UPPER(Tasks[[#This Row],[_Predecessors]]),";",",")," ",""),",",REPT(" ",99)),100,99)))</f>
        <v/>
      </c>
      <c r="CS43" s="42" t="str">
        <f aca="false">IF(Tasks[[#This Row],[_Pred2Text]]="","",IFERROR(VALUE(LEFT(Tasks[[#This Row],[_Pred2Text]],MIN(FIND("F",Tasks[[#This Row],[_Pred2Text]]&amp;"F"),FIND("S",Tasks[[#This Row],[_Pred2Text]]&amp;"S"),FIND("+",Tasks[[#This Row],[_Pred2Text]]&amp;"+"),FIND("-",Tasks[[#This Row],[_Pred2Text]]&amp;"-"))-1)),""))</f>
        <v/>
      </c>
      <c r="CT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3" s="42" t="str">
        <f aca="false">IF(Tasks[[#This Row],[_Pred2Text]]="","",TRIM(MID(SUBSTITUTE(SUBSTITUTE(SUBSTITUTE(UPPER(Tasks[[#This Row],[_Predecessors]]),";",",")," ",""),",",REPT(" ",99)),199,99)))</f>
        <v/>
      </c>
      <c r="CW43" s="42" t="str">
        <f aca="false">IF(Tasks[[#This Row],[_Pred3Text]]="","",IFERROR(VALUE(LEFT(Tasks[[#This Row],[_Pred3Text]],MIN(FIND("F",Tasks[[#This Row],[_Pred3Text]]&amp;"F"),FIND("S",Tasks[[#This Row],[_Pred3Text]]&amp;"S"),FIND("+",Tasks[[#This Row],[_Pred3Text]]&amp;"+"),FIND("-",Tasks[[#This Row],[_Pred3Text]]&amp;"-"))-1)),""))</f>
        <v/>
      </c>
      <c r="CX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3" s="42" t="str">
        <f aca="false">IF(Tasks[[#This Row],[_Pred3Text]]="","",TRIM(MID(SUBSTITUTE(SUBSTITUTE(SUBSTITUTE(UPPER(Tasks[[#This Row],[_Predecessors]]),";",",")," ",""),",",REPT(" ",99)),298,99)))</f>
        <v/>
      </c>
      <c r="DA43" s="42" t="str">
        <f aca="false">IF(Tasks[[#This Row],[_Pred4Text]]="","",IFERROR(VALUE(LEFT(Tasks[[#This Row],[_Pred4Text]],MIN(FIND("F",Tasks[[#This Row],[_Pred4Text]]&amp;"F"),FIND("S",Tasks[[#This Row],[_Pred4Text]]&amp;"S"),FIND("+",Tasks[[#This Row],[_Pred4Text]]&amp;"+"),FIND("-",Tasks[[#This Row],[_Pred4Text]]&amp;"-"))-1)),""))</f>
        <v/>
      </c>
      <c r="DB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3" s="42" t="str">
        <f aca="false">IF(OR(Tasks[[#This Row],[Task Name]]="",Tasks[[#This Row],[_Resources]]=""),"",TRIM(MID(SUBSTITUTE(Tasks[[#This Row],[_Resources]],",",REPT(" ",99)),1,99)))</f>
        <v/>
      </c>
      <c r="DE43" s="42" t="str">
        <f aca="false">IF(Tasks[[#This Row],[_Res1Text]]="","",TRIM(MID(SUBSTITUTE(Tasks[[#This Row],[_Resources]],",",REPT(" ",99)),100,99)))</f>
        <v/>
      </c>
      <c r="DF43" s="42" t="str">
        <f aca="false">IF(Tasks[[#This Row],[_Res2Text]]="","",TRIM(MID(SUBSTITUTE(Tasks[[#This Row],[_Resources]],",",REPT(" ",99)),199,99)))</f>
        <v/>
      </c>
      <c r="DG43" s="42" t="str">
        <f aca="false">IF(Tasks[[#This Row],[_Res3Text]]="","",TRIM(MID(SUBSTITUTE(Tasks[[#This Row],[_Resources]],",",REPT(" ",99)),298,99)))</f>
        <v/>
      </c>
      <c r="DH43" s="42" t="n">
        <f aca="false">IF(Tasks[[#This Row],[_Res1Text]]="",0,IFERROR(MATCH(TRIM(LEFT(Tasks[[#This Row],[_Res1Text]],FIND("[",Tasks[[#This Row],[_Res1Text]]&amp;"[")-1)),res_Name,0),IFERROR(MATCH(TRIM(LEFT(Tasks[[#This Row],[_Res1Text]],FIND("[",Tasks[[#This Row],[_Res1Text]]&amp;"[")-1)),res_Initials,0),0)))</f>
        <v>0</v>
      </c>
      <c r="DI43" s="42" t="n">
        <f aca="false">IF(Tasks[[#This Row],[_Res2Text]]="",0,IFERROR(MATCH(TRIM(LEFT(Tasks[[#This Row],[_Res2Text]],FIND("[",Tasks[[#This Row],[_Res2Text]]&amp;"[")-1)),res_Name,0),IFERROR(MATCH(TRIM(LEFT(Tasks[[#This Row],[_Res2Text]],FIND("[",Tasks[[#This Row],[_Res2Text]]&amp;"[")-1)),res_Initials,0),0)))</f>
        <v>0</v>
      </c>
      <c r="DJ43" s="42" t="n">
        <f aca="false">IF(Tasks[[#This Row],[_Res3Text]]="",0,IFERROR(MATCH(TRIM(LEFT(Tasks[[#This Row],[_Res3Text]],FIND("[",Tasks[[#This Row],[_Res3Text]]&amp;"[")-1)),res_Name,0),IFERROR(MATCH(TRIM(LEFT(Tasks[[#This Row],[_Res3Text]],FIND("[",Tasks[[#This Row],[_Res3Text]]&amp;"[")-1)),res_Initials,0),0)))</f>
        <v>0</v>
      </c>
      <c r="DK43" s="42" t="n">
        <f aca="false">IF(Tasks[[#This Row],[_Res4Text]]="",0,IFERROR(MATCH(TRIM(LEFT(Tasks[[#This Row],[_Res4Text]],FIND("[",Tasks[[#This Row],[_Res4Text]]&amp;"[")-1)),res_Name,0),IFERROR(MATCH(TRIM(LEFT(Tasks[[#This Row],[_Res4Text]],FIND("[",Tasks[[#This Row],[_Res4Text]]&amp;"[")-1)),res_Initials,0),0)))</f>
        <v>0</v>
      </c>
      <c r="DL43" s="42" t="str">
        <f aca="false">IF(Tasks[[#This Row],[_Res1Text]]="","",IF(Tasks[[#This Row],[_Res1Row]]&gt;0,INDEX(res_Name,Tasks[[#This Row],[_Res1Row]]),TRIM(LEFT(Tasks[[#This Row],[_Res1Text]],FIND("[",Tasks[[#This Row],[_Res1Text]]&amp;"[")-1))))</f>
        <v/>
      </c>
      <c r="DM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3" s="42" t="n">
        <f aca="false">IF(NOT(Tasks[[#This Row],[_IsLeaf]]=1),0,(Tasks[[#This Row],[_Resource1]]&lt;&gt;"")+(Tasks[[#This Row],[_Res2]]&lt;&gt;"")+(Tasks[[#This Row],[_Res3]]&lt;&gt;"")+(Tasks[[#This Row],[_Res4]]&lt;&gt;""))</f>
        <v>0</v>
      </c>
      <c r="DO43" s="42" t="str">
        <f aca="false">IF(Tasks[[#This Row],[_Res2Text]]="","",IF(Tasks[[#This Row],[_Res2Row]]&gt;0,INDEX(res_Name,Tasks[[#This Row],[_Res2Row]]),TRIM(LEFT(Tasks[[#This Row],[_Res2Text]],FIND("[",Tasks[[#This Row],[_Res2Text]]&amp;"[")-1))))</f>
        <v/>
      </c>
      <c r="DP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3" s="42" t="n">
        <f aca="false">IF(OR(NOT(Tasks[[#This Row],[_IsLeaf]]=1),Tasks[[#This Row],[_Res2Row]]=0),0,N(Tasks[[#This Row],[_Days]])*HoursPerDay*IF(Tasks[[#This Row],[_Res2Units]]="",DefaultUnits,Tasks[[#This Row],[_Res2Units]]))</f>
        <v>0</v>
      </c>
      <c r="DR43" s="42" t="n">
        <f aca="false">IF(AND(AND(Tasks[[#This Row],[_IsLeaf]]=1,Tasks[[#This Row],[_LeafTotalWork]]&gt;0),Tasks[[#This Row],[_Res2Work]]&gt;0),Tasks[[#This Row],[_Res2Work]]/(Tasks[[#This Row],[_FinishWorkday]]-Tasks[[#This Row],[_StartWorkday]]+1),0)</f>
        <v>0</v>
      </c>
      <c r="DS43" s="42" t="n">
        <f aca="false">Tasks[[#This Row],[_Res2WorkPerWD]]*MAX(0,Tasks[[#This Row],[_StartWorkday]]-1)</f>
        <v>0</v>
      </c>
      <c r="DT43" s="42" t="n">
        <f aca="false">Tasks[[#This Row],[_Res2Work]]*Tasks[[#This Row],[_LeafProgress]]</f>
        <v>0</v>
      </c>
      <c r="DU43" s="42" t="str">
        <f aca="false">IF(Tasks[[#This Row],[_Res3Text]]="","",IF(Tasks[[#This Row],[_Res3Row]]&gt;0,INDEX(res_Name,Tasks[[#This Row],[_Res3Row]]),TRIM(LEFT(Tasks[[#This Row],[_Res3Text]],FIND("[",Tasks[[#This Row],[_Res3Text]]&amp;"[")-1))))</f>
        <v/>
      </c>
      <c r="DV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3" s="42" t="n">
        <f aca="false">IF(OR(NOT(Tasks[[#This Row],[_IsLeaf]]=1),Tasks[[#This Row],[_Res3Row]]=0),0,N(Tasks[[#This Row],[_Days]])*HoursPerDay*IF(Tasks[[#This Row],[_Res3Units]]="",DefaultUnits,Tasks[[#This Row],[_Res3Units]]))</f>
        <v>0</v>
      </c>
      <c r="DX43" s="42" t="n">
        <f aca="false">IF(AND(AND(Tasks[[#This Row],[_IsLeaf]]=1,Tasks[[#This Row],[_LeafTotalWork]]&gt;0),Tasks[[#This Row],[_Res3Work]]&gt;0),Tasks[[#This Row],[_Res3Work]]/(Tasks[[#This Row],[_FinishWorkday]]-Tasks[[#This Row],[_StartWorkday]]+1),0)</f>
        <v>0</v>
      </c>
      <c r="DY43" s="42" t="n">
        <f aca="false">Tasks[[#This Row],[_Res3WorkPerWD]]*MAX(0,Tasks[[#This Row],[_StartWorkday]]-1)</f>
        <v>0</v>
      </c>
      <c r="DZ43" s="42" t="n">
        <f aca="false">Tasks[[#This Row],[_Res3Work]]*Tasks[[#This Row],[_LeafProgress]]</f>
        <v>0</v>
      </c>
      <c r="EA43" s="42" t="str">
        <f aca="false">IF(Tasks[[#This Row],[_Res4Text]]="","",IF(Tasks[[#This Row],[_Res4Row]]&gt;0,INDEX(res_Name,Tasks[[#This Row],[_Res4Row]]),TRIM(LEFT(Tasks[[#This Row],[_Res4Text]],FIND("[",Tasks[[#This Row],[_Res4Text]]&amp;"[")-1))))</f>
        <v/>
      </c>
      <c r="EB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3" s="42" t="n">
        <f aca="false">IF(OR(NOT(Tasks[[#This Row],[_IsLeaf]]=1),Tasks[[#This Row],[_Res4Row]]=0),0,N(Tasks[[#This Row],[_Days]])*HoursPerDay*IF(Tasks[[#This Row],[_Res4Units]]="",DefaultUnits,Tasks[[#This Row],[_Res4Units]]))</f>
        <v>0</v>
      </c>
      <c r="ED43" s="42" t="n">
        <f aca="false">IF(AND(AND(Tasks[[#This Row],[_IsLeaf]]=1,Tasks[[#This Row],[_LeafTotalWork]]&gt;0),Tasks[[#This Row],[_Res4Work]]&gt;0),Tasks[[#This Row],[_Res4Work]]/(Tasks[[#This Row],[_FinishWorkday]]-Tasks[[#This Row],[_StartWorkday]]+1),0)</f>
        <v>0</v>
      </c>
      <c r="EE43" s="42" t="n">
        <f aca="false">Tasks[[#This Row],[_Res4WorkPerWD]]*MAX(0,Tasks[[#This Row],[_StartWorkday]]-1)</f>
        <v>0</v>
      </c>
      <c r="EF43" s="42" t="n">
        <f aca="false">Tasks[[#This Row],[_Res4Work]]*Tasks[[#This Row],[_LeafProgress]]</f>
        <v>0</v>
      </c>
      <c r="EG43" s="42" t="n">
        <f aca="false">IF(ISNUMBER(Tasks[[#This Row],[% Complete]]),Tasks[[#This Row],[% Complete]],IF(Tasks[[#This Row],[Stage]]="",0,IFERROR(INDEX(stg_Pct,MATCH(Tasks[[#This Row],[Stage]],stg_Name,0)),0)))</f>
        <v>0</v>
      </c>
      <c r="EH43" s="42" t="n">
        <f aca="false">IF(NOT(Tasks[[#This Row],[_IsLeaf]]=1),0,IF(N(Tasks[[#This Row],[Actual Finish]])&gt;0,1,MIN(1,Tasks[[#This Row],[_Pct]])))</f>
        <v>0</v>
      </c>
      <c r="EI43" s="42" t="n">
        <f aca="false">IF(OR(NOT(Tasks[[#This Row],[_IsLeaf]]=1),Tasks[[#This Row],[_Res1Row]]=0),0,N(Tasks[[#This Row],[_Days]])*HoursPerDay*IF(Tasks[[#This Row],[_Units1]]="",DefaultUnits,Tasks[[#This Row],[_Units1]]))</f>
        <v>0</v>
      </c>
      <c r="EJ43" s="42" t="n">
        <f aca="false">Tasks[[#This Row],[_LeafWork]]+Tasks[[#This Row],[_Res2Work]]+Tasks[[#This Row],[_Res3Work]]+Tasks[[#This Row],[_Res4Work]]</f>
        <v>0</v>
      </c>
      <c r="EK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3" s="42" t="n">
        <f aca="false">IF(NOT(Tasks[[#This Row],[_IsLeaf]]=1),0,MAX(_xlfn.MAXIFS(Tasks[_Row],Tasks[_Pred1UID],Tasks[[#This Row],[UID]]),_xlfn.MAXIFS(Tasks[_Row],Tasks[_Pred2UID],Tasks[[#This Row],[UID]]),_xlfn.MAXIFS(Tasks[_Row],Tasks[_Pred3UID],Tasks[[#This Row],[UID]]),_xlfn.MAXIFS(Tasks[_Row],Tasks[_Pred4UID],Tasks[[#This Row],[UID]])))</f>
        <v>0</v>
      </c>
      <c r="ET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3" s="89" t="str">
        <f aca="false">IF(NOT(Tasks[[#This Row],[_IsLeaf]]=1),"",IF(N(Tasks[[#This Row],[_Days]])&lt;=0,Tasks[[#This Row],[_LeafLateFinish]],WORKDAY.INTL(Tasks[[#This Row],[_LeafLateFinish]],-(Tasks[[#This Row],[_Days]]-1),WorkWeek,Holidays)))</f>
        <v/>
      </c>
      <c r="EW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3" s="88" t="b">
        <f aca="false">AND(Tasks[[#This Row],[_IsLeaf]]=1,Tasks[[#This Row],[_LeafProgress]]&lt;1,N(Tasks[[#This Row],[_LeafTotalSlack]])&lt;=CriticalSlackDays)</f>
        <v>0</v>
      </c>
      <c r="EY43" s="42" t="n">
        <f aca="false">IF(AND(Tasks[[#This Row],[_IsLeaf]]=1,Tasks[[#This Row],[_ConstraintCode]]=1,Tasks[[#This Row],[Mode]]&lt;&gt;"Manual",N(Tasks[[#This Row],[Actual Start]])=0),MAX(0,N(Tasks[[#This Row],[Free Slack]])),0)</f>
        <v>0</v>
      </c>
      <c r="EZ43" s="89" t="str">
        <f aca="false">IF(NOT(Tasks[[#This Row],[_IsLeaf]]=1),"",IF(Tasks[[#This Row],[_AlapShift]]=0,Tasks[[#This Row],[_LeafCalcStart]],WORKDAY.INTL(Tasks[[#This Row],[_LeafCalcStart]],Tasks[[#This Row],[_AlapShift]],WorkWeek,Holidays)))</f>
        <v/>
      </c>
      <c r="FA43" s="89" t="str">
        <f aca="false">IF(NOT(Tasks[[#This Row],[_IsLeaf]]=1),"",IF(Tasks[[#This Row],[_AlapShift]]=0,Tasks[[#This Row],[_LeafCalcFinish]],WORKDAY.INTL(Tasks[[#This Row],[_LeafCalcFinish]],Tasks[[#This Row],[_AlapShift]],WorkWeek,Holidays)))</f>
        <v/>
      </c>
      <c r="FB43" s="89" t="str">
        <f aca="false">IF(NOT(Tasks[[#This Row],[_IsLeaf]]=1),"",IF(Tasks[[#This Row],[_AlapShift]]=0,Tasks[[#This Row],[_LeafFcstStart]],WORKDAY.INTL(Tasks[[#This Row],[_LeafFcstStart]],Tasks[[#This Row],[_AlapShift]],WorkWeek,Holidays)))</f>
        <v/>
      </c>
      <c r="FC43" s="89" t="str">
        <f aca="false">IF(NOT(Tasks[[#This Row],[_IsLeaf]]=1),"",IF(Tasks[[#This Row],[_AlapShift]]=0,Tasks[[#This Row],[_LeafFcstFinish]],WORKDAY.INTL(Tasks[[#This Row],[_LeafFcstFinish]],Tasks[[#This Row],[_AlapShift]],WorkWeek,Holidays)))</f>
        <v/>
      </c>
      <c r="FD43" s="89" t="str">
        <f aca="false">IF(Tasks[[#This Row],[Task Name]]="","",IF(Tasks[[#This Row],[_IsSummary]],MIN(INDEX(Tasks[_ShownCalcStart],Tasks[[#This Row],[_Row]]+1):INDEX(Tasks[_ShownCalcStart],Tasks[[#This Row],[_Row]]+Tasks[[#This Row],[_Descendants]])),Tasks[[#This Row],[_ShownCalcStart]]))</f>
        <v/>
      </c>
      <c r="FE43" s="89" t="str">
        <f aca="false">IF(Tasks[[#This Row],[Task Name]]="","",IF(Tasks[[#This Row],[_IsSummary]],MAX(INDEX(Tasks[_ShownCalcFinish],Tasks[[#This Row],[_Row]]+1):INDEX(Tasks[_ShownCalcFinish],Tasks[[#This Row],[_Row]]+Tasks[[#This Row],[_Descendants]])),Tasks[[#This Row],[_ShownCalcFinish]]))</f>
        <v/>
      </c>
      <c r="FF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3" s="42" t="n">
        <f aca="false">IF(AND(Tasks[[#This Row],[_IsLeaf]]=1,Tasks[[#This Row],[_LeafTotalWork]]&gt;0),NETWORKDAYS.INTL(ProjectStart,Tasks[[#This Row],[_ShownFcstStart]],WorkWeek,Holidays),0)</f>
        <v>0</v>
      </c>
      <c r="FS43" s="42" t="n">
        <f aca="false">IF(AND(Tasks[[#This Row],[_IsLeaf]]=1,Tasks[[#This Row],[_LeafTotalWork]]&gt;0),MAX(Tasks[[#This Row],[_StartWorkday]],NETWORKDAYS.INTL(ProjectStart,Tasks[[#This Row],[_ShownFcstFinish]],WorkWeek,Holidays)),0)</f>
        <v>0</v>
      </c>
      <c r="FT43" s="42" t="n">
        <f aca="false">IF(AND(Tasks[[#This Row],[_IsLeaf]]=1,Tasks[[#This Row],[_LeafTotalWork]]&gt;0),Tasks[[#This Row],[_LeafWork]]/(Tasks[[#This Row],[_FinishWorkday]]-Tasks[[#This Row],[_StartWorkday]]+1),0)</f>
        <v>0</v>
      </c>
      <c r="FU43" s="42" t="n">
        <f aca="false">Tasks[[#This Row],[_WorkPerWorkday]]*(Tasks[[#This Row],[_StartWorkday]]-1)</f>
        <v>-0</v>
      </c>
      <c r="FV43" s="42" t="n">
        <f aca="false">IF(Tasks[[#This Row],[_IsLeaf]]=1,MAX(N(Tasks[[#This Row],[_Days]]),0.1),0)</f>
        <v>0</v>
      </c>
      <c r="FW43" s="42" t="n">
        <f aca="false">Tasks[[#This Row],[_WeightDur]]*Tasks[[#This Row],[_LeafProgress]]</f>
        <v>0</v>
      </c>
      <c r="FX43" s="42" t="n">
        <f aca="false">Tasks[[#This Row],[_WeightDur]]*Tasks[[#This Row],[_PlannedPct]]</f>
        <v>0</v>
      </c>
      <c r="FY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3" s="42" t="str">
        <f aca="false">IF(AND(Tasks[[#This Row],[_IsLeaf]]=1,N(Tasks[[#This Row],[_Days]])=0,Tasks[[#This Row],[_LeafProgress]]&lt;1),Tasks[[#This Row],[_ShownFcstFinish]]+Tasks[[#This Row],[_Row]]/100000,"")</f>
        <v/>
      </c>
      <c r="GA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3" s="42" t="str">
        <f aca="false">IF(Tasks[[#This Row],[Task Name]]="","",LEFT(Tasks[[#This Row],[WBS]],FIND(".",Tasks[[#This Row],[WBS]]&amp;".")-1))</f>
        <v/>
      </c>
      <c r="GC43" s="42" t="str">
        <f aca="false">IF(AND(Tasks[[#This Row],[Task Name]]&lt;&gt;"",Tasks[[#This Row],[_Level]]=1),Tasks[[#This Row],[_Row]],"")</f>
        <v/>
      </c>
      <c r="GD43" s="42" t="str">
        <f aca="false">IF(AND(Tasks[[#This Row],[_IsLeaf]]=1,N(Tasks[[#This Row],[_Days]])=0),Tasks[[#This Row],[Planned Finish]]+Tasks[[#This Row],[_Row]]/100000,"")</f>
        <v/>
      </c>
      <c r="GE43" s="42" t="str">
        <f aca="false">IF(AND(Tasks[[#This Row],[_IsLeaf]]=1,Tasks[[#This Row],[_LeafProgress]]&lt;1,OR(N(Tasks[[#This Row],[Finish Var]])&gt;0,Tasks[[#This Row],[Status]]="Late Start")),MAX(0,Tasks[[#This Row],[Finish Var]])+1-Tasks[[#This Row],[_Row]]/1000000,"")</f>
        <v/>
      </c>
      <c r="GF43" s="42" t="str">
        <f aca="false">IF(AND(Tasks[[#This Row],[_IsLeaf]]=1,N(Tasks[[#This Row],[Actual Start]])=0,Tasks[[#This Row],[_ShownFcstStart]]&gt;=StatusDate,Tasks[[#This Row],[_ShownFcstStart]]&lt;=LookaheadEnd),Tasks[[#This Row],[_ShownFcstStart]]+Tasks[[#This Row],[_Row]]/100000,"")</f>
        <v/>
      </c>
      <c r="GG43" s="42" t="str">
        <f aca="false">IF(AND(Tasks[[#This Row],[_IsLeaf]]=1,Tasks[[#This Row],[_LeafProgress]]&lt;1,Tasks[[#This Row],[_ShownFcstFinish]]&gt;=StatusDate,Tasks[[#This Row],[_ShownFcstFinish]]&lt;=LookaheadEnd),Tasks[[#This Row],[_ShownFcstFinish]]+Tasks[[#This Row],[_Row]]/100000,"")</f>
        <v/>
      </c>
      <c r="GH43" s="42" t="str">
        <f aca="false">IF(Tasks[[#This Row],[_LeafCritical]],Tasks[[#This Row],[_ShownFcstStart]]+Tasks[[#This Row],[_Row]]/100000,"")</f>
        <v/>
      </c>
      <c r="GI43" s="42" t="n">
        <f aca="false">Tasks[[#This Row],[_LeafWork]]*Tasks[[#This Row],[_LeafProgress]]</f>
        <v>0</v>
      </c>
      <c r="GJ43" s="89" t="str">
        <f aca="false">IF(AND(Tasks[[#This Row],[_IsLeaf]]=1,Tasks[[#This Row],[_LeafProgress]]&gt;=1),IF(N(Tasks[[#This Row],[Actual Finish]])&gt;0,Tasks[[#This Row],[Actual Finish]],Tasks[[#This Row],[_ShownFcstFinish]]),"")</f>
        <v/>
      </c>
      <c r="GK43" s="42" t="n">
        <f aca="false">IF(Tasks[[#This Row],[_IsLeaf]]=1,N(Tasks[[#This Row],[Story Points]]),0)</f>
        <v>0</v>
      </c>
      <c r="GL43" s="42" t="str">
        <f aca="false">""</f>
        <v/>
      </c>
      <c r="GM43" s="88" t="b">
        <f aca="false">IF(Tasks[[#This Row],[Task Name]]="",FALSE(),AND(Tasks[[#This Row],[_IsLeaf]]=1,N(Tasks[[#This Row],[_Days]])=0))</f>
        <v>0</v>
      </c>
      <c r="GN43" s="89" t="n">
        <f aca="false">IF(Tasks[[#This Row],[Task Name]]="",0,IF(AND(Tasks[[#This Row],[_IsLeaf]]=1,NOT(Tasks[[#This Row],[_IsMilestone]]),N(Tasks[[#This Row],[Progress]])&gt;0),Tasks[[#This Row],[Start]],0))</f>
        <v>0</v>
      </c>
      <c r="GO43" s="89" t="n">
        <f aca="false">IF(Tasks[[#This Row],[_DoneFrom]]=0,0,IF(Tasks[[#This Row],[Progress]]&gt;=1,Tasks[[#This Row],[Finish]],MAX(Tasks[[#This Row],[_DoneFrom]],Tasks[[#This Row],[Start]]+ROUND((Tasks[[#This Row],[Finish]]-Tasks[[#This Row],[Start]]+1)*Tasks[[#This Row],[Progress]],0)-1)))</f>
        <v>0</v>
      </c>
      <c r="GP43" s="89" t="n">
        <f aca="false">IF(Tasks[[#This Row],[Task Name]]="",0,IF(OR(NOT(Tasks[[#This Row],[_IsLeaf]]=1),Tasks[[#This Row],[_IsMilestone]],N(Tasks[[#This Row],[Progress]])&gt;=1),0,IF(Tasks[[#This Row],[_DoneTo]]&gt;0,Tasks[[#This Row],[_DoneTo]]+1,Tasks[[#This Row],[Start]])))</f>
        <v>0</v>
      </c>
      <c r="GQ43" s="89" t="n">
        <f aca="false">IF(Tasks[[#This Row],[_RemFrom]]=0,0,Tasks[[#This Row],[Finish]])</f>
        <v>0</v>
      </c>
      <c r="GR43" s="88" t="b">
        <f aca="false">IF(Tasks[[#This Row],[Task Name]]="",FALSE(),OR(NOT(BaselineSet),N(Tasks[[#This Row],[Baseline Start]])&gt;0))</f>
        <v>0</v>
      </c>
      <c r="GS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3" s="90" t="str">
        <f aca="false">IF(Tasks[[#This Row],[_IsLeaf]]=1,Tasks[[#This Row],[_Row]],"")</f>
        <v/>
      </c>
      <c r="GW43" s="90" t="str">
        <f aca="false">IFERROR(INDEX(Tasks[UID],SMALL(Tasks[_PickKey],Tasks[[#This Row],[_Row]]))&amp;" "&amp;INDEX(Tasks[Task Name],SMALL(Tasks[_PickKey],Tasks[[#This Row],[_Row]])),"")</f>
        <v/>
      </c>
      <c r="GX43" s="42" t="str">
        <f aca="false">IF(Tasks[[#This Row],[Task Name]]="","",IF(Tasks[[#This Row],[_IsSummary]],NETWORKDAYS.INTL(Tasks[[#This Row],[Start]],Tasks[[#This Row],[Finish]],WorkWeek,Holidays),N(Tasks[[#This Row],[_Days]])))</f>
        <v/>
      </c>
    </row>
    <row r="44" customFormat="false" ht="15" hidden="false" customHeight="false" outlineLevel="0" collapsed="false">
      <c r="A44" s="21" t="str">
        <f aca="false">IF(Tasks[[#This Row],[Task Name]]="","",COUNTA(Tasks[[#Headers],[Task Name]]:Tasks[[#This Row],[Task Name]])-1)</f>
        <v/>
      </c>
      <c r="B44" s="22" t="n">
        <v>52</v>
      </c>
      <c r="C44" s="22"/>
      <c r="D44" s="23"/>
      <c r="E44" s="22"/>
      <c r="F44" s="23"/>
      <c r="G44" s="22"/>
      <c r="H44" s="22"/>
      <c r="I44" s="23"/>
      <c r="J44" s="22"/>
      <c r="K44" s="22"/>
      <c r="L44" s="23"/>
      <c r="M44" s="22"/>
      <c r="N44" s="22"/>
      <c r="O44" s="23"/>
      <c r="P44" s="22"/>
      <c r="Q44" s="22"/>
      <c r="R44" s="23"/>
      <c r="S44" s="23"/>
      <c r="T44" s="83"/>
      <c r="U44" s="23"/>
      <c r="V44" s="83"/>
      <c r="W44" s="23"/>
      <c r="X44" s="83"/>
      <c r="Y44" s="23"/>
      <c r="Z44" s="83"/>
      <c r="AA44" s="23"/>
      <c r="AB44" s="23"/>
      <c r="AC44" s="7"/>
      <c r="AD44" s="7"/>
      <c r="AE44" s="62" t="str">
        <f aca="false">IF(Tasks[[#This Row],[Task Name]]="","",IF(Tasks[[#This Row],[_IsSummary]],MIN(INDEX(Tasks[_ShownFcstStart],Tasks[[#This Row],[_Row]]+1):INDEX(Tasks[_ShownFcstStart],Tasks[[#This Row],[_Row]]+Tasks[[#This Row],[_Descendants]])),Tasks[[#This Row],[_ShownFcstStart]]))</f>
        <v/>
      </c>
      <c r="AF44" s="62" t="str">
        <f aca="false">IF(Tasks[[#This Row],[Task Name]]="","",IF(Tasks[[#This Row],[_IsSummary]],MAX(INDEX(Tasks[_ShownFcstFinish],Tasks[[#This Row],[_Row]]+1):INDEX(Tasks[_ShownFcstFinish],Tasks[[#This Row],[_Row]]+Tasks[[#This Row],[_Descendants]])),Tasks[[#This Row],[_ShownFcstFinish]]))</f>
        <v/>
      </c>
      <c r="AG44" s="21" t="str">
        <f aca="false">""</f>
        <v/>
      </c>
      <c r="AH44" s="23"/>
      <c r="AI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4" s="7"/>
      <c r="AK44" s="22"/>
      <c r="AL44" s="23"/>
      <c r="AM44" s="7"/>
      <c r="AN44" s="46" t="str">
        <f aca="false">IF(Tasks[[#This Row],[Task Name]]="","",IF(Tasks[[#This Row],[Finish]]&gt;=Tasks[[#This Row],[Planned Finish]],NETWORKDAYS.INTL(Tasks[[#This Row],[Planned Finish]],Tasks[[#This Row],[Finish]],WorkWeek,Holidays)-1,1-NETWORKDAYS.INTL(Tasks[[#This Row],[Finish]],Tasks[[#This Row],[Planned Finish]],WorkWeek,Holidays)))</f>
        <v/>
      </c>
      <c r="AO44" s="21" t="str">
        <f aca="false">IF(Tasks[[#This Row],[Task Name]]="","",IF(Tasks[[#This Row],[Progress]]&gt;=1,"Complete",IF(OR(N(Tasks[[#This Row],[Actual Start]])&gt;0,Tasks[[#This Row],[Progress]]&gt;0),IF(Tasks[[#This Row],[Finish Var]]&gt;0,"Behind","In Progress"),IF(Tasks[[#This Row],[Planned Start]]&lt;StatusDate,"Late Start","Not Started"))))</f>
        <v/>
      </c>
      <c r="AP44" s="21" t="str">
        <f aca="false">IF(Tasks[[#This Row],[Task Name]]="","",IF(IF(Tasks[[#This Row],[_IsSummary]],COUNTIF(INDEX(Tasks[_LeafCritical],Tasks[[#This Row],[_Row]]+1):INDEX(Tasks[_LeafCritical],Tasks[[#This Row],[_Row]]+Tasks[[#This Row],[_Descendants]]),TRUE())&gt;0,Tasks[[#This Row],[_LeafCritical]]),"Yes",""))</f>
        <v/>
      </c>
      <c r="AQ44" s="62" t="str">
        <f aca="false">IF(Tasks[[#This Row],[Task Name]]="","",IF(N(Tasks[[#This Row],[Baseline Start]])&gt;0,Tasks[[#This Row],[Baseline Start]],Tasks[[#This Row],[_CalcStart]]))</f>
        <v/>
      </c>
      <c r="AR44" s="62" t="str">
        <f aca="false">IF(Tasks[[#This Row],[Task Name]]="","",IF(N(Tasks[[#This Row],[Baseline Finish]])&gt;0,Tasks[[#This Row],[Baseline Finish]],Tasks[[#This Row],[_CalcFinish]]))</f>
        <v/>
      </c>
      <c r="AS44" s="46" t="str">
        <f aca="false">IF(Tasks[[#This Row],[Task Name]]="","",IF(Tasks[[#This Row],[Start]]&gt;=Tasks[[#This Row],[Planned Start]],NETWORKDAYS.INTL(Tasks[[#This Row],[Planned Start]],Tasks[[#This Row],[Start]],WorkWeek,Holidays)-1,1-NETWORKDAYS.INTL(Tasks[[#This Row],[Start]],Tasks[[#This Row],[Planned Start]],WorkWeek,Holidays)))</f>
        <v/>
      </c>
      <c r="AT44" s="62" t="str">
        <f aca="false">IF(Tasks[[#This Row],[Task Name]]="","",IF(Tasks[[#This Row],[_IsSummary]],MIN(INDEX(Tasks[_LeafLateStart],Tasks[[#This Row],[_Row]]+1):INDEX(Tasks[_LeafLateStart],Tasks[[#This Row],[_Row]]+Tasks[[#This Row],[_Descendants]])),Tasks[[#This Row],[_LeafLateStart]]))</f>
        <v/>
      </c>
      <c r="AU44" s="62" t="str">
        <f aca="false">IF(Tasks[[#This Row],[Task Name]]="","",IF(Tasks[[#This Row],[_IsSummary]],MAX(INDEX(Tasks[_LeafLateFinish],Tasks[[#This Row],[_Row]]+1):INDEX(Tasks[_LeafLateFinish],Tasks[[#This Row],[_Row]]+Tasks[[#This Row],[_Descendants]])),Tasks[[#This Row],[_LeafLateFinish]]))</f>
        <v/>
      </c>
      <c r="AV44" s="46" t="str">
        <f aca="false">IF(Tasks[[#This Row],[Task Name]]="","",IF(Tasks[[#This Row],[_IsSummary]],MIN(INDEX(Tasks[_LeafTotalSlack],Tasks[[#This Row],[_Row]]+1):INDEX(Tasks[_LeafTotalSlack],Tasks[[#This Row],[_Row]]+Tasks[[#This Row],[_Descendants]])),Tasks[[#This Row],[_LeafTotalSlack]]))</f>
        <v/>
      </c>
      <c r="AW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4"/>
      <c r="BA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t="str">
        <f aca="false">IF(Tasks[[#This Row],[Task Name]]="","",IF(Tasks[[#This Row],[_Level]]&lt;=OutlineShowLevel,"Yes","No"))</f>
        <v/>
      </c>
      <c r="BE44" s="85" t="str">
        <f aca="false">IF(Tasks[[#This Row],[Task Name]]="","",IF(Tasks[[#This Row],[_IsSummary]],SUM(INDEX(Tasks[_LeafTotalWork],Tasks[[#This Row],[_Row]]+1):INDEX(Tasks[_LeafTotalWork],Tasks[[#This Row],[_Row]]+Tasks[[#This Row],[_Descendants]])),Tasks[[#This Row],[_LeafTotalWork]]))</f>
        <v/>
      </c>
      <c r="BF44" s="23"/>
      <c r="BG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t="str">
        <f aca="false">""</f>
        <v/>
      </c>
      <c r="BI44" s="86"/>
      <c r="BJ44" s="22"/>
      <c r="BK44" s="46" t="str">
        <f aca="false">IF(OR(Tasks[[#This Row],[Task Name]]="",Tasks[[#This Row],[Baseline Duration]]=""),"",Tasks[[#This Row],[_SpanDays]]-N(Tasks[[#This Row],[Baseline Duration]]))</f>
        <v/>
      </c>
      <c r="BL44" s="85" t="str">
        <f aca="false">IF(OR(Tasks[[#This Row],[Task Name]]="",Tasks[[#This Row],[Baseline Work]]=""),"",Tasks[[#This Row],[Work]]-N(Tasks[[#This Row],[Baseline Work]]))</f>
        <v/>
      </c>
      <c r="BM44" s="62" t="str">
        <f aca="false">IF(Tasks[[#This Row],[Task Name]]="","",IF(OR(TakeBaseline="Yes",N(Tasks[[#This Row],[Baseline Start]])=0),Tasks[[#This Row],[Start]],Tasks[[#This Row],[Baseline Start]]))</f>
        <v/>
      </c>
      <c r="BN44" s="62" t="str">
        <f aca="false">IF(Tasks[[#This Row],[Task Name]]="","",IF(OR(TakeBaseline="Yes",N(Tasks[[#This Row],[Baseline Finish]])=0),Tasks[[#This Row],[Finish]],Tasks[[#This Row],[Baseline Finish]]))</f>
        <v/>
      </c>
      <c r="BO44" s="21" t="str">
        <f aca="false">IF(Tasks[[#This Row],[Task Name]]="","",IF(OR(TakeBaseline="Yes",N(Tasks[[#This Row],[Baseline Duration]])=0),Tasks[[#This Row],[_SpanDays]],Tasks[[#This Row],[Baseline Duration]]))</f>
        <v/>
      </c>
      <c r="BP44" s="85" t="str">
        <f aca="false">IF(Tasks[[#This Row],[Task Name]]="","",IF(OR(TakeBaseline="Yes",N(Tasks[[#This Row],[Baseline Work]])=0),Tasks[[#This Row],[Work]],Tasks[[#This Row],[Baseline Work]]))</f>
        <v/>
      </c>
      <c r="BQ44" s="7"/>
      <c r="BR44" s="7"/>
      <c r="BS44" s="22"/>
      <c r="BT44" s="87"/>
      <c r="BU44" s="42" t="str">
        <f aca="false">IF(Tasks[[#This Row],[Task Name]]="","",MAX(1,N(Tasks[[#This Row],[Level]])))</f>
        <v/>
      </c>
      <c r="BV44" s="42" t="n">
        <f aca="false">ROW()-ROW(Tasks[[#Headers],[ID]])</f>
        <v>39</v>
      </c>
      <c r="BW44" s="42" t="n">
        <f aca="false">IF(OR(Tasks[[#This Row],[Task Name]]="",Tasks[[#This Row],[_Level]]&lt;=1),0,IFERROR(LOOKUP(2,1/(Tasks[[#Headers],[_Level]]:Tasks[[#This Row],[_Level]]=Tasks[[#This Row],[_Level]]-1),ROW(Tasks[[#Headers],[_Level]]:Tasks[[#This Row],[_Level]])),0))</f>
        <v>0</v>
      </c>
      <c r="BX44" s="42" t="n">
        <f aca="false">IFERROR(N(INDEX(Tasks[_Level],Tasks[[#This Row],[_Row]]+1)),0)</f>
        <v>0</v>
      </c>
      <c r="BY44" s="88" t="b">
        <f aca="false">AND(Tasks[[#This Row],[Task Name]]&lt;&gt;"",Tasks[[#This Row],[_NextLevel]]&gt;Tasks[[#This Row],[_Level]])</f>
        <v>0</v>
      </c>
      <c r="BZ44" s="42" t="n">
        <f aca="false">IF(Tasks[[#This Row],[_IsSummary]],COUNTIF(Tasks[WBS],Tasks[[#This Row],[WBS]]&amp;".*"),0)</f>
        <v>0</v>
      </c>
      <c r="CA44" s="42" t="n">
        <f aca="false">IF(AND(Tasks[[#This Row],[Task Name]]&lt;&gt;"",NOT(Tasks[[#This Row],[_IsSummary]])),1,0)</f>
        <v>0</v>
      </c>
      <c r="CB44" s="42" t="n">
        <f aca="false">IF(N(Tasks[[#This Row],[_Pred1UID]])=0,0,IFERROR(MATCH(Tasks[[#This Row],[_Pred1UID]],Tasks[UID],0),-1))</f>
        <v>0</v>
      </c>
      <c r="CC44" s="42" t="n">
        <f aca="false">IF(N(Tasks[[#This Row],[_Pred2UID]])=0,0,IFERROR(MATCH(Tasks[[#This Row],[_Pred2UID]],Tasks[UID],0),-1))</f>
        <v>0</v>
      </c>
      <c r="CD44" s="42" t="n">
        <f aca="false">IF(N(Tasks[[#This Row],[_Pred3UID]])=0,0,IFERROR(MATCH(Tasks[[#This Row],[_Pred3UID]],Tasks[UID],0),-1))</f>
        <v>0</v>
      </c>
      <c r="CE44" s="42" t="n">
        <f aca="false">IF(N(Tasks[[#This Row],[_Pred4UID]])=0,0,IFERROR(MATCH(Tasks[[#This Row],[_Pred4UID]],Tasks[UID],0),-1))</f>
        <v>0</v>
      </c>
      <c r="CF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4" s="89" t="n">
        <f aca="false">IF(OR(Tasks[[#This Row],[_ConstraintCode]]=2,Tasks[[#This Row],[_ConstraintCode]]=3,Tasks[[#This Row],[_ConstraintCode]]=4,Tasks[[#This Row],[_ConstraintCode]]=6),Tasks[[#This Row],[_ConstraintStart]],0)</f>
        <v>0</v>
      </c>
      <c r="CI44" s="89" t="n">
        <f aca="false">IF(OR(Tasks[[#This Row],[_ConstraintCode]]=2,Tasks[[#This Row],[_ConstraintCode]]=3,Tasks[[#This Row],[_ConstraintCode]]=5,Tasks[[#This Row],[_ConstraintCode]]=7),Tasks[[#This Row],[_ConstraintStart]],2958465)</f>
        <v>2958465</v>
      </c>
      <c r="CJ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4" s="89" t="str">
        <f aca="false">IF(NOT(Tasks[[#This Row],[_IsLeaf]]=1),"",IF(N(Tasks[[#This Row],[_Days]])&lt;=0,Tasks[[#This Row],[_LeafCalcStart]],WORKDAY.INTL(Tasks[[#This Row],[_LeafCalcStart]],Tasks[[#This Row],[_Days]]-1,WorkWeek,Holidays)))</f>
        <v/>
      </c>
      <c r="CL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4" s="42" t="str">
        <f aca="false">IF(Tasks[[#This Row],[_Predecessors]]="","",TRIM(MID(SUBSTITUTE(SUBSTITUTE(SUBSTITUTE(UPPER(Tasks[[#This Row],[_Predecessors]]),";",",")," ",""),",",REPT(" ",99)),1,99)))</f>
        <v/>
      </c>
      <c r="CO44" s="42" t="str">
        <f aca="false">IF(Tasks[[#This Row],[_Pred1Text]]="","",IFERROR(VALUE(LEFT(Tasks[[#This Row],[_Pred1Text]],MIN(FIND("F",Tasks[[#This Row],[_Pred1Text]]&amp;"F"),FIND("S",Tasks[[#This Row],[_Pred1Text]]&amp;"S"),FIND("+",Tasks[[#This Row],[_Pred1Text]]&amp;"+"),FIND("-",Tasks[[#This Row],[_Pred1Text]]&amp;"-"))-1)),""))</f>
        <v/>
      </c>
      <c r="CP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4" s="42" t="str">
        <f aca="false">IF(Tasks[[#This Row],[_Pred1Text]]="","",TRIM(MID(SUBSTITUTE(SUBSTITUTE(SUBSTITUTE(UPPER(Tasks[[#This Row],[_Predecessors]]),";",",")," ",""),",",REPT(" ",99)),100,99)))</f>
        <v/>
      </c>
      <c r="CS44" s="42" t="str">
        <f aca="false">IF(Tasks[[#This Row],[_Pred2Text]]="","",IFERROR(VALUE(LEFT(Tasks[[#This Row],[_Pred2Text]],MIN(FIND("F",Tasks[[#This Row],[_Pred2Text]]&amp;"F"),FIND("S",Tasks[[#This Row],[_Pred2Text]]&amp;"S"),FIND("+",Tasks[[#This Row],[_Pred2Text]]&amp;"+"),FIND("-",Tasks[[#This Row],[_Pred2Text]]&amp;"-"))-1)),""))</f>
        <v/>
      </c>
      <c r="CT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4" s="42" t="str">
        <f aca="false">IF(Tasks[[#This Row],[_Pred2Text]]="","",TRIM(MID(SUBSTITUTE(SUBSTITUTE(SUBSTITUTE(UPPER(Tasks[[#This Row],[_Predecessors]]),";",",")," ",""),",",REPT(" ",99)),199,99)))</f>
        <v/>
      </c>
      <c r="CW44" s="42" t="str">
        <f aca="false">IF(Tasks[[#This Row],[_Pred3Text]]="","",IFERROR(VALUE(LEFT(Tasks[[#This Row],[_Pred3Text]],MIN(FIND("F",Tasks[[#This Row],[_Pred3Text]]&amp;"F"),FIND("S",Tasks[[#This Row],[_Pred3Text]]&amp;"S"),FIND("+",Tasks[[#This Row],[_Pred3Text]]&amp;"+"),FIND("-",Tasks[[#This Row],[_Pred3Text]]&amp;"-"))-1)),""))</f>
        <v/>
      </c>
      <c r="CX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4" s="42" t="str">
        <f aca="false">IF(Tasks[[#This Row],[_Pred3Text]]="","",TRIM(MID(SUBSTITUTE(SUBSTITUTE(SUBSTITUTE(UPPER(Tasks[[#This Row],[_Predecessors]]),";",",")," ",""),",",REPT(" ",99)),298,99)))</f>
        <v/>
      </c>
      <c r="DA44" s="42" t="str">
        <f aca="false">IF(Tasks[[#This Row],[_Pred4Text]]="","",IFERROR(VALUE(LEFT(Tasks[[#This Row],[_Pred4Text]],MIN(FIND("F",Tasks[[#This Row],[_Pred4Text]]&amp;"F"),FIND("S",Tasks[[#This Row],[_Pred4Text]]&amp;"S"),FIND("+",Tasks[[#This Row],[_Pred4Text]]&amp;"+"),FIND("-",Tasks[[#This Row],[_Pred4Text]]&amp;"-"))-1)),""))</f>
        <v/>
      </c>
      <c r="DB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4" s="42" t="str">
        <f aca="false">IF(OR(Tasks[[#This Row],[Task Name]]="",Tasks[[#This Row],[_Resources]]=""),"",TRIM(MID(SUBSTITUTE(Tasks[[#This Row],[_Resources]],",",REPT(" ",99)),1,99)))</f>
        <v/>
      </c>
      <c r="DE44" s="42" t="str">
        <f aca="false">IF(Tasks[[#This Row],[_Res1Text]]="","",TRIM(MID(SUBSTITUTE(Tasks[[#This Row],[_Resources]],",",REPT(" ",99)),100,99)))</f>
        <v/>
      </c>
      <c r="DF44" s="42" t="str">
        <f aca="false">IF(Tasks[[#This Row],[_Res2Text]]="","",TRIM(MID(SUBSTITUTE(Tasks[[#This Row],[_Resources]],",",REPT(" ",99)),199,99)))</f>
        <v/>
      </c>
      <c r="DG44" s="42" t="str">
        <f aca="false">IF(Tasks[[#This Row],[_Res3Text]]="","",TRIM(MID(SUBSTITUTE(Tasks[[#This Row],[_Resources]],",",REPT(" ",99)),298,99)))</f>
        <v/>
      </c>
      <c r="DH44" s="42" t="n">
        <f aca="false">IF(Tasks[[#This Row],[_Res1Text]]="",0,IFERROR(MATCH(TRIM(LEFT(Tasks[[#This Row],[_Res1Text]],FIND("[",Tasks[[#This Row],[_Res1Text]]&amp;"[")-1)),res_Name,0),IFERROR(MATCH(TRIM(LEFT(Tasks[[#This Row],[_Res1Text]],FIND("[",Tasks[[#This Row],[_Res1Text]]&amp;"[")-1)),res_Initials,0),0)))</f>
        <v>0</v>
      </c>
      <c r="DI44" s="42" t="n">
        <f aca="false">IF(Tasks[[#This Row],[_Res2Text]]="",0,IFERROR(MATCH(TRIM(LEFT(Tasks[[#This Row],[_Res2Text]],FIND("[",Tasks[[#This Row],[_Res2Text]]&amp;"[")-1)),res_Name,0),IFERROR(MATCH(TRIM(LEFT(Tasks[[#This Row],[_Res2Text]],FIND("[",Tasks[[#This Row],[_Res2Text]]&amp;"[")-1)),res_Initials,0),0)))</f>
        <v>0</v>
      </c>
      <c r="DJ44" s="42" t="n">
        <f aca="false">IF(Tasks[[#This Row],[_Res3Text]]="",0,IFERROR(MATCH(TRIM(LEFT(Tasks[[#This Row],[_Res3Text]],FIND("[",Tasks[[#This Row],[_Res3Text]]&amp;"[")-1)),res_Name,0),IFERROR(MATCH(TRIM(LEFT(Tasks[[#This Row],[_Res3Text]],FIND("[",Tasks[[#This Row],[_Res3Text]]&amp;"[")-1)),res_Initials,0),0)))</f>
        <v>0</v>
      </c>
      <c r="DK44" s="42" t="n">
        <f aca="false">IF(Tasks[[#This Row],[_Res4Text]]="",0,IFERROR(MATCH(TRIM(LEFT(Tasks[[#This Row],[_Res4Text]],FIND("[",Tasks[[#This Row],[_Res4Text]]&amp;"[")-1)),res_Name,0),IFERROR(MATCH(TRIM(LEFT(Tasks[[#This Row],[_Res4Text]],FIND("[",Tasks[[#This Row],[_Res4Text]]&amp;"[")-1)),res_Initials,0),0)))</f>
        <v>0</v>
      </c>
      <c r="DL44" s="42" t="str">
        <f aca="false">IF(Tasks[[#This Row],[_Res1Text]]="","",IF(Tasks[[#This Row],[_Res1Row]]&gt;0,INDEX(res_Name,Tasks[[#This Row],[_Res1Row]]),TRIM(LEFT(Tasks[[#This Row],[_Res1Text]],FIND("[",Tasks[[#This Row],[_Res1Text]]&amp;"[")-1))))</f>
        <v/>
      </c>
      <c r="DM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4" s="42" t="n">
        <f aca="false">IF(NOT(Tasks[[#This Row],[_IsLeaf]]=1),0,(Tasks[[#This Row],[_Resource1]]&lt;&gt;"")+(Tasks[[#This Row],[_Res2]]&lt;&gt;"")+(Tasks[[#This Row],[_Res3]]&lt;&gt;"")+(Tasks[[#This Row],[_Res4]]&lt;&gt;""))</f>
        <v>0</v>
      </c>
      <c r="DO44" s="42" t="str">
        <f aca="false">IF(Tasks[[#This Row],[_Res2Text]]="","",IF(Tasks[[#This Row],[_Res2Row]]&gt;0,INDEX(res_Name,Tasks[[#This Row],[_Res2Row]]),TRIM(LEFT(Tasks[[#This Row],[_Res2Text]],FIND("[",Tasks[[#This Row],[_Res2Text]]&amp;"[")-1))))</f>
        <v/>
      </c>
      <c r="DP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4" s="42" t="n">
        <f aca="false">IF(OR(NOT(Tasks[[#This Row],[_IsLeaf]]=1),Tasks[[#This Row],[_Res2Row]]=0),0,N(Tasks[[#This Row],[_Days]])*HoursPerDay*IF(Tasks[[#This Row],[_Res2Units]]="",DefaultUnits,Tasks[[#This Row],[_Res2Units]]))</f>
        <v>0</v>
      </c>
      <c r="DR44" s="42" t="n">
        <f aca="false">IF(AND(AND(Tasks[[#This Row],[_IsLeaf]]=1,Tasks[[#This Row],[_LeafTotalWork]]&gt;0),Tasks[[#This Row],[_Res2Work]]&gt;0),Tasks[[#This Row],[_Res2Work]]/(Tasks[[#This Row],[_FinishWorkday]]-Tasks[[#This Row],[_StartWorkday]]+1),0)</f>
        <v>0</v>
      </c>
      <c r="DS44" s="42" t="n">
        <f aca="false">Tasks[[#This Row],[_Res2WorkPerWD]]*MAX(0,Tasks[[#This Row],[_StartWorkday]]-1)</f>
        <v>0</v>
      </c>
      <c r="DT44" s="42" t="n">
        <f aca="false">Tasks[[#This Row],[_Res2Work]]*Tasks[[#This Row],[_LeafProgress]]</f>
        <v>0</v>
      </c>
      <c r="DU44" s="42" t="str">
        <f aca="false">IF(Tasks[[#This Row],[_Res3Text]]="","",IF(Tasks[[#This Row],[_Res3Row]]&gt;0,INDEX(res_Name,Tasks[[#This Row],[_Res3Row]]),TRIM(LEFT(Tasks[[#This Row],[_Res3Text]],FIND("[",Tasks[[#This Row],[_Res3Text]]&amp;"[")-1))))</f>
        <v/>
      </c>
      <c r="DV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4" s="42" t="n">
        <f aca="false">IF(OR(NOT(Tasks[[#This Row],[_IsLeaf]]=1),Tasks[[#This Row],[_Res3Row]]=0),0,N(Tasks[[#This Row],[_Days]])*HoursPerDay*IF(Tasks[[#This Row],[_Res3Units]]="",DefaultUnits,Tasks[[#This Row],[_Res3Units]]))</f>
        <v>0</v>
      </c>
      <c r="DX44" s="42" t="n">
        <f aca="false">IF(AND(AND(Tasks[[#This Row],[_IsLeaf]]=1,Tasks[[#This Row],[_LeafTotalWork]]&gt;0),Tasks[[#This Row],[_Res3Work]]&gt;0),Tasks[[#This Row],[_Res3Work]]/(Tasks[[#This Row],[_FinishWorkday]]-Tasks[[#This Row],[_StartWorkday]]+1),0)</f>
        <v>0</v>
      </c>
      <c r="DY44" s="42" t="n">
        <f aca="false">Tasks[[#This Row],[_Res3WorkPerWD]]*MAX(0,Tasks[[#This Row],[_StartWorkday]]-1)</f>
        <v>0</v>
      </c>
      <c r="DZ44" s="42" t="n">
        <f aca="false">Tasks[[#This Row],[_Res3Work]]*Tasks[[#This Row],[_LeafProgress]]</f>
        <v>0</v>
      </c>
      <c r="EA44" s="42" t="str">
        <f aca="false">IF(Tasks[[#This Row],[_Res4Text]]="","",IF(Tasks[[#This Row],[_Res4Row]]&gt;0,INDEX(res_Name,Tasks[[#This Row],[_Res4Row]]),TRIM(LEFT(Tasks[[#This Row],[_Res4Text]],FIND("[",Tasks[[#This Row],[_Res4Text]]&amp;"[")-1))))</f>
        <v/>
      </c>
      <c r="EB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4" s="42" t="n">
        <f aca="false">IF(OR(NOT(Tasks[[#This Row],[_IsLeaf]]=1),Tasks[[#This Row],[_Res4Row]]=0),0,N(Tasks[[#This Row],[_Days]])*HoursPerDay*IF(Tasks[[#This Row],[_Res4Units]]="",DefaultUnits,Tasks[[#This Row],[_Res4Units]]))</f>
        <v>0</v>
      </c>
      <c r="ED44" s="42" t="n">
        <f aca="false">IF(AND(AND(Tasks[[#This Row],[_IsLeaf]]=1,Tasks[[#This Row],[_LeafTotalWork]]&gt;0),Tasks[[#This Row],[_Res4Work]]&gt;0),Tasks[[#This Row],[_Res4Work]]/(Tasks[[#This Row],[_FinishWorkday]]-Tasks[[#This Row],[_StartWorkday]]+1),0)</f>
        <v>0</v>
      </c>
      <c r="EE44" s="42" t="n">
        <f aca="false">Tasks[[#This Row],[_Res4WorkPerWD]]*MAX(0,Tasks[[#This Row],[_StartWorkday]]-1)</f>
        <v>0</v>
      </c>
      <c r="EF44" s="42" t="n">
        <f aca="false">Tasks[[#This Row],[_Res4Work]]*Tasks[[#This Row],[_LeafProgress]]</f>
        <v>0</v>
      </c>
      <c r="EG44" s="42" t="n">
        <f aca="false">IF(ISNUMBER(Tasks[[#This Row],[% Complete]]),Tasks[[#This Row],[% Complete]],IF(Tasks[[#This Row],[Stage]]="",0,IFERROR(INDEX(stg_Pct,MATCH(Tasks[[#This Row],[Stage]],stg_Name,0)),0)))</f>
        <v>0</v>
      </c>
      <c r="EH44" s="42" t="n">
        <f aca="false">IF(NOT(Tasks[[#This Row],[_IsLeaf]]=1),0,IF(N(Tasks[[#This Row],[Actual Finish]])&gt;0,1,MIN(1,Tasks[[#This Row],[_Pct]])))</f>
        <v>0</v>
      </c>
      <c r="EI44" s="42" t="n">
        <f aca="false">IF(OR(NOT(Tasks[[#This Row],[_IsLeaf]]=1),Tasks[[#This Row],[_Res1Row]]=0),0,N(Tasks[[#This Row],[_Days]])*HoursPerDay*IF(Tasks[[#This Row],[_Units1]]="",DefaultUnits,Tasks[[#This Row],[_Units1]]))</f>
        <v>0</v>
      </c>
      <c r="EJ44" s="42" t="n">
        <f aca="false">Tasks[[#This Row],[_LeafWork]]+Tasks[[#This Row],[_Res2Work]]+Tasks[[#This Row],[_Res3Work]]+Tasks[[#This Row],[_Res4Work]]</f>
        <v>0</v>
      </c>
      <c r="EK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4" s="42" t="n">
        <f aca="false">IF(NOT(Tasks[[#This Row],[_IsLeaf]]=1),0,MAX(_xlfn.MAXIFS(Tasks[_Row],Tasks[_Pred1UID],Tasks[[#This Row],[UID]]),_xlfn.MAXIFS(Tasks[_Row],Tasks[_Pred2UID],Tasks[[#This Row],[UID]]),_xlfn.MAXIFS(Tasks[_Row],Tasks[_Pred3UID],Tasks[[#This Row],[UID]]),_xlfn.MAXIFS(Tasks[_Row],Tasks[_Pred4UID],Tasks[[#This Row],[UID]])))</f>
        <v>0</v>
      </c>
      <c r="ET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4" s="89" t="str">
        <f aca="false">IF(NOT(Tasks[[#This Row],[_IsLeaf]]=1),"",IF(N(Tasks[[#This Row],[_Days]])&lt;=0,Tasks[[#This Row],[_LeafLateFinish]],WORKDAY.INTL(Tasks[[#This Row],[_LeafLateFinish]],-(Tasks[[#This Row],[_Days]]-1),WorkWeek,Holidays)))</f>
        <v/>
      </c>
      <c r="EW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4" s="88" t="b">
        <f aca="false">AND(Tasks[[#This Row],[_IsLeaf]]=1,Tasks[[#This Row],[_LeafProgress]]&lt;1,N(Tasks[[#This Row],[_LeafTotalSlack]])&lt;=CriticalSlackDays)</f>
        <v>0</v>
      </c>
      <c r="EY44" s="42" t="n">
        <f aca="false">IF(AND(Tasks[[#This Row],[_IsLeaf]]=1,Tasks[[#This Row],[_ConstraintCode]]=1,Tasks[[#This Row],[Mode]]&lt;&gt;"Manual",N(Tasks[[#This Row],[Actual Start]])=0),MAX(0,N(Tasks[[#This Row],[Free Slack]])),0)</f>
        <v>0</v>
      </c>
      <c r="EZ44" s="89" t="str">
        <f aca="false">IF(NOT(Tasks[[#This Row],[_IsLeaf]]=1),"",IF(Tasks[[#This Row],[_AlapShift]]=0,Tasks[[#This Row],[_LeafCalcStart]],WORKDAY.INTL(Tasks[[#This Row],[_LeafCalcStart]],Tasks[[#This Row],[_AlapShift]],WorkWeek,Holidays)))</f>
        <v/>
      </c>
      <c r="FA44" s="89" t="str">
        <f aca="false">IF(NOT(Tasks[[#This Row],[_IsLeaf]]=1),"",IF(Tasks[[#This Row],[_AlapShift]]=0,Tasks[[#This Row],[_LeafCalcFinish]],WORKDAY.INTL(Tasks[[#This Row],[_LeafCalcFinish]],Tasks[[#This Row],[_AlapShift]],WorkWeek,Holidays)))</f>
        <v/>
      </c>
      <c r="FB44" s="89" t="str">
        <f aca="false">IF(NOT(Tasks[[#This Row],[_IsLeaf]]=1),"",IF(Tasks[[#This Row],[_AlapShift]]=0,Tasks[[#This Row],[_LeafFcstStart]],WORKDAY.INTL(Tasks[[#This Row],[_LeafFcstStart]],Tasks[[#This Row],[_AlapShift]],WorkWeek,Holidays)))</f>
        <v/>
      </c>
      <c r="FC44" s="89" t="str">
        <f aca="false">IF(NOT(Tasks[[#This Row],[_IsLeaf]]=1),"",IF(Tasks[[#This Row],[_AlapShift]]=0,Tasks[[#This Row],[_LeafFcstFinish]],WORKDAY.INTL(Tasks[[#This Row],[_LeafFcstFinish]],Tasks[[#This Row],[_AlapShift]],WorkWeek,Holidays)))</f>
        <v/>
      </c>
      <c r="FD44" s="89" t="str">
        <f aca="false">IF(Tasks[[#This Row],[Task Name]]="","",IF(Tasks[[#This Row],[_IsSummary]],MIN(INDEX(Tasks[_ShownCalcStart],Tasks[[#This Row],[_Row]]+1):INDEX(Tasks[_ShownCalcStart],Tasks[[#This Row],[_Row]]+Tasks[[#This Row],[_Descendants]])),Tasks[[#This Row],[_ShownCalcStart]]))</f>
        <v/>
      </c>
      <c r="FE44" s="89" t="str">
        <f aca="false">IF(Tasks[[#This Row],[Task Name]]="","",IF(Tasks[[#This Row],[_IsSummary]],MAX(INDEX(Tasks[_ShownCalcFinish],Tasks[[#This Row],[_Row]]+1):INDEX(Tasks[_ShownCalcFinish],Tasks[[#This Row],[_Row]]+Tasks[[#This Row],[_Descendants]])),Tasks[[#This Row],[_ShownCalcFinish]]))</f>
        <v/>
      </c>
      <c r="FF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4" s="42" t="n">
        <f aca="false">IF(AND(Tasks[[#This Row],[_IsLeaf]]=1,Tasks[[#This Row],[_LeafTotalWork]]&gt;0),NETWORKDAYS.INTL(ProjectStart,Tasks[[#This Row],[_ShownFcstStart]],WorkWeek,Holidays),0)</f>
        <v>0</v>
      </c>
      <c r="FS44" s="42" t="n">
        <f aca="false">IF(AND(Tasks[[#This Row],[_IsLeaf]]=1,Tasks[[#This Row],[_LeafTotalWork]]&gt;0),MAX(Tasks[[#This Row],[_StartWorkday]],NETWORKDAYS.INTL(ProjectStart,Tasks[[#This Row],[_ShownFcstFinish]],WorkWeek,Holidays)),0)</f>
        <v>0</v>
      </c>
      <c r="FT44" s="42" t="n">
        <f aca="false">IF(AND(Tasks[[#This Row],[_IsLeaf]]=1,Tasks[[#This Row],[_LeafTotalWork]]&gt;0),Tasks[[#This Row],[_LeafWork]]/(Tasks[[#This Row],[_FinishWorkday]]-Tasks[[#This Row],[_StartWorkday]]+1),0)</f>
        <v>0</v>
      </c>
      <c r="FU44" s="42" t="n">
        <f aca="false">Tasks[[#This Row],[_WorkPerWorkday]]*(Tasks[[#This Row],[_StartWorkday]]-1)</f>
        <v>-0</v>
      </c>
      <c r="FV44" s="42" t="n">
        <f aca="false">IF(Tasks[[#This Row],[_IsLeaf]]=1,MAX(N(Tasks[[#This Row],[_Days]]),0.1),0)</f>
        <v>0</v>
      </c>
      <c r="FW44" s="42" t="n">
        <f aca="false">Tasks[[#This Row],[_WeightDur]]*Tasks[[#This Row],[_LeafProgress]]</f>
        <v>0</v>
      </c>
      <c r="FX44" s="42" t="n">
        <f aca="false">Tasks[[#This Row],[_WeightDur]]*Tasks[[#This Row],[_PlannedPct]]</f>
        <v>0</v>
      </c>
      <c r="FY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4" s="42" t="str">
        <f aca="false">IF(AND(Tasks[[#This Row],[_IsLeaf]]=1,N(Tasks[[#This Row],[_Days]])=0,Tasks[[#This Row],[_LeafProgress]]&lt;1),Tasks[[#This Row],[_ShownFcstFinish]]+Tasks[[#This Row],[_Row]]/100000,"")</f>
        <v/>
      </c>
      <c r="GA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4" s="42" t="str">
        <f aca="false">IF(Tasks[[#This Row],[Task Name]]="","",LEFT(Tasks[[#This Row],[WBS]],FIND(".",Tasks[[#This Row],[WBS]]&amp;".")-1))</f>
        <v/>
      </c>
      <c r="GC44" s="42" t="str">
        <f aca="false">IF(AND(Tasks[[#This Row],[Task Name]]&lt;&gt;"",Tasks[[#This Row],[_Level]]=1),Tasks[[#This Row],[_Row]],"")</f>
        <v/>
      </c>
      <c r="GD44" s="42" t="str">
        <f aca="false">IF(AND(Tasks[[#This Row],[_IsLeaf]]=1,N(Tasks[[#This Row],[_Days]])=0),Tasks[[#This Row],[Planned Finish]]+Tasks[[#This Row],[_Row]]/100000,"")</f>
        <v/>
      </c>
      <c r="GE44" s="42" t="str">
        <f aca="false">IF(AND(Tasks[[#This Row],[_IsLeaf]]=1,Tasks[[#This Row],[_LeafProgress]]&lt;1,OR(N(Tasks[[#This Row],[Finish Var]])&gt;0,Tasks[[#This Row],[Status]]="Late Start")),MAX(0,Tasks[[#This Row],[Finish Var]])+1-Tasks[[#This Row],[_Row]]/1000000,"")</f>
        <v/>
      </c>
      <c r="GF44" s="42" t="str">
        <f aca="false">IF(AND(Tasks[[#This Row],[_IsLeaf]]=1,N(Tasks[[#This Row],[Actual Start]])=0,Tasks[[#This Row],[_ShownFcstStart]]&gt;=StatusDate,Tasks[[#This Row],[_ShownFcstStart]]&lt;=LookaheadEnd),Tasks[[#This Row],[_ShownFcstStart]]+Tasks[[#This Row],[_Row]]/100000,"")</f>
        <v/>
      </c>
      <c r="GG44" s="42" t="str">
        <f aca="false">IF(AND(Tasks[[#This Row],[_IsLeaf]]=1,Tasks[[#This Row],[_LeafProgress]]&lt;1,Tasks[[#This Row],[_ShownFcstFinish]]&gt;=StatusDate,Tasks[[#This Row],[_ShownFcstFinish]]&lt;=LookaheadEnd),Tasks[[#This Row],[_ShownFcstFinish]]+Tasks[[#This Row],[_Row]]/100000,"")</f>
        <v/>
      </c>
      <c r="GH44" s="42" t="str">
        <f aca="false">IF(Tasks[[#This Row],[_LeafCritical]],Tasks[[#This Row],[_ShownFcstStart]]+Tasks[[#This Row],[_Row]]/100000,"")</f>
        <v/>
      </c>
      <c r="GI44" s="42" t="n">
        <f aca="false">Tasks[[#This Row],[_LeafWork]]*Tasks[[#This Row],[_LeafProgress]]</f>
        <v>0</v>
      </c>
      <c r="GJ44" s="89" t="str">
        <f aca="false">IF(AND(Tasks[[#This Row],[_IsLeaf]]=1,Tasks[[#This Row],[_LeafProgress]]&gt;=1),IF(N(Tasks[[#This Row],[Actual Finish]])&gt;0,Tasks[[#This Row],[Actual Finish]],Tasks[[#This Row],[_ShownFcstFinish]]),"")</f>
        <v/>
      </c>
      <c r="GK44" s="42" t="n">
        <f aca="false">IF(Tasks[[#This Row],[_IsLeaf]]=1,N(Tasks[[#This Row],[Story Points]]),0)</f>
        <v>0</v>
      </c>
      <c r="GL44" s="42" t="str">
        <f aca="false">""</f>
        <v/>
      </c>
      <c r="GM44" s="88" t="b">
        <f aca="false">IF(Tasks[[#This Row],[Task Name]]="",FALSE(),AND(Tasks[[#This Row],[_IsLeaf]]=1,N(Tasks[[#This Row],[_Days]])=0))</f>
        <v>0</v>
      </c>
      <c r="GN44" s="89" t="n">
        <f aca="false">IF(Tasks[[#This Row],[Task Name]]="",0,IF(AND(Tasks[[#This Row],[_IsLeaf]]=1,NOT(Tasks[[#This Row],[_IsMilestone]]),N(Tasks[[#This Row],[Progress]])&gt;0),Tasks[[#This Row],[Start]],0))</f>
        <v>0</v>
      </c>
      <c r="GO44" s="89" t="n">
        <f aca="false">IF(Tasks[[#This Row],[_DoneFrom]]=0,0,IF(Tasks[[#This Row],[Progress]]&gt;=1,Tasks[[#This Row],[Finish]],MAX(Tasks[[#This Row],[_DoneFrom]],Tasks[[#This Row],[Start]]+ROUND((Tasks[[#This Row],[Finish]]-Tasks[[#This Row],[Start]]+1)*Tasks[[#This Row],[Progress]],0)-1)))</f>
        <v>0</v>
      </c>
      <c r="GP44" s="89" t="n">
        <f aca="false">IF(Tasks[[#This Row],[Task Name]]="",0,IF(OR(NOT(Tasks[[#This Row],[_IsLeaf]]=1),Tasks[[#This Row],[_IsMilestone]],N(Tasks[[#This Row],[Progress]])&gt;=1),0,IF(Tasks[[#This Row],[_DoneTo]]&gt;0,Tasks[[#This Row],[_DoneTo]]+1,Tasks[[#This Row],[Start]])))</f>
        <v>0</v>
      </c>
      <c r="GQ44" s="89" t="n">
        <f aca="false">IF(Tasks[[#This Row],[_RemFrom]]=0,0,Tasks[[#This Row],[Finish]])</f>
        <v>0</v>
      </c>
      <c r="GR44" s="88" t="b">
        <f aca="false">IF(Tasks[[#This Row],[Task Name]]="",FALSE(),OR(NOT(BaselineSet),N(Tasks[[#This Row],[Baseline Start]])&gt;0))</f>
        <v>0</v>
      </c>
      <c r="GS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4" s="90" t="str">
        <f aca="false">IF(Tasks[[#This Row],[_IsLeaf]]=1,Tasks[[#This Row],[_Row]],"")</f>
        <v/>
      </c>
      <c r="GW44" s="90" t="str">
        <f aca="false">IFERROR(INDEX(Tasks[UID],SMALL(Tasks[_PickKey],Tasks[[#This Row],[_Row]]))&amp;" "&amp;INDEX(Tasks[Task Name],SMALL(Tasks[_PickKey],Tasks[[#This Row],[_Row]])),"")</f>
        <v/>
      </c>
      <c r="GX44" s="42" t="str">
        <f aca="false">IF(Tasks[[#This Row],[Task Name]]="","",IF(Tasks[[#This Row],[_IsSummary]],NETWORKDAYS.INTL(Tasks[[#This Row],[Start]],Tasks[[#This Row],[Finish]],WorkWeek,Holidays),N(Tasks[[#This Row],[_Days]])))</f>
        <v/>
      </c>
    </row>
    <row r="45" customFormat="false" ht="15" hidden="false" customHeight="false" outlineLevel="0" collapsed="false">
      <c r="A45" s="21" t="str">
        <f aca="false">IF(Tasks[[#This Row],[Task Name]]="","",COUNTA(Tasks[[#Headers],[Task Name]]:Tasks[[#This Row],[Task Name]])-1)</f>
        <v/>
      </c>
      <c r="B45" s="22" t="n">
        <v>53</v>
      </c>
      <c r="C45" s="22"/>
      <c r="D45" s="23"/>
      <c r="E45" s="22"/>
      <c r="F45" s="23"/>
      <c r="G45" s="22"/>
      <c r="H45" s="22"/>
      <c r="I45" s="23"/>
      <c r="J45" s="22"/>
      <c r="K45" s="22"/>
      <c r="L45" s="23"/>
      <c r="M45" s="22"/>
      <c r="N45" s="22"/>
      <c r="O45" s="23"/>
      <c r="P45" s="22"/>
      <c r="Q45" s="22"/>
      <c r="R45" s="23"/>
      <c r="S45" s="23"/>
      <c r="T45" s="83"/>
      <c r="U45" s="23"/>
      <c r="V45" s="83"/>
      <c r="W45" s="23"/>
      <c r="X45" s="83"/>
      <c r="Y45" s="23"/>
      <c r="Z45" s="83"/>
      <c r="AA45" s="23"/>
      <c r="AB45" s="23"/>
      <c r="AC45" s="7"/>
      <c r="AD45" s="7"/>
      <c r="AE45" s="62" t="str">
        <f aca="false">IF(Tasks[[#This Row],[Task Name]]="","",IF(Tasks[[#This Row],[_IsSummary]],MIN(INDEX(Tasks[_ShownFcstStart],Tasks[[#This Row],[_Row]]+1):INDEX(Tasks[_ShownFcstStart],Tasks[[#This Row],[_Row]]+Tasks[[#This Row],[_Descendants]])),Tasks[[#This Row],[_ShownFcstStart]]))</f>
        <v/>
      </c>
      <c r="AF45" s="62" t="str">
        <f aca="false">IF(Tasks[[#This Row],[Task Name]]="","",IF(Tasks[[#This Row],[_IsSummary]],MAX(INDEX(Tasks[_ShownFcstFinish],Tasks[[#This Row],[_Row]]+1):INDEX(Tasks[_ShownFcstFinish],Tasks[[#This Row],[_Row]]+Tasks[[#This Row],[_Descendants]])),Tasks[[#This Row],[_ShownFcstFinish]]))</f>
        <v/>
      </c>
      <c r="AG45" s="21" t="str">
        <f aca="false">""</f>
        <v/>
      </c>
      <c r="AH45" s="23"/>
      <c r="AI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5" s="7"/>
      <c r="AK45" s="22"/>
      <c r="AL45" s="23"/>
      <c r="AM45" s="7"/>
      <c r="AN45" s="46" t="str">
        <f aca="false">IF(Tasks[[#This Row],[Task Name]]="","",IF(Tasks[[#This Row],[Finish]]&gt;=Tasks[[#This Row],[Planned Finish]],NETWORKDAYS.INTL(Tasks[[#This Row],[Planned Finish]],Tasks[[#This Row],[Finish]],WorkWeek,Holidays)-1,1-NETWORKDAYS.INTL(Tasks[[#This Row],[Finish]],Tasks[[#This Row],[Planned Finish]],WorkWeek,Holidays)))</f>
        <v/>
      </c>
      <c r="AO45" s="21" t="str">
        <f aca="false">IF(Tasks[[#This Row],[Task Name]]="","",IF(Tasks[[#This Row],[Progress]]&gt;=1,"Complete",IF(OR(N(Tasks[[#This Row],[Actual Start]])&gt;0,Tasks[[#This Row],[Progress]]&gt;0),IF(Tasks[[#This Row],[Finish Var]]&gt;0,"Behind","In Progress"),IF(Tasks[[#This Row],[Planned Start]]&lt;StatusDate,"Late Start","Not Started"))))</f>
        <v/>
      </c>
      <c r="AP45" s="21" t="str">
        <f aca="false">IF(Tasks[[#This Row],[Task Name]]="","",IF(IF(Tasks[[#This Row],[_IsSummary]],COUNTIF(INDEX(Tasks[_LeafCritical],Tasks[[#This Row],[_Row]]+1):INDEX(Tasks[_LeafCritical],Tasks[[#This Row],[_Row]]+Tasks[[#This Row],[_Descendants]]),TRUE())&gt;0,Tasks[[#This Row],[_LeafCritical]]),"Yes",""))</f>
        <v/>
      </c>
      <c r="AQ45" s="62" t="str">
        <f aca="false">IF(Tasks[[#This Row],[Task Name]]="","",IF(N(Tasks[[#This Row],[Baseline Start]])&gt;0,Tasks[[#This Row],[Baseline Start]],Tasks[[#This Row],[_CalcStart]]))</f>
        <v/>
      </c>
      <c r="AR45" s="62" t="str">
        <f aca="false">IF(Tasks[[#This Row],[Task Name]]="","",IF(N(Tasks[[#This Row],[Baseline Finish]])&gt;0,Tasks[[#This Row],[Baseline Finish]],Tasks[[#This Row],[_CalcFinish]]))</f>
        <v/>
      </c>
      <c r="AS45" s="46" t="str">
        <f aca="false">IF(Tasks[[#This Row],[Task Name]]="","",IF(Tasks[[#This Row],[Start]]&gt;=Tasks[[#This Row],[Planned Start]],NETWORKDAYS.INTL(Tasks[[#This Row],[Planned Start]],Tasks[[#This Row],[Start]],WorkWeek,Holidays)-1,1-NETWORKDAYS.INTL(Tasks[[#This Row],[Start]],Tasks[[#This Row],[Planned Start]],WorkWeek,Holidays)))</f>
        <v/>
      </c>
      <c r="AT45" s="62" t="str">
        <f aca="false">IF(Tasks[[#This Row],[Task Name]]="","",IF(Tasks[[#This Row],[_IsSummary]],MIN(INDEX(Tasks[_LeafLateStart],Tasks[[#This Row],[_Row]]+1):INDEX(Tasks[_LeafLateStart],Tasks[[#This Row],[_Row]]+Tasks[[#This Row],[_Descendants]])),Tasks[[#This Row],[_LeafLateStart]]))</f>
        <v/>
      </c>
      <c r="AU45" s="62" t="str">
        <f aca="false">IF(Tasks[[#This Row],[Task Name]]="","",IF(Tasks[[#This Row],[_IsSummary]],MAX(INDEX(Tasks[_LeafLateFinish],Tasks[[#This Row],[_Row]]+1):INDEX(Tasks[_LeafLateFinish],Tasks[[#This Row],[_Row]]+Tasks[[#This Row],[_Descendants]])),Tasks[[#This Row],[_LeafLateFinish]]))</f>
        <v/>
      </c>
      <c r="AV45" s="46" t="str">
        <f aca="false">IF(Tasks[[#This Row],[Task Name]]="","",IF(Tasks[[#This Row],[_IsSummary]],MIN(INDEX(Tasks[_LeafTotalSlack],Tasks[[#This Row],[_Row]]+1):INDEX(Tasks[_LeafTotalSlack],Tasks[[#This Row],[_Row]]+Tasks[[#This Row],[_Descendants]])),Tasks[[#This Row],[_LeafTotalSlack]]))</f>
        <v/>
      </c>
      <c r="AW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4"/>
      <c r="BA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t="str">
        <f aca="false">IF(Tasks[[#This Row],[Task Name]]="","",IF(Tasks[[#This Row],[_Level]]&lt;=OutlineShowLevel,"Yes","No"))</f>
        <v/>
      </c>
      <c r="BE45" s="85" t="str">
        <f aca="false">IF(Tasks[[#This Row],[Task Name]]="","",IF(Tasks[[#This Row],[_IsSummary]],SUM(INDEX(Tasks[_LeafTotalWork],Tasks[[#This Row],[_Row]]+1):INDEX(Tasks[_LeafTotalWork],Tasks[[#This Row],[_Row]]+Tasks[[#This Row],[_Descendants]])),Tasks[[#This Row],[_LeafTotalWork]]))</f>
        <v/>
      </c>
      <c r="BF45" s="23"/>
      <c r="BG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t="str">
        <f aca="false">""</f>
        <v/>
      </c>
      <c r="BI45" s="86"/>
      <c r="BJ45" s="22"/>
      <c r="BK45" s="46" t="str">
        <f aca="false">IF(OR(Tasks[[#This Row],[Task Name]]="",Tasks[[#This Row],[Baseline Duration]]=""),"",Tasks[[#This Row],[_SpanDays]]-N(Tasks[[#This Row],[Baseline Duration]]))</f>
        <v/>
      </c>
      <c r="BL45" s="85" t="str">
        <f aca="false">IF(OR(Tasks[[#This Row],[Task Name]]="",Tasks[[#This Row],[Baseline Work]]=""),"",Tasks[[#This Row],[Work]]-N(Tasks[[#This Row],[Baseline Work]]))</f>
        <v/>
      </c>
      <c r="BM45" s="62" t="str">
        <f aca="false">IF(Tasks[[#This Row],[Task Name]]="","",IF(OR(TakeBaseline="Yes",N(Tasks[[#This Row],[Baseline Start]])=0),Tasks[[#This Row],[Start]],Tasks[[#This Row],[Baseline Start]]))</f>
        <v/>
      </c>
      <c r="BN45" s="62" t="str">
        <f aca="false">IF(Tasks[[#This Row],[Task Name]]="","",IF(OR(TakeBaseline="Yes",N(Tasks[[#This Row],[Baseline Finish]])=0),Tasks[[#This Row],[Finish]],Tasks[[#This Row],[Baseline Finish]]))</f>
        <v/>
      </c>
      <c r="BO45" s="21" t="str">
        <f aca="false">IF(Tasks[[#This Row],[Task Name]]="","",IF(OR(TakeBaseline="Yes",N(Tasks[[#This Row],[Baseline Duration]])=0),Tasks[[#This Row],[_SpanDays]],Tasks[[#This Row],[Baseline Duration]]))</f>
        <v/>
      </c>
      <c r="BP45" s="85" t="str">
        <f aca="false">IF(Tasks[[#This Row],[Task Name]]="","",IF(OR(TakeBaseline="Yes",N(Tasks[[#This Row],[Baseline Work]])=0),Tasks[[#This Row],[Work]],Tasks[[#This Row],[Baseline Work]]))</f>
        <v/>
      </c>
      <c r="BQ45" s="7"/>
      <c r="BR45" s="7"/>
      <c r="BS45" s="22"/>
      <c r="BT45" s="87"/>
      <c r="BU45" s="42" t="str">
        <f aca="false">IF(Tasks[[#This Row],[Task Name]]="","",MAX(1,N(Tasks[[#This Row],[Level]])))</f>
        <v/>
      </c>
      <c r="BV45" s="42" t="n">
        <f aca="false">ROW()-ROW(Tasks[[#Headers],[ID]])</f>
        <v>40</v>
      </c>
      <c r="BW45" s="42" t="n">
        <f aca="false">IF(OR(Tasks[[#This Row],[Task Name]]="",Tasks[[#This Row],[_Level]]&lt;=1),0,IFERROR(LOOKUP(2,1/(Tasks[[#Headers],[_Level]]:Tasks[[#This Row],[_Level]]=Tasks[[#This Row],[_Level]]-1),ROW(Tasks[[#Headers],[_Level]]:Tasks[[#This Row],[_Level]])),0))</f>
        <v>0</v>
      </c>
      <c r="BX45" s="42" t="n">
        <f aca="false">IFERROR(N(INDEX(Tasks[_Level],Tasks[[#This Row],[_Row]]+1)),0)</f>
        <v>0</v>
      </c>
      <c r="BY45" s="88" t="b">
        <f aca="false">AND(Tasks[[#This Row],[Task Name]]&lt;&gt;"",Tasks[[#This Row],[_NextLevel]]&gt;Tasks[[#This Row],[_Level]])</f>
        <v>0</v>
      </c>
      <c r="BZ45" s="42" t="n">
        <f aca="false">IF(Tasks[[#This Row],[_IsSummary]],COUNTIF(Tasks[WBS],Tasks[[#This Row],[WBS]]&amp;".*"),0)</f>
        <v>0</v>
      </c>
      <c r="CA45" s="42" t="n">
        <f aca="false">IF(AND(Tasks[[#This Row],[Task Name]]&lt;&gt;"",NOT(Tasks[[#This Row],[_IsSummary]])),1,0)</f>
        <v>0</v>
      </c>
      <c r="CB45" s="42" t="n">
        <f aca="false">IF(N(Tasks[[#This Row],[_Pred1UID]])=0,0,IFERROR(MATCH(Tasks[[#This Row],[_Pred1UID]],Tasks[UID],0),-1))</f>
        <v>0</v>
      </c>
      <c r="CC45" s="42" t="n">
        <f aca="false">IF(N(Tasks[[#This Row],[_Pred2UID]])=0,0,IFERROR(MATCH(Tasks[[#This Row],[_Pred2UID]],Tasks[UID],0),-1))</f>
        <v>0</v>
      </c>
      <c r="CD45" s="42" t="n">
        <f aca="false">IF(N(Tasks[[#This Row],[_Pred3UID]])=0,0,IFERROR(MATCH(Tasks[[#This Row],[_Pred3UID]],Tasks[UID],0),-1))</f>
        <v>0</v>
      </c>
      <c r="CE45" s="42" t="n">
        <f aca="false">IF(N(Tasks[[#This Row],[_Pred4UID]])=0,0,IFERROR(MATCH(Tasks[[#This Row],[_Pred4UID]],Tasks[UID],0),-1))</f>
        <v>0</v>
      </c>
      <c r="CF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5" s="89" t="n">
        <f aca="false">IF(OR(Tasks[[#This Row],[_ConstraintCode]]=2,Tasks[[#This Row],[_ConstraintCode]]=3,Tasks[[#This Row],[_ConstraintCode]]=4,Tasks[[#This Row],[_ConstraintCode]]=6),Tasks[[#This Row],[_ConstraintStart]],0)</f>
        <v>0</v>
      </c>
      <c r="CI45" s="89" t="n">
        <f aca="false">IF(OR(Tasks[[#This Row],[_ConstraintCode]]=2,Tasks[[#This Row],[_ConstraintCode]]=3,Tasks[[#This Row],[_ConstraintCode]]=5,Tasks[[#This Row],[_ConstraintCode]]=7),Tasks[[#This Row],[_ConstraintStart]],2958465)</f>
        <v>2958465</v>
      </c>
      <c r="CJ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5" s="89" t="str">
        <f aca="false">IF(NOT(Tasks[[#This Row],[_IsLeaf]]=1),"",IF(N(Tasks[[#This Row],[_Days]])&lt;=0,Tasks[[#This Row],[_LeafCalcStart]],WORKDAY.INTL(Tasks[[#This Row],[_LeafCalcStart]],Tasks[[#This Row],[_Days]]-1,WorkWeek,Holidays)))</f>
        <v/>
      </c>
      <c r="CL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5" s="42" t="str">
        <f aca="false">IF(Tasks[[#This Row],[_Predecessors]]="","",TRIM(MID(SUBSTITUTE(SUBSTITUTE(SUBSTITUTE(UPPER(Tasks[[#This Row],[_Predecessors]]),";",",")," ",""),",",REPT(" ",99)),1,99)))</f>
        <v/>
      </c>
      <c r="CO45" s="42" t="str">
        <f aca="false">IF(Tasks[[#This Row],[_Pred1Text]]="","",IFERROR(VALUE(LEFT(Tasks[[#This Row],[_Pred1Text]],MIN(FIND("F",Tasks[[#This Row],[_Pred1Text]]&amp;"F"),FIND("S",Tasks[[#This Row],[_Pred1Text]]&amp;"S"),FIND("+",Tasks[[#This Row],[_Pred1Text]]&amp;"+"),FIND("-",Tasks[[#This Row],[_Pred1Text]]&amp;"-"))-1)),""))</f>
        <v/>
      </c>
      <c r="CP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5" s="42" t="str">
        <f aca="false">IF(Tasks[[#This Row],[_Pred1Text]]="","",TRIM(MID(SUBSTITUTE(SUBSTITUTE(SUBSTITUTE(UPPER(Tasks[[#This Row],[_Predecessors]]),";",",")," ",""),",",REPT(" ",99)),100,99)))</f>
        <v/>
      </c>
      <c r="CS45" s="42" t="str">
        <f aca="false">IF(Tasks[[#This Row],[_Pred2Text]]="","",IFERROR(VALUE(LEFT(Tasks[[#This Row],[_Pred2Text]],MIN(FIND("F",Tasks[[#This Row],[_Pred2Text]]&amp;"F"),FIND("S",Tasks[[#This Row],[_Pred2Text]]&amp;"S"),FIND("+",Tasks[[#This Row],[_Pred2Text]]&amp;"+"),FIND("-",Tasks[[#This Row],[_Pred2Text]]&amp;"-"))-1)),""))</f>
        <v/>
      </c>
      <c r="CT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5" s="42" t="str">
        <f aca="false">IF(Tasks[[#This Row],[_Pred2Text]]="","",TRIM(MID(SUBSTITUTE(SUBSTITUTE(SUBSTITUTE(UPPER(Tasks[[#This Row],[_Predecessors]]),";",",")," ",""),",",REPT(" ",99)),199,99)))</f>
        <v/>
      </c>
      <c r="CW45" s="42" t="str">
        <f aca="false">IF(Tasks[[#This Row],[_Pred3Text]]="","",IFERROR(VALUE(LEFT(Tasks[[#This Row],[_Pred3Text]],MIN(FIND("F",Tasks[[#This Row],[_Pred3Text]]&amp;"F"),FIND("S",Tasks[[#This Row],[_Pred3Text]]&amp;"S"),FIND("+",Tasks[[#This Row],[_Pred3Text]]&amp;"+"),FIND("-",Tasks[[#This Row],[_Pred3Text]]&amp;"-"))-1)),""))</f>
        <v/>
      </c>
      <c r="CX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5" s="42" t="str">
        <f aca="false">IF(Tasks[[#This Row],[_Pred3Text]]="","",TRIM(MID(SUBSTITUTE(SUBSTITUTE(SUBSTITUTE(UPPER(Tasks[[#This Row],[_Predecessors]]),";",",")," ",""),",",REPT(" ",99)),298,99)))</f>
        <v/>
      </c>
      <c r="DA45" s="42" t="str">
        <f aca="false">IF(Tasks[[#This Row],[_Pred4Text]]="","",IFERROR(VALUE(LEFT(Tasks[[#This Row],[_Pred4Text]],MIN(FIND("F",Tasks[[#This Row],[_Pred4Text]]&amp;"F"),FIND("S",Tasks[[#This Row],[_Pred4Text]]&amp;"S"),FIND("+",Tasks[[#This Row],[_Pred4Text]]&amp;"+"),FIND("-",Tasks[[#This Row],[_Pred4Text]]&amp;"-"))-1)),""))</f>
        <v/>
      </c>
      <c r="DB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5" s="42" t="str">
        <f aca="false">IF(OR(Tasks[[#This Row],[Task Name]]="",Tasks[[#This Row],[_Resources]]=""),"",TRIM(MID(SUBSTITUTE(Tasks[[#This Row],[_Resources]],",",REPT(" ",99)),1,99)))</f>
        <v/>
      </c>
      <c r="DE45" s="42" t="str">
        <f aca="false">IF(Tasks[[#This Row],[_Res1Text]]="","",TRIM(MID(SUBSTITUTE(Tasks[[#This Row],[_Resources]],",",REPT(" ",99)),100,99)))</f>
        <v/>
      </c>
      <c r="DF45" s="42" t="str">
        <f aca="false">IF(Tasks[[#This Row],[_Res2Text]]="","",TRIM(MID(SUBSTITUTE(Tasks[[#This Row],[_Resources]],",",REPT(" ",99)),199,99)))</f>
        <v/>
      </c>
      <c r="DG45" s="42" t="str">
        <f aca="false">IF(Tasks[[#This Row],[_Res3Text]]="","",TRIM(MID(SUBSTITUTE(Tasks[[#This Row],[_Resources]],",",REPT(" ",99)),298,99)))</f>
        <v/>
      </c>
      <c r="DH45" s="42" t="n">
        <f aca="false">IF(Tasks[[#This Row],[_Res1Text]]="",0,IFERROR(MATCH(TRIM(LEFT(Tasks[[#This Row],[_Res1Text]],FIND("[",Tasks[[#This Row],[_Res1Text]]&amp;"[")-1)),res_Name,0),IFERROR(MATCH(TRIM(LEFT(Tasks[[#This Row],[_Res1Text]],FIND("[",Tasks[[#This Row],[_Res1Text]]&amp;"[")-1)),res_Initials,0),0)))</f>
        <v>0</v>
      </c>
      <c r="DI45" s="42" t="n">
        <f aca="false">IF(Tasks[[#This Row],[_Res2Text]]="",0,IFERROR(MATCH(TRIM(LEFT(Tasks[[#This Row],[_Res2Text]],FIND("[",Tasks[[#This Row],[_Res2Text]]&amp;"[")-1)),res_Name,0),IFERROR(MATCH(TRIM(LEFT(Tasks[[#This Row],[_Res2Text]],FIND("[",Tasks[[#This Row],[_Res2Text]]&amp;"[")-1)),res_Initials,0),0)))</f>
        <v>0</v>
      </c>
      <c r="DJ45" s="42" t="n">
        <f aca="false">IF(Tasks[[#This Row],[_Res3Text]]="",0,IFERROR(MATCH(TRIM(LEFT(Tasks[[#This Row],[_Res3Text]],FIND("[",Tasks[[#This Row],[_Res3Text]]&amp;"[")-1)),res_Name,0),IFERROR(MATCH(TRIM(LEFT(Tasks[[#This Row],[_Res3Text]],FIND("[",Tasks[[#This Row],[_Res3Text]]&amp;"[")-1)),res_Initials,0),0)))</f>
        <v>0</v>
      </c>
      <c r="DK45" s="42" t="n">
        <f aca="false">IF(Tasks[[#This Row],[_Res4Text]]="",0,IFERROR(MATCH(TRIM(LEFT(Tasks[[#This Row],[_Res4Text]],FIND("[",Tasks[[#This Row],[_Res4Text]]&amp;"[")-1)),res_Name,0),IFERROR(MATCH(TRIM(LEFT(Tasks[[#This Row],[_Res4Text]],FIND("[",Tasks[[#This Row],[_Res4Text]]&amp;"[")-1)),res_Initials,0),0)))</f>
        <v>0</v>
      </c>
      <c r="DL45" s="42" t="str">
        <f aca="false">IF(Tasks[[#This Row],[_Res1Text]]="","",IF(Tasks[[#This Row],[_Res1Row]]&gt;0,INDEX(res_Name,Tasks[[#This Row],[_Res1Row]]),TRIM(LEFT(Tasks[[#This Row],[_Res1Text]],FIND("[",Tasks[[#This Row],[_Res1Text]]&amp;"[")-1))))</f>
        <v/>
      </c>
      <c r="DM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5" s="42" t="n">
        <f aca="false">IF(NOT(Tasks[[#This Row],[_IsLeaf]]=1),0,(Tasks[[#This Row],[_Resource1]]&lt;&gt;"")+(Tasks[[#This Row],[_Res2]]&lt;&gt;"")+(Tasks[[#This Row],[_Res3]]&lt;&gt;"")+(Tasks[[#This Row],[_Res4]]&lt;&gt;""))</f>
        <v>0</v>
      </c>
      <c r="DO45" s="42" t="str">
        <f aca="false">IF(Tasks[[#This Row],[_Res2Text]]="","",IF(Tasks[[#This Row],[_Res2Row]]&gt;0,INDEX(res_Name,Tasks[[#This Row],[_Res2Row]]),TRIM(LEFT(Tasks[[#This Row],[_Res2Text]],FIND("[",Tasks[[#This Row],[_Res2Text]]&amp;"[")-1))))</f>
        <v/>
      </c>
      <c r="DP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5" s="42" t="n">
        <f aca="false">IF(OR(NOT(Tasks[[#This Row],[_IsLeaf]]=1),Tasks[[#This Row],[_Res2Row]]=0),0,N(Tasks[[#This Row],[_Days]])*HoursPerDay*IF(Tasks[[#This Row],[_Res2Units]]="",DefaultUnits,Tasks[[#This Row],[_Res2Units]]))</f>
        <v>0</v>
      </c>
      <c r="DR45" s="42" t="n">
        <f aca="false">IF(AND(AND(Tasks[[#This Row],[_IsLeaf]]=1,Tasks[[#This Row],[_LeafTotalWork]]&gt;0),Tasks[[#This Row],[_Res2Work]]&gt;0),Tasks[[#This Row],[_Res2Work]]/(Tasks[[#This Row],[_FinishWorkday]]-Tasks[[#This Row],[_StartWorkday]]+1),0)</f>
        <v>0</v>
      </c>
      <c r="DS45" s="42" t="n">
        <f aca="false">Tasks[[#This Row],[_Res2WorkPerWD]]*MAX(0,Tasks[[#This Row],[_StartWorkday]]-1)</f>
        <v>0</v>
      </c>
      <c r="DT45" s="42" t="n">
        <f aca="false">Tasks[[#This Row],[_Res2Work]]*Tasks[[#This Row],[_LeafProgress]]</f>
        <v>0</v>
      </c>
      <c r="DU45" s="42" t="str">
        <f aca="false">IF(Tasks[[#This Row],[_Res3Text]]="","",IF(Tasks[[#This Row],[_Res3Row]]&gt;0,INDEX(res_Name,Tasks[[#This Row],[_Res3Row]]),TRIM(LEFT(Tasks[[#This Row],[_Res3Text]],FIND("[",Tasks[[#This Row],[_Res3Text]]&amp;"[")-1))))</f>
        <v/>
      </c>
      <c r="DV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5" s="42" t="n">
        <f aca="false">IF(OR(NOT(Tasks[[#This Row],[_IsLeaf]]=1),Tasks[[#This Row],[_Res3Row]]=0),0,N(Tasks[[#This Row],[_Days]])*HoursPerDay*IF(Tasks[[#This Row],[_Res3Units]]="",DefaultUnits,Tasks[[#This Row],[_Res3Units]]))</f>
        <v>0</v>
      </c>
      <c r="DX45" s="42" t="n">
        <f aca="false">IF(AND(AND(Tasks[[#This Row],[_IsLeaf]]=1,Tasks[[#This Row],[_LeafTotalWork]]&gt;0),Tasks[[#This Row],[_Res3Work]]&gt;0),Tasks[[#This Row],[_Res3Work]]/(Tasks[[#This Row],[_FinishWorkday]]-Tasks[[#This Row],[_StartWorkday]]+1),0)</f>
        <v>0</v>
      </c>
      <c r="DY45" s="42" t="n">
        <f aca="false">Tasks[[#This Row],[_Res3WorkPerWD]]*MAX(0,Tasks[[#This Row],[_StartWorkday]]-1)</f>
        <v>0</v>
      </c>
      <c r="DZ45" s="42" t="n">
        <f aca="false">Tasks[[#This Row],[_Res3Work]]*Tasks[[#This Row],[_LeafProgress]]</f>
        <v>0</v>
      </c>
      <c r="EA45" s="42" t="str">
        <f aca="false">IF(Tasks[[#This Row],[_Res4Text]]="","",IF(Tasks[[#This Row],[_Res4Row]]&gt;0,INDEX(res_Name,Tasks[[#This Row],[_Res4Row]]),TRIM(LEFT(Tasks[[#This Row],[_Res4Text]],FIND("[",Tasks[[#This Row],[_Res4Text]]&amp;"[")-1))))</f>
        <v/>
      </c>
      <c r="EB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5" s="42" t="n">
        <f aca="false">IF(OR(NOT(Tasks[[#This Row],[_IsLeaf]]=1),Tasks[[#This Row],[_Res4Row]]=0),0,N(Tasks[[#This Row],[_Days]])*HoursPerDay*IF(Tasks[[#This Row],[_Res4Units]]="",DefaultUnits,Tasks[[#This Row],[_Res4Units]]))</f>
        <v>0</v>
      </c>
      <c r="ED45" s="42" t="n">
        <f aca="false">IF(AND(AND(Tasks[[#This Row],[_IsLeaf]]=1,Tasks[[#This Row],[_LeafTotalWork]]&gt;0),Tasks[[#This Row],[_Res4Work]]&gt;0),Tasks[[#This Row],[_Res4Work]]/(Tasks[[#This Row],[_FinishWorkday]]-Tasks[[#This Row],[_StartWorkday]]+1),0)</f>
        <v>0</v>
      </c>
      <c r="EE45" s="42" t="n">
        <f aca="false">Tasks[[#This Row],[_Res4WorkPerWD]]*MAX(0,Tasks[[#This Row],[_StartWorkday]]-1)</f>
        <v>0</v>
      </c>
      <c r="EF45" s="42" t="n">
        <f aca="false">Tasks[[#This Row],[_Res4Work]]*Tasks[[#This Row],[_LeafProgress]]</f>
        <v>0</v>
      </c>
      <c r="EG45" s="42" t="n">
        <f aca="false">IF(ISNUMBER(Tasks[[#This Row],[% Complete]]),Tasks[[#This Row],[% Complete]],IF(Tasks[[#This Row],[Stage]]="",0,IFERROR(INDEX(stg_Pct,MATCH(Tasks[[#This Row],[Stage]],stg_Name,0)),0)))</f>
        <v>0</v>
      </c>
      <c r="EH45" s="42" t="n">
        <f aca="false">IF(NOT(Tasks[[#This Row],[_IsLeaf]]=1),0,IF(N(Tasks[[#This Row],[Actual Finish]])&gt;0,1,MIN(1,Tasks[[#This Row],[_Pct]])))</f>
        <v>0</v>
      </c>
      <c r="EI45" s="42" t="n">
        <f aca="false">IF(OR(NOT(Tasks[[#This Row],[_IsLeaf]]=1),Tasks[[#This Row],[_Res1Row]]=0),0,N(Tasks[[#This Row],[_Days]])*HoursPerDay*IF(Tasks[[#This Row],[_Units1]]="",DefaultUnits,Tasks[[#This Row],[_Units1]]))</f>
        <v>0</v>
      </c>
      <c r="EJ45" s="42" t="n">
        <f aca="false">Tasks[[#This Row],[_LeafWork]]+Tasks[[#This Row],[_Res2Work]]+Tasks[[#This Row],[_Res3Work]]+Tasks[[#This Row],[_Res4Work]]</f>
        <v>0</v>
      </c>
      <c r="EK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5" s="42" t="n">
        <f aca="false">IF(NOT(Tasks[[#This Row],[_IsLeaf]]=1),0,MAX(_xlfn.MAXIFS(Tasks[_Row],Tasks[_Pred1UID],Tasks[[#This Row],[UID]]),_xlfn.MAXIFS(Tasks[_Row],Tasks[_Pred2UID],Tasks[[#This Row],[UID]]),_xlfn.MAXIFS(Tasks[_Row],Tasks[_Pred3UID],Tasks[[#This Row],[UID]]),_xlfn.MAXIFS(Tasks[_Row],Tasks[_Pred4UID],Tasks[[#This Row],[UID]])))</f>
        <v>0</v>
      </c>
      <c r="ET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5" s="89" t="str">
        <f aca="false">IF(NOT(Tasks[[#This Row],[_IsLeaf]]=1),"",IF(N(Tasks[[#This Row],[_Days]])&lt;=0,Tasks[[#This Row],[_LeafLateFinish]],WORKDAY.INTL(Tasks[[#This Row],[_LeafLateFinish]],-(Tasks[[#This Row],[_Days]]-1),WorkWeek,Holidays)))</f>
        <v/>
      </c>
      <c r="EW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5" s="88" t="b">
        <f aca="false">AND(Tasks[[#This Row],[_IsLeaf]]=1,Tasks[[#This Row],[_LeafProgress]]&lt;1,N(Tasks[[#This Row],[_LeafTotalSlack]])&lt;=CriticalSlackDays)</f>
        <v>0</v>
      </c>
      <c r="EY45" s="42" t="n">
        <f aca="false">IF(AND(Tasks[[#This Row],[_IsLeaf]]=1,Tasks[[#This Row],[_ConstraintCode]]=1,Tasks[[#This Row],[Mode]]&lt;&gt;"Manual",N(Tasks[[#This Row],[Actual Start]])=0),MAX(0,N(Tasks[[#This Row],[Free Slack]])),0)</f>
        <v>0</v>
      </c>
      <c r="EZ45" s="89" t="str">
        <f aca="false">IF(NOT(Tasks[[#This Row],[_IsLeaf]]=1),"",IF(Tasks[[#This Row],[_AlapShift]]=0,Tasks[[#This Row],[_LeafCalcStart]],WORKDAY.INTL(Tasks[[#This Row],[_LeafCalcStart]],Tasks[[#This Row],[_AlapShift]],WorkWeek,Holidays)))</f>
        <v/>
      </c>
      <c r="FA45" s="89" t="str">
        <f aca="false">IF(NOT(Tasks[[#This Row],[_IsLeaf]]=1),"",IF(Tasks[[#This Row],[_AlapShift]]=0,Tasks[[#This Row],[_LeafCalcFinish]],WORKDAY.INTL(Tasks[[#This Row],[_LeafCalcFinish]],Tasks[[#This Row],[_AlapShift]],WorkWeek,Holidays)))</f>
        <v/>
      </c>
      <c r="FB45" s="89" t="str">
        <f aca="false">IF(NOT(Tasks[[#This Row],[_IsLeaf]]=1),"",IF(Tasks[[#This Row],[_AlapShift]]=0,Tasks[[#This Row],[_LeafFcstStart]],WORKDAY.INTL(Tasks[[#This Row],[_LeafFcstStart]],Tasks[[#This Row],[_AlapShift]],WorkWeek,Holidays)))</f>
        <v/>
      </c>
      <c r="FC45" s="89" t="str">
        <f aca="false">IF(NOT(Tasks[[#This Row],[_IsLeaf]]=1),"",IF(Tasks[[#This Row],[_AlapShift]]=0,Tasks[[#This Row],[_LeafFcstFinish]],WORKDAY.INTL(Tasks[[#This Row],[_LeafFcstFinish]],Tasks[[#This Row],[_AlapShift]],WorkWeek,Holidays)))</f>
        <v/>
      </c>
      <c r="FD45" s="89" t="str">
        <f aca="false">IF(Tasks[[#This Row],[Task Name]]="","",IF(Tasks[[#This Row],[_IsSummary]],MIN(INDEX(Tasks[_ShownCalcStart],Tasks[[#This Row],[_Row]]+1):INDEX(Tasks[_ShownCalcStart],Tasks[[#This Row],[_Row]]+Tasks[[#This Row],[_Descendants]])),Tasks[[#This Row],[_ShownCalcStart]]))</f>
        <v/>
      </c>
      <c r="FE45" s="89" t="str">
        <f aca="false">IF(Tasks[[#This Row],[Task Name]]="","",IF(Tasks[[#This Row],[_IsSummary]],MAX(INDEX(Tasks[_ShownCalcFinish],Tasks[[#This Row],[_Row]]+1):INDEX(Tasks[_ShownCalcFinish],Tasks[[#This Row],[_Row]]+Tasks[[#This Row],[_Descendants]])),Tasks[[#This Row],[_ShownCalcFinish]]))</f>
        <v/>
      </c>
      <c r="FF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5" s="42" t="n">
        <f aca="false">IF(AND(Tasks[[#This Row],[_IsLeaf]]=1,Tasks[[#This Row],[_LeafTotalWork]]&gt;0),NETWORKDAYS.INTL(ProjectStart,Tasks[[#This Row],[_ShownFcstStart]],WorkWeek,Holidays),0)</f>
        <v>0</v>
      </c>
      <c r="FS45" s="42" t="n">
        <f aca="false">IF(AND(Tasks[[#This Row],[_IsLeaf]]=1,Tasks[[#This Row],[_LeafTotalWork]]&gt;0),MAX(Tasks[[#This Row],[_StartWorkday]],NETWORKDAYS.INTL(ProjectStart,Tasks[[#This Row],[_ShownFcstFinish]],WorkWeek,Holidays)),0)</f>
        <v>0</v>
      </c>
      <c r="FT45" s="42" t="n">
        <f aca="false">IF(AND(Tasks[[#This Row],[_IsLeaf]]=1,Tasks[[#This Row],[_LeafTotalWork]]&gt;0),Tasks[[#This Row],[_LeafWork]]/(Tasks[[#This Row],[_FinishWorkday]]-Tasks[[#This Row],[_StartWorkday]]+1),0)</f>
        <v>0</v>
      </c>
      <c r="FU45" s="42" t="n">
        <f aca="false">Tasks[[#This Row],[_WorkPerWorkday]]*(Tasks[[#This Row],[_StartWorkday]]-1)</f>
        <v>-0</v>
      </c>
      <c r="FV45" s="42" t="n">
        <f aca="false">IF(Tasks[[#This Row],[_IsLeaf]]=1,MAX(N(Tasks[[#This Row],[_Days]]),0.1),0)</f>
        <v>0</v>
      </c>
      <c r="FW45" s="42" t="n">
        <f aca="false">Tasks[[#This Row],[_WeightDur]]*Tasks[[#This Row],[_LeafProgress]]</f>
        <v>0</v>
      </c>
      <c r="FX45" s="42" t="n">
        <f aca="false">Tasks[[#This Row],[_WeightDur]]*Tasks[[#This Row],[_PlannedPct]]</f>
        <v>0</v>
      </c>
      <c r="FY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5" s="42" t="str">
        <f aca="false">IF(AND(Tasks[[#This Row],[_IsLeaf]]=1,N(Tasks[[#This Row],[_Days]])=0,Tasks[[#This Row],[_LeafProgress]]&lt;1),Tasks[[#This Row],[_ShownFcstFinish]]+Tasks[[#This Row],[_Row]]/100000,"")</f>
        <v/>
      </c>
      <c r="GA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5" s="42" t="str">
        <f aca="false">IF(Tasks[[#This Row],[Task Name]]="","",LEFT(Tasks[[#This Row],[WBS]],FIND(".",Tasks[[#This Row],[WBS]]&amp;".")-1))</f>
        <v/>
      </c>
      <c r="GC45" s="42" t="str">
        <f aca="false">IF(AND(Tasks[[#This Row],[Task Name]]&lt;&gt;"",Tasks[[#This Row],[_Level]]=1),Tasks[[#This Row],[_Row]],"")</f>
        <v/>
      </c>
      <c r="GD45" s="42" t="str">
        <f aca="false">IF(AND(Tasks[[#This Row],[_IsLeaf]]=1,N(Tasks[[#This Row],[_Days]])=0),Tasks[[#This Row],[Planned Finish]]+Tasks[[#This Row],[_Row]]/100000,"")</f>
        <v/>
      </c>
      <c r="GE45" s="42" t="str">
        <f aca="false">IF(AND(Tasks[[#This Row],[_IsLeaf]]=1,Tasks[[#This Row],[_LeafProgress]]&lt;1,OR(N(Tasks[[#This Row],[Finish Var]])&gt;0,Tasks[[#This Row],[Status]]="Late Start")),MAX(0,Tasks[[#This Row],[Finish Var]])+1-Tasks[[#This Row],[_Row]]/1000000,"")</f>
        <v/>
      </c>
      <c r="GF45" s="42" t="str">
        <f aca="false">IF(AND(Tasks[[#This Row],[_IsLeaf]]=1,N(Tasks[[#This Row],[Actual Start]])=0,Tasks[[#This Row],[_ShownFcstStart]]&gt;=StatusDate,Tasks[[#This Row],[_ShownFcstStart]]&lt;=LookaheadEnd),Tasks[[#This Row],[_ShownFcstStart]]+Tasks[[#This Row],[_Row]]/100000,"")</f>
        <v/>
      </c>
      <c r="GG45" s="42" t="str">
        <f aca="false">IF(AND(Tasks[[#This Row],[_IsLeaf]]=1,Tasks[[#This Row],[_LeafProgress]]&lt;1,Tasks[[#This Row],[_ShownFcstFinish]]&gt;=StatusDate,Tasks[[#This Row],[_ShownFcstFinish]]&lt;=LookaheadEnd),Tasks[[#This Row],[_ShownFcstFinish]]+Tasks[[#This Row],[_Row]]/100000,"")</f>
        <v/>
      </c>
      <c r="GH45" s="42" t="str">
        <f aca="false">IF(Tasks[[#This Row],[_LeafCritical]],Tasks[[#This Row],[_ShownFcstStart]]+Tasks[[#This Row],[_Row]]/100000,"")</f>
        <v/>
      </c>
      <c r="GI45" s="42" t="n">
        <f aca="false">Tasks[[#This Row],[_LeafWork]]*Tasks[[#This Row],[_LeafProgress]]</f>
        <v>0</v>
      </c>
      <c r="GJ45" s="89" t="str">
        <f aca="false">IF(AND(Tasks[[#This Row],[_IsLeaf]]=1,Tasks[[#This Row],[_LeafProgress]]&gt;=1),IF(N(Tasks[[#This Row],[Actual Finish]])&gt;0,Tasks[[#This Row],[Actual Finish]],Tasks[[#This Row],[_ShownFcstFinish]]),"")</f>
        <v/>
      </c>
      <c r="GK45" s="42" t="n">
        <f aca="false">IF(Tasks[[#This Row],[_IsLeaf]]=1,N(Tasks[[#This Row],[Story Points]]),0)</f>
        <v>0</v>
      </c>
      <c r="GL45" s="42" t="str">
        <f aca="false">""</f>
        <v/>
      </c>
      <c r="GM45" s="88" t="b">
        <f aca="false">IF(Tasks[[#This Row],[Task Name]]="",FALSE(),AND(Tasks[[#This Row],[_IsLeaf]]=1,N(Tasks[[#This Row],[_Days]])=0))</f>
        <v>0</v>
      </c>
      <c r="GN45" s="89" t="n">
        <f aca="false">IF(Tasks[[#This Row],[Task Name]]="",0,IF(AND(Tasks[[#This Row],[_IsLeaf]]=1,NOT(Tasks[[#This Row],[_IsMilestone]]),N(Tasks[[#This Row],[Progress]])&gt;0),Tasks[[#This Row],[Start]],0))</f>
        <v>0</v>
      </c>
      <c r="GO45" s="89" t="n">
        <f aca="false">IF(Tasks[[#This Row],[_DoneFrom]]=0,0,IF(Tasks[[#This Row],[Progress]]&gt;=1,Tasks[[#This Row],[Finish]],MAX(Tasks[[#This Row],[_DoneFrom]],Tasks[[#This Row],[Start]]+ROUND((Tasks[[#This Row],[Finish]]-Tasks[[#This Row],[Start]]+1)*Tasks[[#This Row],[Progress]],0)-1)))</f>
        <v>0</v>
      </c>
      <c r="GP45" s="89" t="n">
        <f aca="false">IF(Tasks[[#This Row],[Task Name]]="",0,IF(OR(NOT(Tasks[[#This Row],[_IsLeaf]]=1),Tasks[[#This Row],[_IsMilestone]],N(Tasks[[#This Row],[Progress]])&gt;=1),0,IF(Tasks[[#This Row],[_DoneTo]]&gt;0,Tasks[[#This Row],[_DoneTo]]+1,Tasks[[#This Row],[Start]])))</f>
        <v>0</v>
      </c>
      <c r="GQ45" s="89" t="n">
        <f aca="false">IF(Tasks[[#This Row],[_RemFrom]]=0,0,Tasks[[#This Row],[Finish]])</f>
        <v>0</v>
      </c>
      <c r="GR45" s="88" t="b">
        <f aca="false">IF(Tasks[[#This Row],[Task Name]]="",FALSE(),OR(NOT(BaselineSet),N(Tasks[[#This Row],[Baseline Start]])&gt;0))</f>
        <v>0</v>
      </c>
      <c r="GS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5" s="90" t="str">
        <f aca="false">IF(Tasks[[#This Row],[_IsLeaf]]=1,Tasks[[#This Row],[_Row]],"")</f>
        <v/>
      </c>
      <c r="GW45" s="90" t="str">
        <f aca="false">IFERROR(INDEX(Tasks[UID],SMALL(Tasks[_PickKey],Tasks[[#This Row],[_Row]]))&amp;" "&amp;INDEX(Tasks[Task Name],SMALL(Tasks[_PickKey],Tasks[[#This Row],[_Row]])),"")</f>
        <v/>
      </c>
      <c r="GX45" s="42" t="str">
        <f aca="false">IF(Tasks[[#This Row],[Task Name]]="","",IF(Tasks[[#This Row],[_IsSummary]],NETWORKDAYS.INTL(Tasks[[#This Row],[Start]],Tasks[[#This Row],[Finish]],WorkWeek,Holidays),N(Tasks[[#This Row],[_Days]])))</f>
        <v/>
      </c>
    </row>
    <row r="46" customFormat="false" ht="15" hidden="false" customHeight="false" outlineLevel="0" collapsed="false">
      <c r="A46" s="21" t="str">
        <f aca="false">IF(Tasks[[#This Row],[Task Name]]="","",COUNTA(Tasks[[#Headers],[Task Name]]:Tasks[[#This Row],[Task Name]])-1)</f>
        <v/>
      </c>
      <c r="B46" s="22" t="n">
        <v>54</v>
      </c>
      <c r="C46" s="22"/>
      <c r="D46" s="23"/>
      <c r="E46" s="22"/>
      <c r="F46" s="23"/>
      <c r="G46" s="22"/>
      <c r="H46" s="22"/>
      <c r="I46" s="23"/>
      <c r="J46" s="22"/>
      <c r="K46" s="22"/>
      <c r="L46" s="23"/>
      <c r="M46" s="22"/>
      <c r="N46" s="22"/>
      <c r="O46" s="23"/>
      <c r="P46" s="22"/>
      <c r="Q46" s="22"/>
      <c r="R46" s="23"/>
      <c r="S46" s="23"/>
      <c r="T46" s="83"/>
      <c r="U46" s="23"/>
      <c r="V46" s="83"/>
      <c r="W46" s="23"/>
      <c r="X46" s="83"/>
      <c r="Y46" s="23"/>
      <c r="Z46" s="83"/>
      <c r="AA46" s="23"/>
      <c r="AB46" s="23"/>
      <c r="AC46" s="7"/>
      <c r="AD46" s="7"/>
      <c r="AE46" s="62" t="str">
        <f aca="false">IF(Tasks[[#This Row],[Task Name]]="","",IF(Tasks[[#This Row],[_IsSummary]],MIN(INDEX(Tasks[_ShownFcstStart],Tasks[[#This Row],[_Row]]+1):INDEX(Tasks[_ShownFcstStart],Tasks[[#This Row],[_Row]]+Tasks[[#This Row],[_Descendants]])),Tasks[[#This Row],[_ShownFcstStart]]))</f>
        <v/>
      </c>
      <c r="AF46" s="62" t="str">
        <f aca="false">IF(Tasks[[#This Row],[Task Name]]="","",IF(Tasks[[#This Row],[_IsSummary]],MAX(INDEX(Tasks[_ShownFcstFinish],Tasks[[#This Row],[_Row]]+1):INDEX(Tasks[_ShownFcstFinish],Tasks[[#This Row],[_Row]]+Tasks[[#This Row],[_Descendants]])),Tasks[[#This Row],[_ShownFcstFinish]]))</f>
        <v/>
      </c>
      <c r="AG46" s="21" t="str">
        <f aca="false">""</f>
        <v/>
      </c>
      <c r="AH46" s="23"/>
      <c r="AI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6" s="7"/>
      <c r="AK46" s="22"/>
      <c r="AL46" s="23"/>
      <c r="AM46" s="7"/>
      <c r="AN46" s="46" t="str">
        <f aca="false">IF(Tasks[[#This Row],[Task Name]]="","",IF(Tasks[[#This Row],[Finish]]&gt;=Tasks[[#This Row],[Planned Finish]],NETWORKDAYS.INTL(Tasks[[#This Row],[Planned Finish]],Tasks[[#This Row],[Finish]],WorkWeek,Holidays)-1,1-NETWORKDAYS.INTL(Tasks[[#This Row],[Finish]],Tasks[[#This Row],[Planned Finish]],WorkWeek,Holidays)))</f>
        <v/>
      </c>
      <c r="AO46" s="21" t="str">
        <f aca="false">IF(Tasks[[#This Row],[Task Name]]="","",IF(Tasks[[#This Row],[Progress]]&gt;=1,"Complete",IF(OR(N(Tasks[[#This Row],[Actual Start]])&gt;0,Tasks[[#This Row],[Progress]]&gt;0),IF(Tasks[[#This Row],[Finish Var]]&gt;0,"Behind","In Progress"),IF(Tasks[[#This Row],[Planned Start]]&lt;StatusDate,"Late Start","Not Started"))))</f>
        <v/>
      </c>
      <c r="AP46" s="21" t="str">
        <f aca="false">IF(Tasks[[#This Row],[Task Name]]="","",IF(IF(Tasks[[#This Row],[_IsSummary]],COUNTIF(INDEX(Tasks[_LeafCritical],Tasks[[#This Row],[_Row]]+1):INDEX(Tasks[_LeafCritical],Tasks[[#This Row],[_Row]]+Tasks[[#This Row],[_Descendants]]),TRUE())&gt;0,Tasks[[#This Row],[_LeafCritical]]),"Yes",""))</f>
        <v/>
      </c>
      <c r="AQ46" s="62" t="str">
        <f aca="false">IF(Tasks[[#This Row],[Task Name]]="","",IF(N(Tasks[[#This Row],[Baseline Start]])&gt;0,Tasks[[#This Row],[Baseline Start]],Tasks[[#This Row],[_CalcStart]]))</f>
        <v/>
      </c>
      <c r="AR46" s="62" t="str">
        <f aca="false">IF(Tasks[[#This Row],[Task Name]]="","",IF(N(Tasks[[#This Row],[Baseline Finish]])&gt;0,Tasks[[#This Row],[Baseline Finish]],Tasks[[#This Row],[_CalcFinish]]))</f>
        <v/>
      </c>
      <c r="AS46" s="46" t="str">
        <f aca="false">IF(Tasks[[#This Row],[Task Name]]="","",IF(Tasks[[#This Row],[Start]]&gt;=Tasks[[#This Row],[Planned Start]],NETWORKDAYS.INTL(Tasks[[#This Row],[Planned Start]],Tasks[[#This Row],[Start]],WorkWeek,Holidays)-1,1-NETWORKDAYS.INTL(Tasks[[#This Row],[Start]],Tasks[[#This Row],[Planned Start]],WorkWeek,Holidays)))</f>
        <v/>
      </c>
      <c r="AT46" s="62" t="str">
        <f aca="false">IF(Tasks[[#This Row],[Task Name]]="","",IF(Tasks[[#This Row],[_IsSummary]],MIN(INDEX(Tasks[_LeafLateStart],Tasks[[#This Row],[_Row]]+1):INDEX(Tasks[_LeafLateStart],Tasks[[#This Row],[_Row]]+Tasks[[#This Row],[_Descendants]])),Tasks[[#This Row],[_LeafLateStart]]))</f>
        <v/>
      </c>
      <c r="AU46" s="62" t="str">
        <f aca="false">IF(Tasks[[#This Row],[Task Name]]="","",IF(Tasks[[#This Row],[_IsSummary]],MAX(INDEX(Tasks[_LeafLateFinish],Tasks[[#This Row],[_Row]]+1):INDEX(Tasks[_LeafLateFinish],Tasks[[#This Row],[_Row]]+Tasks[[#This Row],[_Descendants]])),Tasks[[#This Row],[_LeafLateFinish]]))</f>
        <v/>
      </c>
      <c r="AV46" s="46" t="str">
        <f aca="false">IF(Tasks[[#This Row],[Task Name]]="","",IF(Tasks[[#This Row],[_IsSummary]],MIN(INDEX(Tasks[_LeafTotalSlack],Tasks[[#This Row],[_Row]]+1):INDEX(Tasks[_LeafTotalSlack],Tasks[[#This Row],[_Row]]+Tasks[[#This Row],[_Descendants]])),Tasks[[#This Row],[_LeafTotalSlack]]))</f>
        <v/>
      </c>
      <c r="AW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4"/>
      <c r="BA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t="str">
        <f aca="false">IF(Tasks[[#This Row],[Task Name]]="","",IF(Tasks[[#This Row],[_Level]]&lt;=OutlineShowLevel,"Yes","No"))</f>
        <v/>
      </c>
      <c r="BE46" s="85" t="str">
        <f aca="false">IF(Tasks[[#This Row],[Task Name]]="","",IF(Tasks[[#This Row],[_IsSummary]],SUM(INDEX(Tasks[_LeafTotalWork],Tasks[[#This Row],[_Row]]+1):INDEX(Tasks[_LeafTotalWork],Tasks[[#This Row],[_Row]]+Tasks[[#This Row],[_Descendants]])),Tasks[[#This Row],[_LeafTotalWork]]))</f>
        <v/>
      </c>
      <c r="BF46" s="23"/>
      <c r="BG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t="str">
        <f aca="false">""</f>
        <v/>
      </c>
      <c r="BI46" s="86"/>
      <c r="BJ46" s="22"/>
      <c r="BK46" s="46" t="str">
        <f aca="false">IF(OR(Tasks[[#This Row],[Task Name]]="",Tasks[[#This Row],[Baseline Duration]]=""),"",Tasks[[#This Row],[_SpanDays]]-N(Tasks[[#This Row],[Baseline Duration]]))</f>
        <v/>
      </c>
      <c r="BL46" s="85" t="str">
        <f aca="false">IF(OR(Tasks[[#This Row],[Task Name]]="",Tasks[[#This Row],[Baseline Work]]=""),"",Tasks[[#This Row],[Work]]-N(Tasks[[#This Row],[Baseline Work]]))</f>
        <v/>
      </c>
      <c r="BM46" s="62" t="str">
        <f aca="false">IF(Tasks[[#This Row],[Task Name]]="","",IF(OR(TakeBaseline="Yes",N(Tasks[[#This Row],[Baseline Start]])=0),Tasks[[#This Row],[Start]],Tasks[[#This Row],[Baseline Start]]))</f>
        <v/>
      </c>
      <c r="BN46" s="62" t="str">
        <f aca="false">IF(Tasks[[#This Row],[Task Name]]="","",IF(OR(TakeBaseline="Yes",N(Tasks[[#This Row],[Baseline Finish]])=0),Tasks[[#This Row],[Finish]],Tasks[[#This Row],[Baseline Finish]]))</f>
        <v/>
      </c>
      <c r="BO46" s="21" t="str">
        <f aca="false">IF(Tasks[[#This Row],[Task Name]]="","",IF(OR(TakeBaseline="Yes",N(Tasks[[#This Row],[Baseline Duration]])=0),Tasks[[#This Row],[_SpanDays]],Tasks[[#This Row],[Baseline Duration]]))</f>
        <v/>
      </c>
      <c r="BP46" s="85" t="str">
        <f aca="false">IF(Tasks[[#This Row],[Task Name]]="","",IF(OR(TakeBaseline="Yes",N(Tasks[[#This Row],[Baseline Work]])=0),Tasks[[#This Row],[Work]],Tasks[[#This Row],[Baseline Work]]))</f>
        <v/>
      </c>
      <c r="BQ46" s="7"/>
      <c r="BR46" s="7"/>
      <c r="BS46" s="22"/>
      <c r="BT46" s="87"/>
      <c r="BU46" s="42" t="str">
        <f aca="false">IF(Tasks[[#This Row],[Task Name]]="","",MAX(1,N(Tasks[[#This Row],[Level]])))</f>
        <v/>
      </c>
      <c r="BV46" s="42" t="n">
        <f aca="false">ROW()-ROW(Tasks[[#Headers],[ID]])</f>
        <v>41</v>
      </c>
      <c r="BW46" s="42" t="n">
        <f aca="false">IF(OR(Tasks[[#This Row],[Task Name]]="",Tasks[[#This Row],[_Level]]&lt;=1),0,IFERROR(LOOKUP(2,1/(Tasks[[#Headers],[_Level]]:Tasks[[#This Row],[_Level]]=Tasks[[#This Row],[_Level]]-1),ROW(Tasks[[#Headers],[_Level]]:Tasks[[#This Row],[_Level]])),0))</f>
        <v>0</v>
      </c>
      <c r="BX46" s="42" t="n">
        <f aca="false">IFERROR(N(INDEX(Tasks[_Level],Tasks[[#This Row],[_Row]]+1)),0)</f>
        <v>0</v>
      </c>
      <c r="BY46" s="88" t="b">
        <f aca="false">AND(Tasks[[#This Row],[Task Name]]&lt;&gt;"",Tasks[[#This Row],[_NextLevel]]&gt;Tasks[[#This Row],[_Level]])</f>
        <v>0</v>
      </c>
      <c r="BZ46" s="42" t="n">
        <f aca="false">IF(Tasks[[#This Row],[_IsSummary]],COUNTIF(Tasks[WBS],Tasks[[#This Row],[WBS]]&amp;".*"),0)</f>
        <v>0</v>
      </c>
      <c r="CA46" s="42" t="n">
        <f aca="false">IF(AND(Tasks[[#This Row],[Task Name]]&lt;&gt;"",NOT(Tasks[[#This Row],[_IsSummary]])),1,0)</f>
        <v>0</v>
      </c>
      <c r="CB46" s="42" t="n">
        <f aca="false">IF(N(Tasks[[#This Row],[_Pred1UID]])=0,0,IFERROR(MATCH(Tasks[[#This Row],[_Pred1UID]],Tasks[UID],0),-1))</f>
        <v>0</v>
      </c>
      <c r="CC46" s="42" t="n">
        <f aca="false">IF(N(Tasks[[#This Row],[_Pred2UID]])=0,0,IFERROR(MATCH(Tasks[[#This Row],[_Pred2UID]],Tasks[UID],0),-1))</f>
        <v>0</v>
      </c>
      <c r="CD46" s="42" t="n">
        <f aca="false">IF(N(Tasks[[#This Row],[_Pred3UID]])=0,0,IFERROR(MATCH(Tasks[[#This Row],[_Pred3UID]],Tasks[UID],0),-1))</f>
        <v>0</v>
      </c>
      <c r="CE46" s="42" t="n">
        <f aca="false">IF(N(Tasks[[#This Row],[_Pred4UID]])=0,0,IFERROR(MATCH(Tasks[[#This Row],[_Pred4UID]],Tasks[UID],0),-1))</f>
        <v>0</v>
      </c>
      <c r="CF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6" s="89" t="n">
        <f aca="false">IF(OR(Tasks[[#This Row],[_ConstraintCode]]=2,Tasks[[#This Row],[_ConstraintCode]]=3,Tasks[[#This Row],[_ConstraintCode]]=4,Tasks[[#This Row],[_ConstraintCode]]=6),Tasks[[#This Row],[_ConstraintStart]],0)</f>
        <v>0</v>
      </c>
      <c r="CI46" s="89" t="n">
        <f aca="false">IF(OR(Tasks[[#This Row],[_ConstraintCode]]=2,Tasks[[#This Row],[_ConstraintCode]]=3,Tasks[[#This Row],[_ConstraintCode]]=5,Tasks[[#This Row],[_ConstraintCode]]=7),Tasks[[#This Row],[_ConstraintStart]],2958465)</f>
        <v>2958465</v>
      </c>
      <c r="CJ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6" s="89" t="str">
        <f aca="false">IF(NOT(Tasks[[#This Row],[_IsLeaf]]=1),"",IF(N(Tasks[[#This Row],[_Days]])&lt;=0,Tasks[[#This Row],[_LeafCalcStart]],WORKDAY.INTL(Tasks[[#This Row],[_LeafCalcStart]],Tasks[[#This Row],[_Days]]-1,WorkWeek,Holidays)))</f>
        <v/>
      </c>
      <c r="CL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6" s="42" t="str">
        <f aca="false">IF(Tasks[[#This Row],[_Predecessors]]="","",TRIM(MID(SUBSTITUTE(SUBSTITUTE(SUBSTITUTE(UPPER(Tasks[[#This Row],[_Predecessors]]),";",",")," ",""),",",REPT(" ",99)),1,99)))</f>
        <v/>
      </c>
      <c r="CO46" s="42" t="str">
        <f aca="false">IF(Tasks[[#This Row],[_Pred1Text]]="","",IFERROR(VALUE(LEFT(Tasks[[#This Row],[_Pred1Text]],MIN(FIND("F",Tasks[[#This Row],[_Pred1Text]]&amp;"F"),FIND("S",Tasks[[#This Row],[_Pred1Text]]&amp;"S"),FIND("+",Tasks[[#This Row],[_Pred1Text]]&amp;"+"),FIND("-",Tasks[[#This Row],[_Pred1Text]]&amp;"-"))-1)),""))</f>
        <v/>
      </c>
      <c r="CP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6" s="42" t="str">
        <f aca="false">IF(Tasks[[#This Row],[_Pred1Text]]="","",TRIM(MID(SUBSTITUTE(SUBSTITUTE(SUBSTITUTE(UPPER(Tasks[[#This Row],[_Predecessors]]),";",",")," ",""),",",REPT(" ",99)),100,99)))</f>
        <v/>
      </c>
      <c r="CS46" s="42" t="str">
        <f aca="false">IF(Tasks[[#This Row],[_Pred2Text]]="","",IFERROR(VALUE(LEFT(Tasks[[#This Row],[_Pred2Text]],MIN(FIND("F",Tasks[[#This Row],[_Pred2Text]]&amp;"F"),FIND("S",Tasks[[#This Row],[_Pred2Text]]&amp;"S"),FIND("+",Tasks[[#This Row],[_Pred2Text]]&amp;"+"),FIND("-",Tasks[[#This Row],[_Pred2Text]]&amp;"-"))-1)),""))</f>
        <v/>
      </c>
      <c r="CT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6" s="42" t="str">
        <f aca="false">IF(Tasks[[#This Row],[_Pred2Text]]="","",TRIM(MID(SUBSTITUTE(SUBSTITUTE(SUBSTITUTE(UPPER(Tasks[[#This Row],[_Predecessors]]),";",",")," ",""),",",REPT(" ",99)),199,99)))</f>
        <v/>
      </c>
      <c r="CW46" s="42" t="str">
        <f aca="false">IF(Tasks[[#This Row],[_Pred3Text]]="","",IFERROR(VALUE(LEFT(Tasks[[#This Row],[_Pred3Text]],MIN(FIND("F",Tasks[[#This Row],[_Pred3Text]]&amp;"F"),FIND("S",Tasks[[#This Row],[_Pred3Text]]&amp;"S"),FIND("+",Tasks[[#This Row],[_Pred3Text]]&amp;"+"),FIND("-",Tasks[[#This Row],[_Pred3Text]]&amp;"-"))-1)),""))</f>
        <v/>
      </c>
      <c r="CX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6" s="42" t="str">
        <f aca="false">IF(Tasks[[#This Row],[_Pred3Text]]="","",TRIM(MID(SUBSTITUTE(SUBSTITUTE(SUBSTITUTE(UPPER(Tasks[[#This Row],[_Predecessors]]),";",",")," ",""),",",REPT(" ",99)),298,99)))</f>
        <v/>
      </c>
      <c r="DA46" s="42" t="str">
        <f aca="false">IF(Tasks[[#This Row],[_Pred4Text]]="","",IFERROR(VALUE(LEFT(Tasks[[#This Row],[_Pred4Text]],MIN(FIND("F",Tasks[[#This Row],[_Pred4Text]]&amp;"F"),FIND("S",Tasks[[#This Row],[_Pred4Text]]&amp;"S"),FIND("+",Tasks[[#This Row],[_Pred4Text]]&amp;"+"),FIND("-",Tasks[[#This Row],[_Pred4Text]]&amp;"-"))-1)),""))</f>
        <v/>
      </c>
      <c r="DB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6" s="42" t="str">
        <f aca="false">IF(OR(Tasks[[#This Row],[Task Name]]="",Tasks[[#This Row],[_Resources]]=""),"",TRIM(MID(SUBSTITUTE(Tasks[[#This Row],[_Resources]],",",REPT(" ",99)),1,99)))</f>
        <v/>
      </c>
      <c r="DE46" s="42" t="str">
        <f aca="false">IF(Tasks[[#This Row],[_Res1Text]]="","",TRIM(MID(SUBSTITUTE(Tasks[[#This Row],[_Resources]],",",REPT(" ",99)),100,99)))</f>
        <v/>
      </c>
      <c r="DF46" s="42" t="str">
        <f aca="false">IF(Tasks[[#This Row],[_Res2Text]]="","",TRIM(MID(SUBSTITUTE(Tasks[[#This Row],[_Resources]],",",REPT(" ",99)),199,99)))</f>
        <v/>
      </c>
      <c r="DG46" s="42" t="str">
        <f aca="false">IF(Tasks[[#This Row],[_Res3Text]]="","",TRIM(MID(SUBSTITUTE(Tasks[[#This Row],[_Resources]],",",REPT(" ",99)),298,99)))</f>
        <v/>
      </c>
      <c r="DH46" s="42" t="n">
        <f aca="false">IF(Tasks[[#This Row],[_Res1Text]]="",0,IFERROR(MATCH(TRIM(LEFT(Tasks[[#This Row],[_Res1Text]],FIND("[",Tasks[[#This Row],[_Res1Text]]&amp;"[")-1)),res_Name,0),IFERROR(MATCH(TRIM(LEFT(Tasks[[#This Row],[_Res1Text]],FIND("[",Tasks[[#This Row],[_Res1Text]]&amp;"[")-1)),res_Initials,0),0)))</f>
        <v>0</v>
      </c>
      <c r="DI46" s="42" t="n">
        <f aca="false">IF(Tasks[[#This Row],[_Res2Text]]="",0,IFERROR(MATCH(TRIM(LEFT(Tasks[[#This Row],[_Res2Text]],FIND("[",Tasks[[#This Row],[_Res2Text]]&amp;"[")-1)),res_Name,0),IFERROR(MATCH(TRIM(LEFT(Tasks[[#This Row],[_Res2Text]],FIND("[",Tasks[[#This Row],[_Res2Text]]&amp;"[")-1)),res_Initials,0),0)))</f>
        <v>0</v>
      </c>
      <c r="DJ46" s="42" t="n">
        <f aca="false">IF(Tasks[[#This Row],[_Res3Text]]="",0,IFERROR(MATCH(TRIM(LEFT(Tasks[[#This Row],[_Res3Text]],FIND("[",Tasks[[#This Row],[_Res3Text]]&amp;"[")-1)),res_Name,0),IFERROR(MATCH(TRIM(LEFT(Tasks[[#This Row],[_Res3Text]],FIND("[",Tasks[[#This Row],[_Res3Text]]&amp;"[")-1)),res_Initials,0),0)))</f>
        <v>0</v>
      </c>
      <c r="DK46" s="42" t="n">
        <f aca="false">IF(Tasks[[#This Row],[_Res4Text]]="",0,IFERROR(MATCH(TRIM(LEFT(Tasks[[#This Row],[_Res4Text]],FIND("[",Tasks[[#This Row],[_Res4Text]]&amp;"[")-1)),res_Name,0),IFERROR(MATCH(TRIM(LEFT(Tasks[[#This Row],[_Res4Text]],FIND("[",Tasks[[#This Row],[_Res4Text]]&amp;"[")-1)),res_Initials,0),0)))</f>
        <v>0</v>
      </c>
      <c r="DL46" s="42" t="str">
        <f aca="false">IF(Tasks[[#This Row],[_Res1Text]]="","",IF(Tasks[[#This Row],[_Res1Row]]&gt;0,INDEX(res_Name,Tasks[[#This Row],[_Res1Row]]),TRIM(LEFT(Tasks[[#This Row],[_Res1Text]],FIND("[",Tasks[[#This Row],[_Res1Text]]&amp;"[")-1))))</f>
        <v/>
      </c>
      <c r="DM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6" s="42" t="n">
        <f aca="false">IF(NOT(Tasks[[#This Row],[_IsLeaf]]=1),0,(Tasks[[#This Row],[_Resource1]]&lt;&gt;"")+(Tasks[[#This Row],[_Res2]]&lt;&gt;"")+(Tasks[[#This Row],[_Res3]]&lt;&gt;"")+(Tasks[[#This Row],[_Res4]]&lt;&gt;""))</f>
        <v>0</v>
      </c>
      <c r="DO46" s="42" t="str">
        <f aca="false">IF(Tasks[[#This Row],[_Res2Text]]="","",IF(Tasks[[#This Row],[_Res2Row]]&gt;0,INDEX(res_Name,Tasks[[#This Row],[_Res2Row]]),TRIM(LEFT(Tasks[[#This Row],[_Res2Text]],FIND("[",Tasks[[#This Row],[_Res2Text]]&amp;"[")-1))))</f>
        <v/>
      </c>
      <c r="DP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6" s="42" t="n">
        <f aca="false">IF(OR(NOT(Tasks[[#This Row],[_IsLeaf]]=1),Tasks[[#This Row],[_Res2Row]]=0),0,N(Tasks[[#This Row],[_Days]])*HoursPerDay*IF(Tasks[[#This Row],[_Res2Units]]="",DefaultUnits,Tasks[[#This Row],[_Res2Units]]))</f>
        <v>0</v>
      </c>
      <c r="DR46" s="42" t="n">
        <f aca="false">IF(AND(AND(Tasks[[#This Row],[_IsLeaf]]=1,Tasks[[#This Row],[_LeafTotalWork]]&gt;0),Tasks[[#This Row],[_Res2Work]]&gt;0),Tasks[[#This Row],[_Res2Work]]/(Tasks[[#This Row],[_FinishWorkday]]-Tasks[[#This Row],[_StartWorkday]]+1),0)</f>
        <v>0</v>
      </c>
      <c r="DS46" s="42" t="n">
        <f aca="false">Tasks[[#This Row],[_Res2WorkPerWD]]*MAX(0,Tasks[[#This Row],[_StartWorkday]]-1)</f>
        <v>0</v>
      </c>
      <c r="DT46" s="42" t="n">
        <f aca="false">Tasks[[#This Row],[_Res2Work]]*Tasks[[#This Row],[_LeafProgress]]</f>
        <v>0</v>
      </c>
      <c r="DU46" s="42" t="str">
        <f aca="false">IF(Tasks[[#This Row],[_Res3Text]]="","",IF(Tasks[[#This Row],[_Res3Row]]&gt;0,INDEX(res_Name,Tasks[[#This Row],[_Res3Row]]),TRIM(LEFT(Tasks[[#This Row],[_Res3Text]],FIND("[",Tasks[[#This Row],[_Res3Text]]&amp;"[")-1))))</f>
        <v/>
      </c>
      <c r="DV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6" s="42" t="n">
        <f aca="false">IF(OR(NOT(Tasks[[#This Row],[_IsLeaf]]=1),Tasks[[#This Row],[_Res3Row]]=0),0,N(Tasks[[#This Row],[_Days]])*HoursPerDay*IF(Tasks[[#This Row],[_Res3Units]]="",DefaultUnits,Tasks[[#This Row],[_Res3Units]]))</f>
        <v>0</v>
      </c>
      <c r="DX46" s="42" t="n">
        <f aca="false">IF(AND(AND(Tasks[[#This Row],[_IsLeaf]]=1,Tasks[[#This Row],[_LeafTotalWork]]&gt;0),Tasks[[#This Row],[_Res3Work]]&gt;0),Tasks[[#This Row],[_Res3Work]]/(Tasks[[#This Row],[_FinishWorkday]]-Tasks[[#This Row],[_StartWorkday]]+1),0)</f>
        <v>0</v>
      </c>
      <c r="DY46" s="42" t="n">
        <f aca="false">Tasks[[#This Row],[_Res3WorkPerWD]]*MAX(0,Tasks[[#This Row],[_StartWorkday]]-1)</f>
        <v>0</v>
      </c>
      <c r="DZ46" s="42" t="n">
        <f aca="false">Tasks[[#This Row],[_Res3Work]]*Tasks[[#This Row],[_LeafProgress]]</f>
        <v>0</v>
      </c>
      <c r="EA46" s="42" t="str">
        <f aca="false">IF(Tasks[[#This Row],[_Res4Text]]="","",IF(Tasks[[#This Row],[_Res4Row]]&gt;0,INDEX(res_Name,Tasks[[#This Row],[_Res4Row]]),TRIM(LEFT(Tasks[[#This Row],[_Res4Text]],FIND("[",Tasks[[#This Row],[_Res4Text]]&amp;"[")-1))))</f>
        <v/>
      </c>
      <c r="EB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6" s="42" t="n">
        <f aca="false">IF(OR(NOT(Tasks[[#This Row],[_IsLeaf]]=1),Tasks[[#This Row],[_Res4Row]]=0),0,N(Tasks[[#This Row],[_Days]])*HoursPerDay*IF(Tasks[[#This Row],[_Res4Units]]="",DefaultUnits,Tasks[[#This Row],[_Res4Units]]))</f>
        <v>0</v>
      </c>
      <c r="ED46" s="42" t="n">
        <f aca="false">IF(AND(AND(Tasks[[#This Row],[_IsLeaf]]=1,Tasks[[#This Row],[_LeafTotalWork]]&gt;0),Tasks[[#This Row],[_Res4Work]]&gt;0),Tasks[[#This Row],[_Res4Work]]/(Tasks[[#This Row],[_FinishWorkday]]-Tasks[[#This Row],[_StartWorkday]]+1),0)</f>
        <v>0</v>
      </c>
      <c r="EE46" s="42" t="n">
        <f aca="false">Tasks[[#This Row],[_Res4WorkPerWD]]*MAX(0,Tasks[[#This Row],[_StartWorkday]]-1)</f>
        <v>0</v>
      </c>
      <c r="EF46" s="42" t="n">
        <f aca="false">Tasks[[#This Row],[_Res4Work]]*Tasks[[#This Row],[_LeafProgress]]</f>
        <v>0</v>
      </c>
      <c r="EG46" s="42" t="n">
        <f aca="false">IF(ISNUMBER(Tasks[[#This Row],[% Complete]]),Tasks[[#This Row],[% Complete]],IF(Tasks[[#This Row],[Stage]]="",0,IFERROR(INDEX(stg_Pct,MATCH(Tasks[[#This Row],[Stage]],stg_Name,0)),0)))</f>
        <v>0</v>
      </c>
      <c r="EH46" s="42" t="n">
        <f aca="false">IF(NOT(Tasks[[#This Row],[_IsLeaf]]=1),0,IF(N(Tasks[[#This Row],[Actual Finish]])&gt;0,1,MIN(1,Tasks[[#This Row],[_Pct]])))</f>
        <v>0</v>
      </c>
      <c r="EI46" s="42" t="n">
        <f aca="false">IF(OR(NOT(Tasks[[#This Row],[_IsLeaf]]=1),Tasks[[#This Row],[_Res1Row]]=0),0,N(Tasks[[#This Row],[_Days]])*HoursPerDay*IF(Tasks[[#This Row],[_Units1]]="",DefaultUnits,Tasks[[#This Row],[_Units1]]))</f>
        <v>0</v>
      </c>
      <c r="EJ46" s="42" t="n">
        <f aca="false">Tasks[[#This Row],[_LeafWork]]+Tasks[[#This Row],[_Res2Work]]+Tasks[[#This Row],[_Res3Work]]+Tasks[[#This Row],[_Res4Work]]</f>
        <v>0</v>
      </c>
      <c r="EK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6" s="42" t="n">
        <f aca="false">IF(NOT(Tasks[[#This Row],[_IsLeaf]]=1),0,MAX(_xlfn.MAXIFS(Tasks[_Row],Tasks[_Pred1UID],Tasks[[#This Row],[UID]]),_xlfn.MAXIFS(Tasks[_Row],Tasks[_Pred2UID],Tasks[[#This Row],[UID]]),_xlfn.MAXIFS(Tasks[_Row],Tasks[_Pred3UID],Tasks[[#This Row],[UID]]),_xlfn.MAXIFS(Tasks[_Row],Tasks[_Pred4UID],Tasks[[#This Row],[UID]])))</f>
        <v>0</v>
      </c>
      <c r="ET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6" s="89" t="str">
        <f aca="false">IF(NOT(Tasks[[#This Row],[_IsLeaf]]=1),"",IF(N(Tasks[[#This Row],[_Days]])&lt;=0,Tasks[[#This Row],[_LeafLateFinish]],WORKDAY.INTL(Tasks[[#This Row],[_LeafLateFinish]],-(Tasks[[#This Row],[_Days]]-1),WorkWeek,Holidays)))</f>
        <v/>
      </c>
      <c r="EW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6" s="88" t="b">
        <f aca="false">AND(Tasks[[#This Row],[_IsLeaf]]=1,Tasks[[#This Row],[_LeafProgress]]&lt;1,N(Tasks[[#This Row],[_LeafTotalSlack]])&lt;=CriticalSlackDays)</f>
        <v>0</v>
      </c>
      <c r="EY46" s="42" t="n">
        <f aca="false">IF(AND(Tasks[[#This Row],[_IsLeaf]]=1,Tasks[[#This Row],[_ConstraintCode]]=1,Tasks[[#This Row],[Mode]]&lt;&gt;"Manual",N(Tasks[[#This Row],[Actual Start]])=0),MAX(0,N(Tasks[[#This Row],[Free Slack]])),0)</f>
        <v>0</v>
      </c>
      <c r="EZ46" s="89" t="str">
        <f aca="false">IF(NOT(Tasks[[#This Row],[_IsLeaf]]=1),"",IF(Tasks[[#This Row],[_AlapShift]]=0,Tasks[[#This Row],[_LeafCalcStart]],WORKDAY.INTL(Tasks[[#This Row],[_LeafCalcStart]],Tasks[[#This Row],[_AlapShift]],WorkWeek,Holidays)))</f>
        <v/>
      </c>
      <c r="FA46" s="89" t="str">
        <f aca="false">IF(NOT(Tasks[[#This Row],[_IsLeaf]]=1),"",IF(Tasks[[#This Row],[_AlapShift]]=0,Tasks[[#This Row],[_LeafCalcFinish]],WORKDAY.INTL(Tasks[[#This Row],[_LeafCalcFinish]],Tasks[[#This Row],[_AlapShift]],WorkWeek,Holidays)))</f>
        <v/>
      </c>
      <c r="FB46" s="89" t="str">
        <f aca="false">IF(NOT(Tasks[[#This Row],[_IsLeaf]]=1),"",IF(Tasks[[#This Row],[_AlapShift]]=0,Tasks[[#This Row],[_LeafFcstStart]],WORKDAY.INTL(Tasks[[#This Row],[_LeafFcstStart]],Tasks[[#This Row],[_AlapShift]],WorkWeek,Holidays)))</f>
        <v/>
      </c>
      <c r="FC46" s="89" t="str">
        <f aca="false">IF(NOT(Tasks[[#This Row],[_IsLeaf]]=1),"",IF(Tasks[[#This Row],[_AlapShift]]=0,Tasks[[#This Row],[_LeafFcstFinish]],WORKDAY.INTL(Tasks[[#This Row],[_LeafFcstFinish]],Tasks[[#This Row],[_AlapShift]],WorkWeek,Holidays)))</f>
        <v/>
      </c>
      <c r="FD46" s="89" t="str">
        <f aca="false">IF(Tasks[[#This Row],[Task Name]]="","",IF(Tasks[[#This Row],[_IsSummary]],MIN(INDEX(Tasks[_ShownCalcStart],Tasks[[#This Row],[_Row]]+1):INDEX(Tasks[_ShownCalcStart],Tasks[[#This Row],[_Row]]+Tasks[[#This Row],[_Descendants]])),Tasks[[#This Row],[_ShownCalcStart]]))</f>
        <v/>
      </c>
      <c r="FE46" s="89" t="str">
        <f aca="false">IF(Tasks[[#This Row],[Task Name]]="","",IF(Tasks[[#This Row],[_IsSummary]],MAX(INDEX(Tasks[_ShownCalcFinish],Tasks[[#This Row],[_Row]]+1):INDEX(Tasks[_ShownCalcFinish],Tasks[[#This Row],[_Row]]+Tasks[[#This Row],[_Descendants]])),Tasks[[#This Row],[_ShownCalcFinish]]))</f>
        <v/>
      </c>
      <c r="FF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6" s="42" t="n">
        <f aca="false">IF(AND(Tasks[[#This Row],[_IsLeaf]]=1,Tasks[[#This Row],[_LeafTotalWork]]&gt;0),NETWORKDAYS.INTL(ProjectStart,Tasks[[#This Row],[_ShownFcstStart]],WorkWeek,Holidays),0)</f>
        <v>0</v>
      </c>
      <c r="FS46" s="42" t="n">
        <f aca="false">IF(AND(Tasks[[#This Row],[_IsLeaf]]=1,Tasks[[#This Row],[_LeafTotalWork]]&gt;0),MAX(Tasks[[#This Row],[_StartWorkday]],NETWORKDAYS.INTL(ProjectStart,Tasks[[#This Row],[_ShownFcstFinish]],WorkWeek,Holidays)),0)</f>
        <v>0</v>
      </c>
      <c r="FT46" s="42" t="n">
        <f aca="false">IF(AND(Tasks[[#This Row],[_IsLeaf]]=1,Tasks[[#This Row],[_LeafTotalWork]]&gt;0),Tasks[[#This Row],[_LeafWork]]/(Tasks[[#This Row],[_FinishWorkday]]-Tasks[[#This Row],[_StartWorkday]]+1),0)</f>
        <v>0</v>
      </c>
      <c r="FU46" s="42" t="n">
        <f aca="false">Tasks[[#This Row],[_WorkPerWorkday]]*(Tasks[[#This Row],[_StartWorkday]]-1)</f>
        <v>-0</v>
      </c>
      <c r="FV46" s="42" t="n">
        <f aca="false">IF(Tasks[[#This Row],[_IsLeaf]]=1,MAX(N(Tasks[[#This Row],[_Days]]),0.1),0)</f>
        <v>0</v>
      </c>
      <c r="FW46" s="42" t="n">
        <f aca="false">Tasks[[#This Row],[_WeightDur]]*Tasks[[#This Row],[_LeafProgress]]</f>
        <v>0</v>
      </c>
      <c r="FX46" s="42" t="n">
        <f aca="false">Tasks[[#This Row],[_WeightDur]]*Tasks[[#This Row],[_PlannedPct]]</f>
        <v>0</v>
      </c>
      <c r="FY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6" s="42" t="str">
        <f aca="false">IF(AND(Tasks[[#This Row],[_IsLeaf]]=1,N(Tasks[[#This Row],[_Days]])=0,Tasks[[#This Row],[_LeafProgress]]&lt;1),Tasks[[#This Row],[_ShownFcstFinish]]+Tasks[[#This Row],[_Row]]/100000,"")</f>
        <v/>
      </c>
      <c r="GA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6" s="42" t="str">
        <f aca="false">IF(Tasks[[#This Row],[Task Name]]="","",LEFT(Tasks[[#This Row],[WBS]],FIND(".",Tasks[[#This Row],[WBS]]&amp;".")-1))</f>
        <v/>
      </c>
      <c r="GC46" s="42" t="str">
        <f aca="false">IF(AND(Tasks[[#This Row],[Task Name]]&lt;&gt;"",Tasks[[#This Row],[_Level]]=1),Tasks[[#This Row],[_Row]],"")</f>
        <v/>
      </c>
      <c r="GD46" s="42" t="str">
        <f aca="false">IF(AND(Tasks[[#This Row],[_IsLeaf]]=1,N(Tasks[[#This Row],[_Days]])=0),Tasks[[#This Row],[Planned Finish]]+Tasks[[#This Row],[_Row]]/100000,"")</f>
        <v/>
      </c>
      <c r="GE46" s="42" t="str">
        <f aca="false">IF(AND(Tasks[[#This Row],[_IsLeaf]]=1,Tasks[[#This Row],[_LeafProgress]]&lt;1,OR(N(Tasks[[#This Row],[Finish Var]])&gt;0,Tasks[[#This Row],[Status]]="Late Start")),MAX(0,Tasks[[#This Row],[Finish Var]])+1-Tasks[[#This Row],[_Row]]/1000000,"")</f>
        <v/>
      </c>
      <c r="GF46" s="42" t="str">
        <f aca="false">IF(AND(Tasks[[#This Row],[_IsLeaf]]=1,N(Tasks[[#This Row],[Actual Start]])=0,Tasks[[#This Row],[_ShownFcstStart]]&gt;=StatusDate,Tasks[[#This Row],[_ShownFcstStart]]&lt;=LookaheadEnd),Tasks[[#This Row],[_ShownFcstStart]]+Tasks[[#This Row],[_Row]]/100000,"")</f>
        <v/>
      </c>
      <c r="GG46" s="42" t="str">
        <f aca="false">IF(AND(Tasks[[#This Row],[_IsLeaf]]=1,Tasks[[#This Row],[_LeafProgress]]&lt;1,Tasks[[#This Row],[_ShownFcstFinish]]&gt;=StatusDate,Tasks[[#This Row],[_ShownFcstFinish]]&lt;=LookaheadEnd),Tasks[[#This Row],[_ShownFcstFinish]]+Tasks[[#This Row],[_Row]]/100000,"")</f>
        <v/>
      </c>
      <c r="GH46" s="42" t="str">
        <f aca="false">IF(Tasks[[#This Row],[_LeafCritical]],Tasks[[#This Row],[_ShownFcstStart]]+Tasks[[#This Row],[_Row]]/100000,"")</f>
        <v/>
      </c>
      <c r="GI46" s="42" t="n">
        <f aca="false">Tasks[[#This Row],[_LeafWork]]*Tasks[[#This Row],[_LeafProgress]]</f>
        <v>0</v>
      </c>
      <c r="GJ46" s="89" t="str">
        <f aca="false">IF(AND(Tasks[[#This Row],[_IsLeaf]]=1,Tasks[[#This Row],[_LeafProgress]]&gt;=1),IF(N(Tasks[[#This Row],[Actual Finish]])&gt;0,Tasks[[#This Row],[Actual Finish]],Tasks[[#This Row],[_ShownFcstFinish]]),"")</f>
        <v/>
      </c>
      <c r="GK46" s="42" t="n">
        <f aca="false">IF(Tasks[[#This Row],[_IsLeaf]]=1,N(Tasks[[#This Row],[Story Points]]),0)</f>
        <v>0</v>
      </c>
      <c r="GL46" s="42" t="str">
        <f aca="false">""</f>
        <v/>
      </c>
      <c r="GM46" s="88" t="b">
        <f aca="false">IF(Tasks[[#This Row],[Task Name]]="",FALSE(),AND(Tasks[[#This Row],[_IsLeaf]]=1,N(Tasks[[#This Row],[_Days]])=0))</f>
        <v>0</v>
      </c>
      <c r="GN46" s="89" t="n">
        <f aca="false">IF(Tasks[[#This Row],[Task Name]]="",0,IF(AND(Tasks[[#This Row],[_IsLeaf]]=1,NOT(Tasks[[#This Row],[_IsMilestone]]),N(Tasks[[#This Row],[Progress]])&gt;0),Tasks[[#This Row],[Start]],0))</f>
        <v>0</v>
      </c>
      <c r="GO46" s="89" t="n">
        <f aca="false">IF(Tasks[[#This Row],[_DoneFrom]]=0,0,IF(Tasks[[#This Row],[Progress]]&gt;=1,Tasks[[#This Row],[Finish]],MAX(Tasks[[#This Row],[_DoneFrom]],Tasks[[#This Row],[Start]]+ROUND((Tasks[[#This Row],[Finish]]-Tasks[[#This Row],[Start]]+1)*Tasks[[#This Row],[Progress]],0)-1)))</f>
        <v>0</v>
      </c>
      <c r="GP46" s="89" t="n">
        <f aca="false">IF(Tasks[[#This Row],[Task Name]]="",0,IF(OR(NOT(Tasks[[#This Row],[_IsLeaf]]=1),Tasks[[#This Row],[_IsMilestone]],N(Tasks[[#This Row],[Progress]])&gt;=1),0,IF(Tasks[[#This Row],[_DoneTo]]&gt;0,Tasks[[#This Row],[_DoneTo]]+1,Tasks[[#This Row],[Start]])))</f>
        <v>0</v>
      </c>
      <c r="GQ46" s="89" t="n">
        <f aca="false">IF(Tasks[[#This Row],[_RemFrom]]=0,0,Tasks[[#This Row],[Finish]])</f>
        <v>0</v>
      </c>
      <c r="GR46" s="88" t="b">
        <f aca="false">IF(Tasks[[#This Row],[Task Name]]="",FALSE(),OR(NOT(BaselineSet),N(Tasks[[#This Row],[Baseline Start]])&gt;0))</f>
        <v>0</v>
      </c>
      <c r="GS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6" s="90" t="str">
        <f aca="false">IF(Tasks[[#This Row],[_IsLeaf]]=1,Tasks[[#This Row],[_Row]],"")</f>
        <v/>
      </c>
      <c r="GW46" s="90" t="str">
        <f aca="false">IFERROR(INDEX(Tasks[UID],SMALL(Tasks[_PickKey],Tasks[[#This Row],[_Row]]))&amp;" "&amp;INDEX(Tasks[Task Name],SMALL(Tasks[_PickKey],Tasks[[#This Row],[_Row]])),"")</f>
        <v/>
      </c>
      <c r="GX46" s="42" t="str">
        <f aca="false">IF(Tasks[[#This Row],[Task Name]]="","",IF(Tasks[[#This Row],[_IsSummary]],NETWORKDAYS.INTL(Tasks[[#This Row],[Start]],Tasks[[#This Row],[Finish]],WorkWeek,Holidays),N(Tasks[[#This Row],[_Days]])))</f>
        <v/>
      </c>
    </row>
    <row r="47" customFormat="false" ht="15" hidden="false" customHeight="false" outlineLevel="0" collapsed="false">
      <c r="A47" s="21" t="str">
        <f aca="false">IF(Tasks[[#This Row],[Task Name]]="","",COUNTA(Tasks[[#Headers],[Task Name]]:Tasks[[#This Row],[Task Name]])-1)</f>
        <v/>
      </c>
      <c r="B47" s="22" t="n">
        <v>55</v>
      </c>
      <c r="C47" s="22"/>
      <c r="D47" s="23"/>
      <c r="E47" s="22"/>
      <c r="F47" s="23"/>
      <c r="G47" s="22"/>
      <c r="H47" s="22"/>
      <c r="I47" s="23"/>
      <c r="J47" s="22"/>
      <c r="K47" s="22"/>
      <c r="L47" s="23"/>
      <c r="M47" s="22"/>
      <c r="N47" s="22"/>
      <c r="O47" s="23"/>
      <c r="P47" s="22"/>
      <c r="Q47" s="22"/>
      <c r="R47" s="23"/>
      <c r="S47" s="23"/>
      <c r="T47" s="83"/>
      <c r="U47" s="23"/>
      <c r="V47" s="83"/>
      <c r="W47" s="23"/>
      <c r="X47" s="83"/>
      <c r="Y47" s="23"/>
      <c r="Z47" s="83"/>
      <c r="AA47" s="23"/>
      <c r="AB47" s="23"/>
      <c r="AC47" s="7"/>
      <c r="AD47" s="7"/>
      <c r="AE47" s="62" t="str">
        <f aca="false">IF(Tasks[[#This Row],[Task Name]]="","",IF(Tasks[[#This Row],[_IsSummary]],MIN(INDEX(Tasks[_ShownFcstStart],Tasks[[#This Row],[_Row]]+1):INDEX(Tasks[_ShownFcstStart],Tasks[[#This Row],[_Row]]+Tasks[[#This Row],[_Descendants]])),Tasks[[#This Row],[_ShownFcstStart]]))</f>
        <v/>
      </c>
      <c r="AF47" s="62" t="str">
        <f aca="false">IF(Tasks[[#This Row],[Task Name]]="","",IF(Tasks[[#This Row],[_IsSummary]],MAX(INDEX(Tasks[_ShownFcstFinish],Tasks[[#This Row],[_Row]]+1):INDEX(Tasks[_ShownFcstFinish],Tasks[[#This Row],[_Row]]+Tasks[[#This Row],[_Descendants]])),Tasks[[#This Row],[_ShownFcstFinish]]))</f>
        <v/>
      </c>
      <c r="AG47" s="21" t="str">
        <f aca="false">""</f>
        <v/>
      </c>
      <c r="AH47" s="23"/>
      <c r="AI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7" s="7"/>
      <c r="AK47" s="22"/>
      <c r="AL47" s="23"/>
      <c r="AM47" s="7"/>
      <c r="AN47" s="46" t="str">
        <f aca="false">IF(Tasks[[#This Row],[Task Name]]="","",IF(Tasks[[#This Row],[Finish]]&gt;=Tasks[[#This Row],[Planned Finish]],NETWORKDAYS.INTL(Tasks[[#This Row],[Planned Finish]],Tasks[[#This Row],[Finish]],WorkWeek,Holidays)-1,1-NETWORKDAYS.INTL(Tasks[[#This Row],[Finish]],Tasks[[#This Row],[Planned Finish]],WorkWeek,Holidays)))</f>
        <v/>
      </c>
      <c r="AO47" s="21" t="str">
        <f aca="false">IF(Tasks[[#This Row],[Task Name]]="","",IF(Tasks[[#This Row],[Progress]]&gt;=1,"Complete",IF(OR(N(Tasks[[#This Row],[Actual Start]])&gt;0,Tasks[[#This Row],[Progress]]&gt;0),IF(Tasks[[#This Row],[Finish Var]]&gt;0,"Behind","In Progress"),IF(Tasks[[#This Row],[Planned Start]]&lt;StatusDate,"Late Start","Not Started"))))</f>
        <v/>
      </c>
      <c r="AP47" s="21" t="str">
        <f aca="false">IF(Tasks[[#This Row],[Task Name]]="","",IF(IF(Tasks[[#This Row],[_IsSummary]],COUNTIF(INDEX(Tasks[_LeafCritical],Tasks[[#This Row],[_Row]]+1):INDEX(Tasks[_LeafCritical],Tasks[[#This Row],[_Row]]+Tasks[[#This Row],[_Descendants]]),TRUE())&gt;0,Tasks[[#This Row],[_LeafCritical]]),"Yes",""))</f>
        <v/>
      </c>
      <c r="AQ47" s="62" t="str">
        <f aca="false">IF(Tasks[[#This Row],[Task Name]]="","",IF(N(Tasks[[#This Row],[Baseline Start]])&gt;0,Tasks[[#This Row],[Baseline Start]],Tasks[[#This Row],[_CalcStart]]))</f>
        <v/>
      </c>
      <c r="AR47" s="62" t="str">
        <f aca="false">IF(Tasks[[#This Row],[Task Name]]="","",IF(N(Tasks[[#This Row],[Baseline Finish]])&gt;0,Tasks[[#This Row],[Baseline Finish]],Tasks[[#This Row],[_CalcFinish]]))</f>
        <v/>
      </c>
      <c r="AS47" s="46" t="str">
        <f aca="false">IF(Tasks[[#This Row],[Task Name]]="","",IF(Tasks[[#This Row],[Start]]&gt;=Tasks[[#This Row],[Planned Start]],NETWORKDAYS.INTL(Tasks[[#This Row],[Planned Start]],Tasks[[#This Row],[Start]],WorkWeek,Holidays)-1,1-NETWORKDAYS.INTL(Tasks[[#This Row],[Start]],Tasks[[#This Row],[Planned Start]],WorkWeek,Holidays)))</f>
        <v/>
      </c>
      <c r="AT47" s="62" t="str">
        <f aca="false">IF(Tasks[[#This Row],[Task Name]]="","",IF(Tasks[[#This Row],[_IsSummary]],MIN(INDEX(Tasks[_LeafLateStart],Tasks[[#This Row],[_Row]]+1):INDEX(Tasks[_LeafLateStart],Tasks[[#This Row],[_Row]]+Tasks[[#This Row],[_Descendants]])),Tasks[[#This Row],[_LeafLateStart]]))</f>
        <v/>
      </c>
      <c r="AU47" s="62" t="str">
        <f aca="false">IF(Tasks[[#This Row],[Task Name]]="","",IF(Tasks[[#This Row],[_IsSummary]],MAX(INDEX(Tasks[_LeafLateFinish],Tasks[[#This Row],[_Row]]+1):INDEX(Tasks[_LeafLateFinish],Tasks[[#This Row],[_Row]]+Tasks[[#This Row],[_Descendants]])),Tasks[[#This Row],[_LeafLateFinish]]))</f>
        <v/>
      </c>
      <c r="AV47" s="46" t="str">
        <f aca="false">IF(Tasks[[#This Row],[Task Name]]="","",IF(Tasks[[#This Row],[_IsSummary]],MIN(INDEX(Tasks[_LeafTotalSlack],Tasks[[#This Row],[_Row]]+1):INDEX(Tasks[_LeafTotalSlack],Tasks[[#This Row],[_Row]]+Tasks[[#This Row],[_Descendants]])),Tasks[[#This Row],[_LeafTotalSlack]]))</f>
        <v/>
      </c>
      <c r="AW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4"/>
      <c r="BA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t="str">
        <f aca="false">IF(Tasks[[#This Row],[Task Name]]="","",IF(Tasks[[#This Row],[_Level]]&lt;=OutlineShowLevel,"Yes","No"))</f>
        <v/>
      </c>
      <c r="BE47" s="85" t="str">
        <f aca="false">IF(Tasks[[#This Row],[Task Name]]="","",IF(Tasks[[#This Row],[_IsSummary]],SUM(INDEX(Tasks[_LeafTotalWork],Tasks[[#This Row],[_Row]]+1):INDEX(Tasks[_LeafTotalWork],Tasks[[#This Row],[_Row]]+Tasks[[#This Row],[_Descendants]])),Tasks[[#This Row],[_LeafTotalWork]]))</f>
        <v/>
      </c>
      <c r="BF47" s="23"/>
      <c r="BG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t="str">
        <f aca="false">""</f>
        <v/>
      </c>
      <c r="BI47" s="86"/>
      <c r="BJ47" s="22"/>
      <c r="BK47" s="46" t="str">
        <f aca="false">IF(OR(Tasks[[#This Row],[Task Name]]="",Tasks[[#This Row],[Baseline Duration]]=""),"",Tasks[[#This Row],[_SpanDays]]-N(Tasks[[#This Row],[Baseline Duration]]))</f>
        <v/>
      </c>
      <c r="BL47" s="85" t="str">
        <f aca="false">IF(OR(Tasks[[#This Row],[Task Name]]="",Tasks[[#This Row],[Baseline Work]]=""),"",Tasks[[#This Row],[Work]]-N(Tasks[[#This Row],[Baseline Work]]))</f>
        <v/>
      </c>
      <c r="BM47" s="62" t="str">
        <f aca="false">IF(Tasks[[#This Row],[Task Name]]="","",IF(OR(TakeBaseline="Yes",N(Tasks[[#This Row],[Baseline Start]])=0),Tasks[[#This Row],[Start]],Tasks[[#This Row],[Baseline Start]]))</f>
        <v/>
      </c>
      <c r="BN47" s="62" t="str">
        <f aca="false">IF(Tasks[[#This Row],[Task Name]]="","",IF(OR(TakeBaseline="Yes",N(Tasks[[#This Row],[Baseline Finish]])=0),Tasks[[#This Row],[Finish]],Tasks[[#This Row],[Baseline Finish]]))</f>
        <v/>
      </c>
      <c r="BO47" s="21" t="str">
        <f aca="false">IF(Tasks[[#This Row],[Task Name]]="","",IF(OR(TakeBaseline="Yes",N(Tasks[[#This Row],[Baseline Duration]])=0),Tasks[[#This Row],[_SpanDays]],Tasks[[#This Row],[Baseline Duration]]))</f>
        <v/>
      </c>
      <c r="BP47" s="85" t="str">
        <f aca="false">IF(Tasks[[#This Row],[Task Name]]="","",IF(OR(TakeBaseline="Yes",N(Tasks[[#This Row],[Baseline Work]])=0),Tasks[[#This Row],[Work]],Tasks[[#This Row],[Baseline Work]]))</f>
        <v/>
      </c>
      <c r="BQ47" s="7"/>
      <c r="BR47" s="7"/>
      <c r="BS47" s="22"/>
      <c r="BT47" s="87"/>
      <c r="BU47" s="42" t="str">
        <f aca="false">IF(Tasks[[#This Row],[Task Name]]="","",MAX(1,N(Tasks[[#This Row],[Level]])))</f>
        <v/>
      </c>
      <c r="BV47" s="42" t="n">
        <f aca="false">ROW()-ROW(Tasks[[#Headers],[ID]])</f>
        <v>42</v>
      </c>
      <c r="BW47" s="42" t="n">
        <f aca="false">IF(OR(Tasks[[#This Row],[Task Name]]="",Tasks[[#This Row],[_Level]]&lt;=1),0,IFERROR(LOOKUP(2,1/(Tasks[[#Headers],[_Level]]:Tasks[[#This Row],[_Level]]=Tasks[[#This Row],[_Level]]-1),ROW(Tasks[[#Headers],[_Level]]:Tasks[[#This Row],[_Level]])),0))</f>
        <v>0</v>
      </c>
      <c r="BX47" s="42" t="n">
        <f aca="false">IFERROR(N(INDEX(Tasks[_Level],Tasks[[#This Row],[_Row]]+1)),0)</f>
        <v>0</v>
      </c>
      <c r="BY47" s="88" t="b">
        <f aca="false">AND(Tasks[[#This Row],[Task Name]]&lt;&gt;"",Tasks[[#This Row],[_NextLevel]]&gt;Tasks[[#This Row],[_Level]])</f>
        <v>0</v>
      </c>
      <c r="BZ47" s="42" t="n">
        <f aca="false">IF(Tasks[[#This Row],[_IsSummary]],COUNTIF(Tasks[WBS],Tasks[[#This Row],[WBS]]&amp;".*"),0)</f>
        <v>0</v>
      </c>
      <c r="CA47" s="42" t="n">
        <f aca="false">IF(AND(Tasks[[#This Row],[Task Name]]&lt;&gt;"",NOT(Tasks[[#This Row],[_IsSummary]])),1,0)</f>
        <v>0</v>
      </c>
      <c r="CB47" s="42" t="n">
        <f aca="false">IF(N(Tasks[[#This Row],[_Pred1UID]])=0,0,IFERROR(MATCH(Tasks[[#This Row],[_Pred1UID]],Tasks[UID],0),-1))</f>
        <v>0</v>
      </c>
      <c r="CC47" s="42" t="n">
        <f aca="false">IF(N(Tasks[[#This Row],[_Pred2UID]])=0,0,IFERROR(MATCH(Tasks[[#This Row],[_Pred2UID]],Tasks[UID],0),-1))</f>
        <v>0</v>
      </c>
      <c r="CD47" s="42" t="n">
        <f aca="false">IF(N(Tasks[[#This Row],[_Pred3UID]])=0,0,IFERROR(MATCH(Tasks[[#This Row],[_Pred3UID]],Tasks[UID],0),-1))</f>
        <v>0</v>
      </c>
      <c r="CE47" s="42" t="n">
        <f aca="false">IF(N(Tasks[[#This Row],[_Pred4UID]])=0,0,IFERROR(MATCH(Tasks[[#This Row],[_Pred4UID]],Tasks[UID],0),-1))</f>
        <v>0</v>
      </c>
      <c r="CF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7" s="89" t="n">
        <f aca="false">IF(OR(Tasks[[#This Row],[_ConstraintCode]]=2,Tasks[[#This Row],[_ConstraintCode]]=3,Tasks[[#This Row],[_ConstraintCode]]=4,Tasks[[#This Row],[_ConstraintCode]]=6),Tasks[[#This Row],[_ConstraintStart]],0)</f>
        <v>0</v>
      </c>
      <c r="CI47" s="89" t="n">
        <f aca="false">IF(OR(Tasks[[#This Row],[_ConstraintCode]]=2,Tasks[[#This Row],[_ConstraintCode]]=3,Tasks[[#This Row],[_ConstraintCode]]=5,Tasks[[#This Row],[_ConstraintCode]]=7),Tasks[[#This Row],[_ConstraintStart]],2958465)</f>
        <v>2958465</v>
      </c>
      <c r="CJ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7" s="89" t="str">
        <f aca="false">IF(NOT(Tasks[[#This Row],[_IsLeaf]]=1),"",IF(N(Tasks[[#This Row],[_Days]])&lt;=0,Tasks[[#This Row],[_LeafCalcStart]],WORKDAY.INTL(Tasks[[#This Row],[_LeafCalcStart]],Tasks[[#This Row],[_Days]]-1,WorkWeek,Holidays)))</f>
        <v/>
      </c>
      <c r="CL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7" s="42" t="str">
        <f aca="false">IF(Tasks[[#This Row],[_Predecessors]]="","",TRIM(MID(SUBSTITUTE(SUBSTITUTE(SUBSTITUTE(UPPER(Tasks[[#This Row],[_Predecessors]]),";",",")," ",""),",",REPT(" ",99)),1,99)))</f>
        <v/>
      </c>
      <c r="CO47" s="42" t="str">
        <f aca="false">IF(Tasks[[#This Row],[_Pred1Text]]="","",IFERROR(VALUE(LEFT(Tasks[[#This Row],[_Pred1Text]],MIN(FIND("F",Tasks[[#This Row],[_Pred1Text]]&amp;"F"),FIND("S",Tasks[[#This Row],[_Pred1Text]]&amp;"S"),FIND("+",Tasks[[#This Row],[_Pred1Text]]&amp;"+"),FIND("-",Tasks[[#This Row],[_Pred1Text]]&amp;"-"))-1)),""))</f>
        <v/>
      </c>
      <c r="CP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7" s="42" t="str">
        <f aca="false">IF(Tasks[[#This Row],[_Pred1Text]]="","",TRIM(MID(SUBSTITUTE(SUBSTITUTE(SUBSTITUTE(UPPER(Tasks[[#This Row],[_Predecessors]]),";",",")," ",""),",",REPT(" ",99)),100,99)))</f>
        <v/>
      </c>
      <c r="CS47" s="42" t="str">
        <f aca="false">IF(Tasks[[#This Row],[_Pred2Text]]="","",IFERROR(VALUE(LEFT(Tasks[[#This Row],[_Pred2Text]],MIN(FIND("F",Tasks[[#This Row],[_Pred2Text]]&amp;"F"),FIND("S",Tasks[[#This Row],[_Pred2Text]]&amp;"S"),FIND("+",Tasks[[#This Row],[_Pred2Text]]&amp;"+"),FIND("-",Tasks[[#This Row],[_Pred2Text]]&amp;"-"))-1)),""))</f>
        <v/>
      </c>
      <c r="CT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7" s="42" t="str">
        <f aca="false">IF(Tasks[[#This Row],[_Pred2Text]]="","",TRIM(MID(SUBSTITUTE(SUBSTITUTE(SUBSTITUTE(UPPER(Tasks[[#This Row],[_Predecessors]]),";",",")," ",""),",",REPT(" ",99)),199,99)))</f>
        <v/>
      </c>
      <c r="CW47" s="42" t="str">
        <f aca="false">IF(Tasks[[#This Row],[_Pred3Text]]="","",IFERROR(VALUE(LEFT(Tasks[[#This Row],[_Pred3Text]],MIN(FIND("F",Tasks[[#This Row],[_Pred3Text]]&amp;"F"),FIND("S",Tasks[[#This Row],[_Pred3Text]]&amp;"S"),FIND("+",Tasks[[#This Row],[_Pred3Text]]&amp;"+"),FIND("-",Tasks[[#This Row],[_Pred3Text]]&amp;"-"))-1)),""))</f>
        <v/>
      </c>
      <c r="CX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7" s="42" t="str">
        <f aca="false">IF(Tasks[[#This Row],[_Pred3Text]]="","",TRIM(MID(SUBSTITUTE(SUBSTITUTE(SUBSTITUTE(UPPER(Tasks[[#This Row],[_Predecessors]]),";",",")," ",""),",",REPT(" ",99)),298,99)))</f>
        <v/>
      </c>
      <c r="DA47" s="42" t="str">
        <f aca="false">IF(Tasks[[#This Row],[_Pred4Text]]="","",IFERROR(VALUE(LEFT(Tasks[[#This Row],[_Pred4Text]],MIN(FIND("F",Tasks[[#This Row],[_Pred4Text]]&amp;"F"),FIND("S",Tasks[[#This Row],[_Pred4Text]]&amp;"S"),FIND("+",Tasks[[#This Row],[_Pred4Text]]&amp;"+"),FIND("-",Tasks[[#This Row],[_Pred4Text]]&amp;"-"))-1)),""))</f>
        <v/>
      </c>
      <c r="DB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7" s="42" t="str">
        <f aca="false">IF(OR(Tasks[[#This Row],[Task Name]]="",Tasks[[#This Row],[_Resources]]=""),"",TRIM(MID(SUBSTITUTE(Tasks[[#This Row],[_Resources]],",",REPT(" ",99)),1,99)))</f>
        <v/>
      </c>
      <c r="DE47" s="42" t="str">
        <f aca="false">IF(Tasks[[#This Row],[_Res1Text]]="","",TRIM(MID(SUBSTITUTE(Tasks[[#This Row],[_Resources]],",",REPT(" ",99)),100,99)))</f>
        <v/>
      </c>
      <c r="DF47" s="42" t="str">
        <f aca="false">IF(Tasks[[#This Row],[_Res2Text]]="","",TRIM(MID(SUBSTITUTE(Tasks[[#This Row],[_Resources]],",",REPT(" ",99)),199,99)))</f>
        <v/>
      </c>
      <c r="DG47" s="42" t="str">
        <f aca="false">IF(Tasks[[#This Row],[_Res3Text]]="","",TRIM(MID(SUBSTITUTE(Tasks[[#This Row],[_Resources]],",",REPT(" ",99)),298,99)))</f>
        <v/>
      </c>
      <c r="DH47" s="42" t="n">
        <f aca="false">IF(Tasks[[#This Row],[_Res1Text]]="",0,IFERROR(MATCH(TRIM(LEFT(Tasks[[#This Row],[_Res1Text]],FIND("[",Tasks[[#This Row],[_Res1Text]]&amp;"[")-1)),res_Name,0),IFERROR(MATCH(TRIM(LEFT(Tasks[[#This Row],[_Res1Text]],FIND("[",Tasks[[#This Row],[_Res1Text]]&amp;"[")-1)),res_Initials,0),0)))</f>
        <v>0</v>
      </c>
      <c r="DI47" s="42" t="n">
        <f aca="false">IF(Tasks[[#This Row],[_Res2Text]]="",0,IFERROR(MATCH(TRIM(LEFT(Tasks[[#This Row],[_Res2Text]],FIND("[",Tasks[[#This Row],[_Res2Text]]&amp;"[")-1)),res_Name,0),IFERROR(MATCH(TRIM(LEFT(Tasks[[#This Row],[_Res2Text]],FIND("[",Tasks[[#This Row],[_Res2Text]]&amp;"[")-1)),res_Initials,0),0)))</f>
        <v>0</v>
      </c>
      <c r="DJ47" s="42" t="n">
        <f aca="false">IF(Tasks[[#This Row],[_Res3Text]]="",0,IFERROR(MATCH(TRIM(LEFT(Tasks[[#This Row],[_Res3Text]],FIND("[",Tasks[[#This Row],[_Res3Text]]&amp;"[")-1)),res_Name,0),IFERROR(MATCH(TRIM(LEFT(Tasks[[#This Row],[_Res3Text]],FIND("[",Tasks[[#This Row],[_Res3Text]]&amp;"[")-1)),res_Initials,0),0)))</f>
        <v>0</v>
      </c>
      <c r="DK47" s="42" t="n">
        <f aca="false">IF(Tasks[[#This Row],[_Res4Text]]="",0,IFERROR(MATCH(TRIM(LEFT(Tasks[[#This Row],[_Res4Text]],FIND("[",Tasks[[#This Row],[_Res4Text]]&amp;"[")-1)),res_Name,0),IFERROR(MATCH(TRIM(LEFT(Tasks[[#This Row],[_Res4Text]],FIND("[",Tasks[[#This Row],[_Res4Text]]&amp;"[")-1)),res_Initials,0),0)))</f>
        <v>0</v>
      </c>
      <c r="DL47" s="42" t="str">
        <f aca="false">IF(Tasks[[#This Row],[_Res1Text]]="","",IF(Tasks[[#This Row],[_Res1Row]]&gt;0,INDEX(res_Name,Tasks[[#This Row],[_Res1Row]]),TRIM(LEFT(Tasks[[#This Row],[_Res1Text]],FIND("[",Tasks[[#This Row],[_Res1Text]]&amp;"[")-1))))</f>
        <v/>
      </c>
      <c r="DM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7" s="42" t="n">
        <f aca="false">IF(NOT(Tasks[[#This Row],[_IsLeaf]]=1),0,(Tasks[[#This Row],[_Resource1]]&lt;&gt;"")+(Tasks[[#This Row],[_Res2]]&lt;&gt;"")+(Tasks[[#This Row],[_Res3]]&lt;&gt;"")+(Tasks[[#This Row],[_Res4]]&lt;&gt;""))</f>
        <v>0</v>
      </c>
      <c r="DO47" s="42" t="str">
        <f aca="false">IF(Tasks[[#This Row],[_Res2Text]]="","",IF(Tasks[[#This Row],[_Res2Row]]&gt;0,INDEX(res_Name,Tasks[[#This Row],[_Res2Row]]),TRIM(LEFT(Tasks[[#This Row],[_Res2Text]],FIND("[",Tasks[[#This Row],[_Res2Text]]&amp;"[")-1))))</f>
        <v/>
      </c>
      <c r="DP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7" s="42" t="n">
        <f aca="false">IF(OR(NOT(Tasks[[#This Row],[_IsLeaf]]=1),Tasks[[#This Row],[_Res2Row]]=0),0,N(Tasks[[#This Row],[_Days]])*HoursPerDay*IF(Tasks[[#This Row],[_Res2Units]]="",DefaultUnits,Tasks[[#This Row],[_Res2Units]]))</f>
        <v>0</v>
      </c>
      <c r="DR47" s="42" t="n">
        <f aca="false">IF(AND(AND(Tasks[[#This Row],[_IsLeaf]]=1,Tasks[[#This Row],[_LeafTotalWork]]&gt;0),Tasks[[#This Row],[_Res2Work]]&gt;0),Tasks[[#This Row],[_Res2Work]]/(Tasks[[#This Row],[_FinishWorkday]]-Tasks[[#This Row],[_StartWorkday]]+1),0)</f>
        <v>0</v>
      </c>
      <c r="DS47" s="42" t="n">
        <f aca="false">Tasks[[#This Row],[_Res2WorkPerWD]]*MAX(0,Tasks[[#This Row],[_StartWorkday]]-1)</f>
        <v>0</v>
      </c>
      <c r="DT47" s="42" t="n">
        <f aca="false">Tasks[[#This Row],[_Res2Work]]*Tasks[[#This Row],[_LeafProgress]]</f>
        <v>0</v>
      </c>
      <c r="DU47" s="42" t="str">
        <f aca="false">IF(Tasks[[#This Row],[_Res3Text]]="","",IF(Tasks[[#This Row],[_Res3Row]]&gt;0,INDEX(res_Name,Tasks[[#This Row],[_Res3Row]]),TRIM(LEFT(Tasks[[#This Row],[_Res3Text]],FIND("[",Tasks[[#This Row],[_Res3Text]]&amp;"[")-1))))</f>
        <v/>
      </c>
      <c r="DV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7" s="42" t="n">
        <f aca="false">IF(OR(NOT(Tasks[[#This Row],[_IsLeaf]]=1),Tasks[[#This Row],[_Res3Row]]=0),0,N(Tasks[[#This Row],[_Days]])*HoursPerDay*IF(Tasks[[#This Row],[_Res3Units]]="",DefaultUnits,Tasks[[#This Row],[_Res3Units]]))</f>
        <v>0</v>
      </c>
      <c r="DX47" s="42" t="n">
        <f aca="false">IF(AND(AND(Tasks[[#This Row],[_IsLeaf]]=1,Tasks[[#This Row],[_LeafTotalWork]]&gt;0),Tasks[[#This Row],[_Res3Work]]&gt;0),Tasks[[#This Row],[_Res3Work]]/(Tasks[[#This Row],[_FinishWorkday]]-Tasks[[#This Row],[_StartWorkday]]+1),0)</f>
        <v>0</v>
      </c>
      <c r="DY47" s="42" t="n">
        <f aca="false">Tasks[[#This Row],[_Res3WorkPerWD]]*MAX(0,Tasks[[#This Row],[_StartWorkday]]-1)</f>
        <v>0</v>
      </c>
      <c r="DZ47" s="42" t="n">
        <f aca="false">Tasks[[#This Row],[_Res3Work]]*Tasks[[#This Row],[_LeafProgress]]</f>
        <v>0</v>
      </c>
      <c r="EA47" s="42" t="str">
        <f aca="false">IF(Tasks[[#This Row],[_Res4Text]]="","",IF(Tasks[[#This Row],[_Res4Row]]&gt;0,INDEX(res_Name,Tasks[[#This Row],[_Res4Row]]),TRIM(LEFT(Tasks[[#This Row],[_Res4Text]],FIND("[",Tasks[[#This Row],[_Res4Text]]&amp;"[")-1))))</f>
        <v/>
      </c>
      <c r="EB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7" s="42" t="n">
        <f aca="false">IF(OR(NOT(Tasks[[#This Row],[_IsLeaf]]=1),Tasks[[#This Row],[_Res4Row]]=0),0,N(Tasks[[#This Row],[_Days]])*HoursPerDay*IF(Tasks[[#This Row],[_Res4Units]]="",DefaultUnits,Tasks[[#This Row],[_Res4Units]]))</f>
        <v>0</v>
      </c>
      <c r="ED47" s="42" t="n">
        <f aca="false">IF(AND(AND(Tasks[[#This Row],[_IsLeaf]]=1,Tasks[[#This Row],[_LeafTotalWork]]&gt;0),Tasks[[#This Row],[_Res4Work]]&gt;0),Tasks[[#This Row],[_Res4Work]]/(Tasks[[#This Row],[_FinishWorkday]]-Tasks[[#This Row],[_StartWorkday]]+1),0)</f>
        <v>0</v>
      </c>
      <c r="EE47" s="42" t="n">
        <f aca="false">Tasks[[#This Row],[_Res4WorkPerWD]]*MAX(0,Tasks[[#This Row],[_StartWorkday]]-1)</f>
        <v>0</v>
      </c>
      <c r="EF47" s="42" t="n">
        <f aca="false">Tasks[[#This Row],[_Res4Work]]*Tasks[[#This Row],[_LeafProgress]]</f>
        <v>0</v>
      </c>
      <c r="EG47" s="42" t="n">
        <f aca="false">IF(ISNUMBER(Tasks[[#This Row],[% Complete]]),Tasks[[#This Row],[% Complete]],IF(Tasks[[#This Row],[Stage]]="",0,IFERROR(INDEX(stg_Pct,MATCH(Tasks[[#This Row],[Stage]],stg_Name,0)),0)))</f>
        <v>0</v>
      </c>
      <c r="EH47" s="42" t="n">
        <f aca="false">IF(NOT(Tasks[[#This Row],[_IsLeaf]]=1),0,IF(N(Tasks[[#This Row],[Actual Finish]])&gt;0,1,MIN(1,Tasks[[#This Row],[_Pct]])))</f>
        <v>0</v>
      </c>
      <c r="EI47" s="42" t="n">
        <f aca="false">IF(OR(NOT(Tasks[[#This Row],[_IsLeaf]]=1),Tasks[[#This Row],[_Res1Row]]=0),0,N(Tasks[[#This Row],[_Days]])*HoursPerDay*IF(Tasks[[#This Row],[_Units1]]="",DefaultUnits,Tasks[[#This Row],[_Units1]]))</f>
        <v>0</v>
      </c>
      <c r="EJ47" s="42" t="n">
        <f aca="false">Tasks[[#This Row],[_LeafWork]]+Tasks[[#This Row],[_Res2Work]]+Tasks[[#This Row],[_Res3Work]]+Tasks[[#This Row],[_Res4Work]]</f>
        <v>0</v>
      </c>
      <c r="EK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7" s="42" t="n">
        <f aca="false">IF(NOT(Tasks[[#This Row],[_IsLeaf]]=1),0,MAX(_xlfn.MAXIFS(Tasks[_Row],Tasks[_Pred1UID],Tasks[[#This Row],[UID]]),_xlfn.MAXIFS(Tasks[_Row],Tasks[_Pred2UID],Tasks[[#This Row],[UID]]),_xlfn.MAXIFS(Tasks[_Row],Tasks[_Pred3UID],Tasks[[#This Row],[UID]]),_xlfn.MAXIFS(Tasks[_Row],Tasks[_Pred4UID],Tasks[[#This Row],[UID]])))</f>
        <v>0</v>
      </c>
      <c r="ET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7" s="89" t="str">
        <f aca="false">IF(NOT(Tasks[[#This Row],[_IsLeaf]]=1),"",IF(N(Tasks[[#This Row],[_Days]])&lt;=0,Tasks[[#This Row],[_LeafLateFinish]],WORKDAY.INTL(Tasks[[#This Row],[_LeafLateFinish]],-(Tasks[[#This Row],[_Days]]-1),WorkWeek,Holidays)))</f>
        <v/>
      </c>
      <c r="EW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7" s="88" t="b">
        <f aca="false">AND(Tasks[[#This Row],[_IsLeaf]]=1,Tasks[[#This Row],[_LeafProgress]]&lt;1,N(Tasks[[#This Row],[_LeafTotalSlack]])&lt;=CriticalSlackDays)</f>
        <v>0</v>
      </c>
      <c r="EY47" s="42" t="n">
        <f aca="false">IF(AND(Tasks[[#This Row],[_IsLeaf]]=1,Tasks[[#This Row],[_ConstraintCode]]=1,Tasks[[#This Row],[Mode]]&lt;&gt;"Manual",N(Tasks[[#This Row],[Actual Start]])=0),MAX(0,N(Tasks[[#This Row],[Free Slack]])),0)</f>
        <v>0</v>
      </c>
      <c r="EZ47" s="89" t="str">
        <f aca="false">IF(NOT(Tasks[[#This Row],[_IsLeaf]]=1),"",IF(Tasks[[#This Row],[_AlapShift]]=0,Tasks[[#This Row],[_LeafCalcStart]],WORKDAY.INTL(Tasks[[#This Row],[_LeafCalcStart]],Tasks[[#This Row],[_AlapShift]],WorkWeek,Holidays)))</f>
        <v/>
      </c>
      <c r="FA47" s="89" t="str">
        <f aca="false">IF(NOT(Tasks[[#This Row],[_IsLeaf]]=1),"",IF(Tasks[[#This Row],[_AlapShift]]=0,Tasks[[#This Row],[_LeafCalcFinish]],WORKDAY.INTL(Tasks[[#This Row],[_LeafCalcFinish]],Tasks[[#This Row],[_AlapShift]],WorkWeek,Holidays)))</f>
        <v/>
      </c>
      <c r="FB47" s="89" t="str">
        <f aca="false">IF(NOT(Tasks[[#This Row],[_IsLeaf]]=1),"",IF(Tasks[[#This Row],[_AlapShift]]=0,Tasks[[#This Row],[_LeafFcstStart]],WORKDAY.INTL(Tasks[[#This Row],[_LeafFcstStart]],Tasks[[#This Row],[_AlapShift]],WorkWeek,Holidays)))</f>
        <v/>
      </c>
      <c r="FC47" s="89" t="str">
        <f aca="false">IF(NOT(Tasks[[#This Row],[_IsLeaf]]=1),"",IF(Tasks[[#This Row],[_AlapShift]]=0,Tasks[[#This Row],[_LeafFcstFinish]],WORKDAY.INTL(Tasks[[#This Row],[_LeafFcstFinish]],Tasks[[#This Row],[_AlapShift]],WorkWeek,Holidays)))</f>
        <v/>
      </c>
      <c r="FD47" s="89" t="str">
        <f aca="false">IF(Tasks[[#This Row],[Task Name]]="","",IF(Tasks[[#This Row],[_IsSummary]],MIN(INDEX(Tasks[_ShownCalcStart],Tasks[[#This Row],[_Row]]+1):INDEX(Tasks[_ShownCalcStart],Tasks[[#This Row],[_Row]]+Tasks[[#This Row],[_Descendants]])),Tasks[[#This Row],[_ShownCalcStart]]))</f>
        <v/>
      </c>
      <c r="FE47" s="89" t="str">
        <f aca="false">IF(Tasks[[#This Row],[Task Name]]="","",IF(Tasks[[#This Row],[_IsSummary]],MAX(INDEX(Tasks[_ShownCalcFinish],Tasks[[#This Row],[_Row]]+1):INDEX(Tasks[_ShownCalcFinish],Tasks[[#This Row],[_Row]]+Tasks[[#This Row],[_Descendants]])),Tasks[[#This Row],[_ShownCalcFinish]]))</f>
        <v/>
      </c>
      <c r="FF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7" s="42" t="n">
        <f aca="false">IF(AND(Tasks[[#This Row],[_IsLeaf]]=1,Tasks[[#This Row],[_LeafTotalWork]]&gt;0),NETWORKDAYS.INTL(ProjectStart,Tasks[[#This Row],[_ShownFcstStart]],WorkWeek,Holidays),0)</f>
        <v>0</v>
      </c>
      <c r="FS47" s="42" t="n">
        <f aca="false">IF(AND(Tasks[[#This Row],[_IsLeaf]]=1,Tasks[[#This Row],[_LeafTotalWork]]&gt;0),MAX(Tasks[[#This Row],[_StartWorkday]],NETWORKDAYS.INTL(ProjectStart,Tasks[[#This Row],[_ShownFcstFinish]],WorkWeek,Holidays)),0)</f>
        <v>0</v>
      </c>
      <c r="FT47" s="42" t="n">
        <f aca="false">IF(AND(Tasks[[#This Row],[_IsLeaf]]=1,Tasks[[#This Row],[_LeafTotalWork]]&gt;0),Tasks[[#This Row],[_LeafWork]]/(Tasks[[#This Row],[_FinishWorkday]]-Tasks[[#This Row],[_StartWorkday]]+1),0)</f>
        <v>0</v>
      </c>
      <c r="FU47" s="42" t="n">
        <f aca="false">Tasks[[#This Row],[_WorkPerWorkday]]*(Tasks[[#This Row],[_StartWorkday]]-1)</f>
        <v>-0</v>
      </c>
      <c r="FV47" s="42" t="n">
        <f aca="false">IF(Tasks[[#This Row],[_IsLeaf]]=1,MAX(N(Tasks[[#This Row],[_Days]]),0.1),0)</f>
        <v>0</v>
      </c>
      <c r="FW47" s="42" t="n">
        <f aca="false">Tasks[[#This Row],[_WeightDur]]*Tasks[[#This Row],[_LeafProgress]]</f>
        <v>0</v>
      </c>
      <c r="FX47" s="42" t="n">
        <f aca="false">Tasks[[#This Row],[_WeightDur]]*Tasks[[#This Row],[_PlannedPct]]</f>
        <v>0</v>
      </c>
      <c r="FY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7" s="42" t="str">
        <f aca="false">IF(AND(Tasks[[#This Row],[_IsLeaf]]=1,N(Tasks[[#This Row],[_Days]])=0,Tasks[[#This Row],[_LeafProgress]]&lt;1),Tasks[[#This Row],[_ShownFcstFinish]]+Tasks[[#This Row],[_Row]]/100000,"")</f>
        <v/>
      </c>
      <c r="GA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7" s="42" t="str">
        <f aca="false">IF(Tasks[[#This Row],[Task Name]]="","",LEFT(Tasks[[#This Row],[WBS]],FIND(".",Tasks[[#This Row],[WBS]]&amp;".")-1))</f>
        <v/>
      </c>
      <c r="GC47" s="42" t="str">
        <f aca="false">IF(AND(Tasks[[#This Row],[Task Name]]&lt;&gt;"",Tasks[[#This Row],[_Level]]=1),Tasks[[#This Row],[_Row]],"")</f>
        <v/>
      </c>
      <c r="GD47" s="42" t="str">
        <f aca="false">IF(AND(Tasks[[#This Row],[_IsLeaf]]=1,N(Tasks[[#This Row],[_Days]])=0),Tasks[[#This Row],[Planned Finish]]+Tasks[[#This Row],[_Row]]/100000,"")</f>
        <v/>
      </c>
      <c r="GE47" s="42" t="str">
        <f aca="false">IF(AND(Tasks[[#This Row],[_IsLeaf]]=1,Tasks[[#This Row],[_LeafProgress]]&lt;1,OR(N(Tasks[[#This Row],[Finish Var]])&gt;0,Tasks[[#This Row],[Status]]="Late Start")),MAX(0,Tasks[[#This Row],[Finish Var]])+1-Tasks[[#This Row],[_Row]]/1000000,"")</f>
        <v/>
      </c>
      <c r="GF47" s="42" t="str">
        <f aca="false">IF(AND(Tasks[[#This Row],[_IsLeaf]]=1,N(Tasks[[#This Row],[Actual Start]])=0,Tasks[[#This Row],[_ShownFcstStart]]&gt;=StatusDate,Tasks[[#This Row],[_ShownFcstStart]]&lt;=LookaheadEnd),Tasks[[#This Row],[_ShownFcstStart]]+Tasks[[#This Row],[_Row]]/100000,"")</f>
        <v/>
      </c>
      <c r="GG47" s="42" t="str">
        <f aca="false">IF(AND(Tasks[[#This Row],[_IsLeaf]]=1,Tasks[[#This Row],[_LeafProgress]]&lt;1,Tasks[[#This Row],[_ShownFcstFinish]]&gt;=StatusDate,Tasks[[#This Row],[_ShownFcstFinish]]&lt;=LookaheadEnd),Tasks[[#This Row],[_ShownFcstFinish]]+Tasks[[#This Row],[_Row]]/100000,"")</f>
        <v/>
      </c>
      <c r="GH47" s="42" t="str">
        <f aca="false">IF(Tasks[[#This Row],[_LeafCritical]],Tasks[[#This Row],[_ShownFcstStart]]+Tasks[[#This Row],[_Row]]/100000,"")</f>
        <v/>
      </c>
      <c r="GI47" s="42" t="n">
        <f aca="false">Tasks[[#This Row],[_LeafWork]]*Tasks[[#This Row],[_LeafProgress]]</f>
        <v>0</v>
      </c>
      <c r="GJ47" s="89" t="str">
        <f aca="false">IF(AND(Tasks[[#This Row],[_IsLeaf]]=1,Tasks[[#This Row],[_LeafProgress]]&gt;=1),IF(N(Tasks[[#This Row],[Actual Finish]])&gt;0,Tasks[[#This Row],[Actual Finish]],Tasks[[#This Row],[_ShownFcstFinish]]),"")</f>
        <v/>
      </c>
      <c r="GK47" s="42" t="n">
        <f aca="false">IF(Tasks[[#This Row],[_IsLeaf]]=1,N(Tasks[[#This Row],[Story Points]]),0)</f>
        <v>0</v>
      </c>
      <c r="GL47" s="42" t="str">
        <f aca="false">""</f>
        <v/>
      </c>
      <c r="GM47" s="88" t="b">
        <f aca="false">IF(Tasks[[#This Row],[Task Name]]="",FALSE(),AND(Tasks[[#This Row],[_IsLeaf]]=1,N(Tasks[[#This Row],[_Days]])=0))</f>
        <v>0</v>
      </c>
      <c r="GN47" s="89" t="n">
        <f aca="false">IF(Tasks[[#This Row],[Task Name]]="",0,IF(AND(Tasks[[#This Row],[_IsLeaf]]=1,NOT(Tasks[[#This Row],[_IsMilestone]]),N(Tasks[[#This Row],[Progress]])&gt;0),Tasks[[#This Row],[Start]],0))</f>
        <v>0</v>
      </c>
      <c r="GO47" s="89" t="n">
        <f aca="false">IF(Tasks[[#This Row],[_DoneFrom]]=0,0,IF(Tasks[[#This Row],[Progress]]&gt;=1,Tasks[[#This Row],[Finish]],MAX(Tasks[[#This Row],[_DoneFrom]],Tasks[[#This Row],[Start]]+ROUND((Tasks[[#This Row],[Finish]]-Tasks[[#This Row],[Start]]+1)*Tasks[[#This Row],[Progress]],0)-1)))</f>
        <v>0</v>
      </c>
      <c r="GP47" s="89" t="n">
        <f aca="false">IF(Tasks[[#This Row],[Task Name]]="",0,IF(OR(NOT(Tasks[[#This Row],[_IsLeaf]]=1),Tasks[[#This Row],[_IsMilestone]],N(Tasks[[#This Row],[Progress]])&gt;=1),0,IF(Tasks[[#This Row],[_DoneTo]]&gt;0,Tasks[[#This Row],[_DoneTo]]+1,Tasks[[#This Row],[Start]])))</f>
        <v>0</v>
      </c>
      <c r="GQ47" s="89" t="n">
        <f aca="false">IF(Tasks[[#This Row],[_RemFrom]]=0,0,Tasks[[#This Row],[Finish]])</f>
        <v>0</v>
      </c>
      <c r="GR47" s="88" t="b">
        <f aca="false">IF(Tasks[[#This Row],[Task Name]]="",FALSE(),OR(NOT(BaselineSet),N(Tasks[[#This Row],[Baseline Start]])&gt;0))</f>
        <v>0</v>
      </c>
      <c r="GS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7" s="90" t="str">
        <f aca="false">IF(Tasks[[#This Row],[_IsLeaf]]=1,Tasks[[#This Row],[_Row]],"")</f>
        <v/>
      </c>
      <c r="GW47" s="90" t="str">
        <f aca="false">IFERROR(INDEX(Tasks[UID],SMALL(Tasks[_PickKey],Tasks[[#This Row],[_Row]]))&amp;" "&amp;INDEX(Tasks[Task Name],SMALL(Tasks[_PickKey],Tasks[[#This Row],[_Row]])),"")</f>
        <v/>
      </c>
      <c r="GX47" s="42" t="str">
        <f aca="false">IF(Tasks[[#This Row],[Task Name]]="","",IF(Tasks[[#This Row],[_IsSummary]],NETWORKDAYS.INTL(Tasks[[#This Row],[Start]],Tasks[[#This Row],[Finish]],WorkWeek,Holidays),N(Tasks[[#This Row],[_Days]])))</f>
        <v/>
      </c>
    </row>
    <row r="48" customFormat="false" ht="15" hidden="false" customHeight="false" outlineLevel="0" collapsed="false">
      <c r="A48" s="21" t="str">
        <f aca="false">IF(Tasks[[#This Row],[Task Name]]="","",COUNTA(Tasks[[#Headers],[Task Name]]:Tasks[[#This Row],[Task Name]])-1)</f>
        <v/>
      </c>
      <c r="B48" s="22" t="n">
        <v>56</v>
      </c>
      <c r="C48" s="22"/>
      <c r="D48" s="23"/>
      <c r="E48" s="22"/>
      <c r="F48" s="23"/>
      <c r="G48" s="22"/>
      <c r="H48" s="22"/>
      <c r="I48" s="23"/>
      <c r="J48" s="22"/>
      <c r="K48" s="22"/>
      <c r="L48" s="23"/>
      <c r="M48" s="22"/>
      <c r="N48" s="22"/>
      <c r="O48" s="23"/>
      <c r="P48" s="22"/>
      <c r="Q48" s="22"/>
      <c r="R48" s="23"/>
      <c r="S48" s="23"/>
      <c r="T48" s="83"/>
      <c r="U48" s="23"/>
      <c r="V48" s="83"/>
      <c r="W48" s="23"/>
      <c r="X48" s="83"/>
      <c r="Y48" s="23"/>
      <c r="Z48" s="83"/>
      <c r="AA48" s="23"/>
      <c r="AB48" s="23"/>
      <c r="AC48" s="7"/>
      <c r="AD48" s="7"/>
      <c r="AE48" s="62" t="str">
        <f aca="false">IF(Tasks[[#This Row],[Task Name]]="","",IF(Tasks[[#This Row],[_IsSummary]],MIN(INDEX(Tasks[_ShownFcstStart],Tasks[[#This Row],[_Row]]+1):INDEX(Tasks[_ShownFcstStart],Tasks[[#This Row],[_Row]]+Tasks[[#This Row],[_Descendants]])),Tasks[[#This Row],[_ShownFcstStart]]))</f>
        <v/>
      </c>
      <c r="AF48" s="62" t="str">
        <f aca="false">IF(Tasks[[#This Row],[Task Name]]="","",IF(Tasks[[#This Row],[_IsSummary]],MAX(INDEX(Tasks[_ShownFcstFinish],Tasks[[#This Row],[_Row]]+1):INDEX(Tasks[_ShownFcstFinish],Tasks[[#This Row],[_Row]]+Tasks[[#This Row],[_Descendants]])),Tasks[[#This Row],[_ShownFcstFinish]]))</f>
        <v/>
      </c>
      <c r="AG48" s="21" t="str">
        <f aca="false">""</f>
        <v/>
      </c>
      <c r="AH48" s="23"/>
      <c r="AI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8" s="7"/>
      <c r="AK48" s="22"/>
      <c r="AL48" s="23"/>
      <c r="AM48" s="7"/>
      <c r="AN48" s="46" t="str">
        <f aca="false">IF(Tasks[[#This Row],[Task Name]]="","",IF(Tasks[[#This Row],[Finish]]&gt;=Tasks[[#This Row],[Planned Finish]],NETWORKDAYS.INTL(Tasks[[#This Row],[Planned Finish]],Tasks[[#This Row],[Finish]],WorkWeek,Holidays)-1,1-NETWORKDAYS.INTL(Tasks[[#This Row],[Finish]],Tasks[[#This Row],[Planned Finish]],WorkWeek,Holidays)))</f>
        <v/>
      </c>
      <c r="AO48" s="21" t="str">
        <f aca="false">IF(Tasks[[#This Row],[Task Name]]="","",IF(Tasks[[#This Row],[Progress]]&gt;=1,"Complete",IF(OR(N(Tasks[[#This Row],[Actual Start]])&gt;0,Tasks[[#This Row],[Progress]]&gt;0),IF(Tasks[[#This Row],[Finish Var]]&gt;0,"Behind","In Progress"),IF(Tasks[[#This Row],[Planned Start]]&lt;StatusDate,"Late Start","Not Started"))))</f>
        <v/>
      </c>
      <c r="AP48" s="21" t="str">
        <f aca="false">IF(Tasks[[#This Row],[Task Name]]="","",IF(IF(Tasks[[#This Row],[_IsSummary]],COUNTIF(INDEX(Tasks[_LeafCritical],Tasks[[#This Row],[_Row]]+1):INDEX(Tasks[_LeafCritical],Tasks[[#This Row],[_Row]]+Tasks[[#This Row],[_Descendants]]),TRUE())&gt;0,Tasks[[#This Row],[_LeafCritical]]),"Yes",""))</f>
        <v/>
      </c>
      <c r="AQ48" s="62" t="str">
        <f aca="false">IF(Tasks[[#This Row],[Task Name]]="","",IF(N(Tasks[[#This Row],[Baseline Start]])&gt;0,Tasks[[#This Row],[Baseline Start]],Tasks[[#This Row],[_CalcStart]]))</f>
        <v/>
      </c>
      <c r="AR48" s="62" t="str">
        <f aca="false">IF(Tasks[[#This Row],[Task Name]]="","",IF(N(Tasks[[#This Row],[Baseline Finish]])&gt;0,Tasks[[#This Row],[Baseline Finish]],Tasks[[#This Row],[_CalcFinish]]))</f>
        <v/>
      </c>
      <c r="AS48" s="46" t="str">
        <f aca="false">IF(Tasks[[#This Row],[Task Name]]="","",IF(Tasks[[#This Row],[Start]]&gt;=Tasks[[#This Row],[Planned Start]],NETWORKDAYS.INTL(Tasks[[#This Row],[Planned Start]],Tasks[[#This Row],[Start]],WorkWeek,Holidays)-1,1-NETWORKDAYS.INTL(Tasks[[#This Row],[Start]],Tasks[[#This Row],[Planned Start]],WorkWeek,Holidays)))</f>
        <v/>
      </c>
      <c r="AT48" s="62" t="str">
        <f aca="false">IF(Tasks[[#This Row],[Task Name]]="","",IF(Tasks[[#This Row],[_IsSummary]],MIN(INDEX(Tasks[_LeafLateStart],Tasks[[#This Row],[_Row]]+1):INDEX(Tasks[_LeafLateStart],Tasks[[#This Row],[_Row]]+Tasks[[#This Row],[_Descendants]])),Tasks[[#This Row],[_LeafLateStart]]))</f>
        <v/>
      </c>
      <c r="AU48" s="62" t="str">
        <f aca="false">IF(Tasks[[#This Row],[Task Name]]="","",IF(Tasks[[#This Row],[_IsSummary]],MAX(INDEX(Tasks[_LeafLateFinish],Tasks[[#This Row],[_Row]]+1):INDEX(Tasks[_LeafLateFinish],Tasks[[#This Row],[_Row]]+Tasks[[#This Row],[_Descendants]])),Tasks[[#This Row],[_LeafLateFinish]]))</f>
        <v/>
      </c>
      <c r="AV48" s="46" t="str">
        <f aca="false">IF(Tasks[[#This Row],[Task Name]]="","",IF(Tasks[[#This Row],[_IsSummary]],MIN(INDEX(Tasks[_LeafTotalSlack],Tasks[[#This Row],[_Row]]+1):INDEX(Tasks[_LeafTotalSlack],Tasks[[#This Row],[_Row]]+Tasks[[#This Row],[_Descendants]])),Tasks[[#This Row],[_LeafTotalSlack]]))</f>
        <v/>
      </c>
      <c r="AW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4"/>
      <c r="BA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t="str">
        <f aca="false">IF(Tasks[[#This Row],[Task Name]]="","",IF(Tasks[[#This Row],[_Level]]&lt;=OutlineShowLevel,"Yes","No"))</f>
        <v/>
      </c>
      <c r="BE48" s="85" t="str">
        <f aca="false">IF(Tasks[[#This Row],[Task Name]]="","",IF(Tasks[[#This Row],[_IsSummary]],SUM(INDEX(Tasks[_LeafTotalWork],Tasks[[#This Row],[_Row]]+1):INDEX(Tasks[_LeafTotalWork],Tasks[[#This Row],[_Row]]+Tasks[[#This Row],[_Descendants]])),Tasks[[#This Row],[_LeafTotalWork]]))</f>
        <v/>
      </c>
      <c r="BF48" s="23"/>
      <c r="BG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t="str">
        <f aca="false">""</f>
        <v/>
      </c>
      <c r="BI48" s="86"/>
      <c r="BJ48" s="22"/>
      <c r="BK48" s="46" t="str">
        <f aca="false">IF(OR(Tasks[[#This Row],[Task Name]]="",Tasks[[#This Row],[Baseline Duration]]=""),"",Tasks[[#This Row],[_SpanDays]]-N(Tasks[[#This Row],[Baseline Duration]]))</f>
        <v/>
      </c>
      <c r="BL48" s="85" t="str">
        <f aca="false">IF(OR(Tasks[[#This Row],[Task Name]]="",Tasks[[#This Row],[Baseline Work]]=""),"",Tasks[[#This Row],[Work]]-N(Tasks[[#This Row],[Baseline Work]]))</f>
        <v/>
      </c>
      <c r="BM48" s="62" t="str">
        <f aca="false">IF(Tasks[[#This Row],[Task Name]]="","",IF(OR(TakeBaseline="Yes",N(Tasks[[#This Row],[Baseline Start]])=0),Tasks[[#This Row],[Start]],Tasks[[#This Row],[Baseline Start]]))</f>
        <v/>
      </c>
      <c r="BN48" s="62" t="str">
        <f aca="false">IF(Tasks[[#This Row],[Task Name]]="","",IF(OR(TakeBaseline="Yes",N(Tasks[[#This Row],[Baseline Finish]])=0),Tasks[[#This Row],[Finish]],Tasks[[#This Row],[Baseline Finish]]))</f>
        <v/>
      </c>
      <c r="BO48" s="21" t="str">
        <f aca="false">IF(Tasks[[#This Row],[Task Name]]="","",IF(OR(TakeBaseline="Yes",N(Tasks[[#This Row],[Baseline Duration]])=0),Tasks[[#This Row],[_SpanDays]],Tasks[[#This Row],[Baseline Duration]]))</f>
        <v/>
      </c>
      <c r="BP48" s="85" t="str">
        <f aca="false">IF(Tasks[[#This Row],[Task Name]]="","",IF(OR(TakeBaseline="Yes",N(Tasks[[#This Row],[Baseline Work]])=0),Tasks[[#This Row],[Work]],Tasks[[#This Row],[Baseline Work]]))</f>
        <v/>
      </c>
      <c r="BQ48" s="7"/>
      <c r="BR48" s="7"/>
      <c r="BS48" s="22"/>
      <c r="BT48" s="87"/>
      <c r="BU48" s="42" t="str">
        <f aca="false">IF(Tasks[[#This Row],[Task Name]]="","",MAX(1,N(Tasks[[#This Row],[Level]])))</f>
        <v/>
      </c>
      <c r="BV48" s="42" t="n">
        <f aca="false">ROW()-ROW(Tasks[[#Headers],[ID]])</f>
        <v>43</v>
      </c>
      <c r="BW48" s="42" t="n">
        <f aca="false">IF(OR(Tasks[[#This Row],[Task Name]]="",Tasks[[#This Row],[_Level]]&lt;=1),0,IFERROR(LOOKUP(2,1/(Tasks[[#Headers],[_Level]]:Tasks[[#This Row],[_Level]]=Tasks[[#This Row],[_Level]]-1),ROW(Tasks[[#Headers],[_Level]]:Tasks[[#This Row],[_Level]])),0))</f>
        <v>0</v>
      </c>
      <c r="BX48" s="42" t="n">
        <f aca="false">IFERROR(N(INDEX(Tasks[_Level],Tasks[[#This Row],[_Row]]+1)),0)</f>
        <v>0</v>
      </c>
      <c r="BY48" s="88" t="b">
        <f aca="false">AND(Tasks[[#This Row],[Task Name]]&lt;&gt;"",Tasks[[#This Row],[_NextLevel]]&gt;Tasks[[#This Row],[_Level]])</f>
        <v>0</v>
      </c>
      <c r="BZ48" s="42" t="n">
        <f aca="false">IF(Tasks[[#This Row],[_IsSummary]],COUNTIF(Tasks[WBS],Tasks[[#This Row],[WBS]]&amp;".*"),0)</f>
        <v>0</v>
      </c>
      <c r="CA48" s="42" t="n">
        <f aca="false">IF(AND(Tasks[[#This Row],[Task Name]]&lt;&gt;"",NOT(Tasks[[#This Row],[_IsSummary]])),1,0)</f>
        <v>0</v>
      </c>
      <c r="CB48" s="42" t="n">
        <f aca="false">IF(N(Tasks[[#This Row],[_Pred1UID]])=0,0,IFERROR(MATCH(Tasks[[#This Row],[_Pred1UID]],Tasks[UID],0),-1))</f>
        <v>0</v>
      </c>
      <c r="CC48" s="42" t="n">
        <f aca="false">IF(N(Tasks[[#This Row],[_Pred2UID]])=0,0,IFERROR(MATCH(Tasks[[#This Row],[_Pred2UID]],Tasks[UID],0),-1))</f>
        <v>0</v>
      </c>
      <c r="CD48" s="42" t="n">
        <f aca="false">IF(N(Tasks[[#This Row],[_Pred3UID]])=0,0,IFERROR(MATCH(Tasks[[#This Row],[_Pred3UID]],Tasks[UID],0),-1))</f>
        <v>0</v>
      </c>
      <c r="CE48" s="42" t="n">
        <f aca="false">IF(N(Tasks[[#This Row],[_Pred4UID]])=0,0,IFERROR(MATCH(Tasks[[#This Row],[_Pred4UID]],Tasks[UID],0),-1))</f>
        <v>0</v>
      </c>
      <c r="CF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8" s="89" t="n">
        <f aca="false">IF(OR(Tasks[[#This Row],[_ConstraintCode]]=2,Tasks[[#This Row],[_ConstraintCode]]=3,Tasks[[#This Row],[_ConstraintCode]]=4,Tasks[[#This Row],[_ConstraintCode]]=6),Tasks[[#This Row],[_ConstraintStart]],0)</f>
        <v>0</v>
      </c>
      <c r="CI48" s="89" t="n">
        <f aca="false">IF(OR(Tasks[[#This Row],[_ConstraintCode]]=2,Tasks[[#This Row],[_ConstraintCode]]=3,Tasks[[#This Row],[_ConstraintCode]]=5,Tasks[[#This Row],[_ConstraintCode]]=7),Tasks[[#This Row],[_ConstraintStart]],2958465)</f>
        <v>2958465</v>
      </c>
      <c r="CJ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8" s="89" t="str">
        <f aca="false">IF(NOT(Tasks[[#This Row],[_IsLeaf]]=1),"",IF(N(Tasks[[#This Row],[_Days]])&lt;=0,Tasks[[#This Row],[_LeafCalcStart]],WORKDAY.INTL(Tasks[[#This Row],[_LeafCalcStart]],Tasks[[#This Row],[_Days]]-1,WorkWeek,Holidays)))</f>
        <v/>
      </c>
      <c r="CL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8" s="42" t="str">
        <f aca="false">IF(Tasks[[#This Row],[_Predecessors]]="","",TRIM(MID(SUBSTITUTE(SUBSTITUTE(SUBSTITUTE(UPPER(Tasks[[#This Row],[_Predecessors]]),";",",")," ",""),",",REPT(" ",99)),1,99)))</f>
        <v/>
      </c>
      <c r="CO48" s="42" t="str">
        <f aca="false">IF(Tasks[[#This Row],[_Pred1Text]]="","",IFERROR(VALUE(LEFT(Tasks[[#This Row],[_Pred1Text]],MIN(FIND("F",Tasks[[#This Row],[_Pred1Text]]&amp;"F"),FIND("S",Tasks[[#This Row],[_Pred1Text]]&amp;"S"),FIND("+",Tasks[[#This Row],[_Pred1Text]]&amp;"+"),FIND("-",Tasks[[#This Row],[_Pred1Text]]&amp;"-"))-1)),""))</f>
        <v/>
      </c>
      <c r="CP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8" s="42" t="str">
        <f aca="false">IF(Tasks[[#This Row],[_Pred1Text]]="","",TRIM(MID(SUBSTITUTE(SUBSTITUTE(SUBSTITUTE(UPPER(Tasks[[#This Row],[_Predecessors]]),";",",")," ",""),",",REPT(" ",99)),100,99)))</f>
        <v/>
      </c>
      <c r="CS48" s="42" t="str">
        <f aca="false">IF(Tasks[[#This Row],[_Pred2Text]]="","",IFERROR(VALUE(LEFT(Tasks[[#This Row],[_Pred2Text]],MIN(FIND("F",Tasks[[#This Row],[_Pred2Text]]&amp;"F"),FIND("S",Tasks[[#This Row],[_Pred2Text]]&amp;"S"),FIND("+",Tasks[[#This Row],[_Pred2Text]]&amp;"+"),FIND("-",Tasks[[#This Row],[_Pred2Text]]&amp;"-"))-1)),""))</f>
        <v/>
      </c>
      <c r="CT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8" s="42" t="str">
        <f aca="false">IF(Tasks[[#This Row],[_Pred2Text]]="","",TRIM(MID(SUBSTITUTE(SUBSTITUTE(SUBSTITUTE(UPPER(Tasks[[#This Row],[_Predecessors]]),";",",")," ",""),",",REPT(" ",99)),199,99)))</f>
        <v/>
      </c>
      <c r="CW48" s="42" t="str">
        <f aca="false">IF(Tasks[[#This Row],[_Pred3Text]]="","",IFERROR(VALUE(LEFT(Tasks[[#This Row],[_Pred3Text]],MIN(FIND("F",Tasks[[#This Row],[_Pred3Text]]&amp;"F"),FIND("S",Tasks[[#This Row],[_Pred3Text]]&amp;"S"),FIND("+",Tasks[[#This Row],[_Pred3Text]]&amp;"+"),FIND("-",Tasks[[#This Row],[_Pred3Text]]&amp;"-"))-1)),""))</f>
        <v/>
      </c>
      <c r="CX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8" s="42" t="str">
        <f aca="false">IF(Tasks[[#This Row],[_Pred3Text]]="","",TRIM(MID(SUBSTITUTE(SUBSTITUTE(SUBSTITUTE(UPPER(Tasks[[#This Row],[_Predecessors]]),";",",")," ",""),",",REPT(" ",99)),298,99)))</f>
        <v/>
      </c>
      <c r="DA48" s="42" t="str">
        <f aca="false">IF(Tasks[[#This Row],[_Pred4Text]]="","",IFERROR(VALUE(LEFT(Tasks[[#This Row],[_Pred4Text]],MIN(FIND("F",Tasks[[#This Row],[_Pred4Text]]&amp;"F"),FIND("S",Tasks[[#This Row],[_Pred4Text]]&amp;"S"),FIND("+",Tasks[[#This Row],[_Pred4Text]]&amp;"+"),FIND("-",Tasks[[#This Row],[_Pred4Text]]&amp;"-"))-1)),""))</f>
        <v/>
      </c>
      <c r="DB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8" s="42" t="str">
        <f aca="false">IF(OR(Tasks[[#This Row],[Task Name]]="",Tasks[[#This Row],[_Resources]]=""),"",TRIM(MID(SUBSTITUTE(Tasks[[#This Row],[_Resources]],",",REPT(" ",99)),1,99)))</f>
        <v/>
      </c>
      <c r="DE48" s="42" t="str">
        <f aca="false">IF(Tasks[[#This Row],[_Res1Text]]="","",TRIM(MID(SUBSTITUTE(Tasks[[#This Row],[_Resources]],",",REPT(" ",99)),100,99)))</f>
        <v/>
      </c>
      <c r="DF48" s="42" t="str">
        <f aca="false">IF(Tasks[[#This Row],[_Res2Text]]="","",TRIM(MID(SUBSTITUTE(Tasks[[#This Row],[_Resources]],",",REPT(" ",99)),199,99)))</f>
        <v/>
      </c>
      <c r="DG48" s="42" t="str">
        <f aca="false">IF(Tasks[[#This Row],[_Res3Text]]="","",TRIM(MID(SUBSTITUTE(Tasks[[#This Row],[_Resources]],",",REPT(" ",99)),298,99)))</f>
        <v/>
      </c>
      <c r="DH48" s="42" t="n">
        <f aca="false">IF(Tasks[[#This Row],[_Res1Text]]="",0,IFERROR(MATCH(TRIM(LEFT(Tasks[[#This Row],[_Res1Text]],FIND("[",Tasks[[#This Row],[_Res1Text]]&amp;"[")-1)),res_Name,0),IFERROR(MATCH(TRIM(LEFT(Tasks[[#This Row],[_Res1Text]],FIND("[",Tasks[[#This Row],[_Res1Text]]&amp;"[")-1)),res_Initials,0),0)))</f>
        <v>0</v>
      </c>
      <c r="DI48" s="42" t="n">
        <f aca="false">IF(Tasks[[#This Row],[_Res2Text]]="",0,IFERROR(MATCH(TRIM(LEFT(Tasks[[#This Row],[_Res2Text]],FIND("[",Tasks[[#This Row],[_Res2Text]]&amp;"[")-1)),res_Name,0),IFERROR(MATCH(TRIM(LEFT(Tasks[[#This Row],[_Res2Text]],FIND("[",Tasks[[#This Row],[_Res2Text]]&amp;"[")-1)),res_Initials,0),0)))</f>
        <v>0</v>
      </c>
      <c r="DJ48" s="42" t="n">
        <f aca="false">IF(Tasks[[#This Row],[_Res3Text]]="",0,IFERROR(MATCH(TRIM(LEFT(Tasks[[#This Row],[_Res3Text]],FIND("[",Tasks[[#This Row],[_Res3Text]]&amp;"[")-1)),res_Name,0),IFERROR(MATCH(TRIM(LEFT(Tasks[[#This Row],[_Res3Text]],FIND("[",Tasks[[#This Row],[_Res3Text]]&amp;"[")-1)),res_Initials,0),0)))</f>
        <v>0</v>
      </c>
      <c r="DK48" s="42" t="n">
        <f aca="false">IF(Tasks[[#This Row],[_Res4Text]]="",0,IFERROR(MATCH(TRIM(LEFT(Tasks[[#This Row],[_Res4Text]],FIND("[",Tasks[[#This Row],[_Res4Text]]&amp;"[")-1)),res_Name,0),IFERROR(MATCH(TRIM(LEFT(Tasks[[#This Row],[_Res4Text]],FIND("[",Tasks[[#This Row],[_Res4Text]]&amp;"[")-1)),res_Initials,0),0)))</f>
        <v>0</v>
      </c>
      <c r="DL48" s="42" t="str">
        <f aca="false">IF(Tasks[[#This Row],[_Res1Text]]="","",IF(Tasks[[#This Row],[_Res1Row]]&gt;0,INDEX(res_Name,Tasks[[#This Row],[_Res1Row]]),TRIM(LEFT(Tasks[[#This Row],[_Res1Text]],FIND("[",Tasks[[#This Row],[_Res1Text]]&amp;"[")-1))))</f>
        <v/>
      </c>
      <c r="DM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8" s="42" t="n">
        <f aca="false">IF(NOT(Tasks[[#This Row],[_IsLeaf]]=1),0,(Tasks[[#This Row],[_Resource1]]&lt;&gt;"")+(Tasks[[#This Row],[_Res2]]&lt;&gt;"")+(Tasks[[#This Row],[_Res3]]&lt;&gt;"")+(Tasks[[#This Row],[_Res4]]&lt;&gt;""))</f>
        <v>0</v>
      </c>
      <c r="DO48" s="42" t="str">
        <f aca="false">IF(Tasks[[#This Row],[_Res2Text]]="","",IF(Tasks[[#This Row],[_Res2Row]]&gt;0,INDEX(res_Name,Tasks[[#This Row],[_Res2Row]]),TRIM(LEFT(Tasks[[#This Row],[_Res2Text]],FIND("[",Tasks[[#This Row],[_Res2Text]]&amp;"[")-1))))</f>
        <v/>
      </c>
      <c r="DP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8" s="42" t="n">
        <f aca="false">IF(OR(NOT(Tasks[[#This Row],[_IsLeaf]]=1),Tasks[[#This Row],[_Res2Row]]=0),0,N(Tasks[[#This Row],[_Days]])*HoursPerDay*IF(Tasks[[#This Row],[_Res2Units]]="",DefaultUnits,Tasks[[#This Row],[_Res2Units]]))</f>
        <v>0</v>
      </c>
      <c r="DR48" s="42" t="n">
        <f aca="false">IF(AND(AND(Tasks[[#This Row],[_IsLeaf]]=1,Tasks[[#This Row],[_LeafTotalWork]]&gt;0),Tasks[[#This Row],[_Res2Work]]&gt;0),Tasks[[#This Row],[_Res2Work]]/(Tasks[[#This Row],[_FinishWorkday]]-Tasks[[#This Row],[_StartWorkday]]+1),0)</f>
        <v>0</v>
      </c>
      <c r="DS48" s="42" t="n">
        <f aca="false">Tasks[[#This Row],[_Res2WorkPerWD]]*MAX(0,Tasks[[#This Row],[_StartWorkday]]-1)</f>
        <v>0</v>
      </c>
      <c r="DT48" s="42" t="n">
        <f aca="false">Tasks[[#This Row],[_Res2Work]]*Tasks[[#This Row],[_LeafProgress]]</f>
        <v>0</v>
      </c>
      <c r="DU48" s="42" t="str">
        <f aca="false">IF(Tasks[[#This Row],[_Res3Text]]="","",IF(Tasks[[#This Row],[_Res3Row]]&gt;0,INDEX(res_Name,Tasks[[#This Row],[_Res3Row]]),TRIM(LEFT(Tasks[[#This Row],[_Res3Text]],FIND("[",Tasks[[#This Row],[_Res3Text]]&amp;"[")-1))))</f>
        <v/>
      </c>
      <c r="DV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8" s="42" t="n">
        <f aca="false">IF(OR(NOT(Tasks[[#This Row],[_IsLeaf]]=1),Tasks[[#This Row],[_Res3Row]]=0),0,N(Tasks[[#This Row],[_Days]])*HoursPerDay*IF(Tasks[[#This Row],[_Res3Units]]="",DefaultUnits,Tasks[[#This Row],[_Res3Units]]))</f>
        <v>0</v>
      </c>
      <c r="DX48" s="42" t="n">
        <f aca="false">IF(AND(AND(Tasks[[#This Row],[_IsLeaf]]=1,Tasks[[#This Row],[_LeafTotalWork]]&gt;0),Tasks[[#This Row],[_Res3Work]]&gt;0),Tasks[[#This Row],[_Res3Work]]/(Tasks[[#This Row],[_FinishWorkday]]-Tasks[[#This Row],[_StartWorkday]]+1),0)</f>
        <v>0</v>
      </c>
      <c r="DY48" s="42" t="n">
        <f aca="false">Tasks[[#This Row],[_Res3WorkPerWD]]*MAX(0,Tasks[[#This Row],[_StartWorkday]]-1)</f>
        <v>0</v>
      </c>
      <c r="DZ48" s="42" t="n">
        <f aca="false">Tasks[[#This Row],[_Res3Work]]*Tasks[[#This Row],[_LeafProgress]]</f>
        <v>0</v>
      </c>
      <c r="EA48" s="42" t="str">
        <f aca="false">IF(Tasks[[#This Row],[_Res4Text]]="","",IF(Tasks[[#This Row],[_Res4Row]]&gt;0,INDEX(res_Name,Tasks[[#This Row],[_Res4Row]]),TRIM(LEFT(Tasks[[#This Row],[_Res4Text]],FIND("[",Tasks[[#This Row],[_Res4Text]]&amp;"[")-1))))</f>
        <v/>
      </c>
      <c r="EB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8" s="42" t="n">
        <f aca="false">IF(OR(NOT(Tasks[[#This Row],[_IsLeaf]]=1),Tasks[[#This Row],[_Res4Row]]=0),0,N(Tasks[[#This Row],[_Days]])*HoursPerDay*IF(Tasks[[#This Row],[_Res4Units]]="",DefaultUnits,Tasks[[#This Row],[_Res4Units]]))</f>
        <v>0</v>
      </c>
      <c r="ED48" s="42" t="n">
        <f aca="false">IF(AND(AND(Tasks[[#This Row],[_IsLeaf]]=1,Tasks[[#This Row],[_LeafTotalWork]]&gt;0),Tasks[[#This Row],[_Res4Work]]&gt;0),Tasks[[#This Row],[_Res4Work]]/(Tasks[[#This Row],[_FinishWorkday]]-Tasks[[#This Row],[_StartWorkday]]+1),0)</f>
        <v>0</v>
      </c>
      <c r="EE48" s="42" t="n">
        <f aca="false">Tasks[[#This Row],[_Res4WorkPerWD]]*MAX(0,Tasks[[#This Row],[_StartWorkday]]-1)</f>
        <v>0</v>
      </c>
      <c r="EF48" s="42" t="n">
        <f aca="false">Tasks[[#This Row],[_Res4Work]]*Tasks[[#This Row],[_LeafProgress]]</f>
        <v>0</v>
      </c>
      <c r="EG48" s="42" t="n">
        <f aca="false">IF(ISNUMBER(Tasks[[#This Row],[% Complete]]),Tasks[[#This Row],[% Complete]],IF(Tasks[[#This Row],[Stage]]="",0,IFERROR(INDEX(stg_Pct,MATCH(Tasks[[#This Row],[Stage]],stg_Name,0)),0)))</f>
        <v>0</v>
      </c>
      <c r="EH48" s="42" t="n">
        <f aca="false">IF(NOT(Tasks[[#This Row],[_IsLeaf]]=1),0,IF(N(Tasks[[#This Row],[Actual Finish]])&gt;0,1,MIN(1,Tasks[[#This Row],[_Pct]])))</f>
        <v>0</v>
      </c>
      <c r="EI48" s="42" t="n">
        <f aca="false">IF(OR(NOT(Tasks[[#This Row],[_IsLeaf]]=1),Tasks[[#This Row],[_Res1Row]]=0),0,N(Tasks[[#This Row],[_Days]])*HoursPerDay*IF(Tasks[[#This Row],[_Units1]]="",DefaultUnits,Tasks[[#This Row],[_Units1]]))</f>
        <v>0</v>
      </c>
      <c r="EJ48" s="42" t="n">
        <f aca="false">Tasks[[#This Row],[_LeafWork]]+Tasks[[#This Row],[_Res2Work]]+Tasks[[#This Row],[_Res3Work]]+Tasks[[#This Row],[_Res4Work]]</f>
        <v>0</v>
      </c>
      <c r="EK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8" s="42" t="n">
        <f aca="false">IF(NOT(Tasks[[#This Row],[_IsLeaf]]=1),0,MAX(_xlfn.MAXIFS(Tasks[_Row],Tasks[_Pred1UID],Tasks[[#This Row],[UID]]),_xlfn.MAXIFS(Tasks[_Row],Tasks[_Pred2UID],Tasks[[#This Row],[UID]]),_xlfn.MAXIFS(Tasks[_Row],Tasks[_Pred3UID],Tasks[[#This Row],[UID]]),_xlfn.MAXIFS(Tasks[_Row],Tasks[_Pred4UID],Tasks[[#This Row],[UID]])))</f>
        <v>0</v>
      </c>
      <c r="ET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8" s="89" t="str">
        <f aca="false">IF(NOT(Tasks[[#This Row],[_IsLeaf]]=1),"",IF(N(Tasks[[#This Row],[_Days]])&lt;=0,Tasks[[#This Row],[_LeafLateFinish]],WORKDAY.INTL(Tasks[[#This Row],[_LeafLateFinish]],-(Tasks[[#This Row],[_Days]]-1),WorkWeek,Holidays)))</f>
        <v/>
      </c>
      <c r="EW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8" s="88" t="b">
        <f aca="false">AND(Tasks[[#This Row],[_IsLeaf]]=1,Tasks[[#This Row],[_LeafProgress]]&lt;1,N(Tasks[[#This Row],[_LeafTotalSlack]])&lt;=CriticalSlackDays)</f>
        <v>0</v>
      </c>
      <c r="EY48" s="42" t="n">
        <f aca="false">IF(AND(Tasks[[#This Row],[_IsLeaf]]=1,Tasks[[#This Row],[_ConstraintCode]]=1,Tasks[[#This Row],[Mode]]&lt;&gt;"Manual",N(Tasks[[#This Row],[Actual Start]])=0),MAX(0,N(Tasks[[#This Row],[Free Slack]])),0)</f>
        <v>0</v>
      </c>
      <c r="EZ48" s="89" t="str">
        <f aca="false">IF(NOT(Tasks[[#This Row],[_IsLeaf]]=1),"",IF(Tasks[[#This Row],[_AlapShift]]=0,Tasks[[#This Row],[_LeafCalcStart]],WORKDAY.INTL(Tasks[[#This Row],[_LeafCalcStart]],Tasks[[#This Row],[_AlapShift]],WorkWeek,Holidays)))</f>
        <v/>
      </c>
      <c r="FA48" s="89" t="str">
        <f aca="false">IF(NOT(Tasks[[#This Row],[_IsLeaf]]=1),"",IF(Tasks[[#This Row],[_AlapShift]]=0,Tasks[[#This Row],[_LeafCalcFinish]],WORKDAY.INTL(Tasks[[#This Row],[_LeafCalcFinish]],Tasks[[#This Row],[_AlapShift]],WorkWeek,Holidays)))</f>
        <v/>
      </c>
      <c r="FB48" s="89" t="str">
        <f aca="false">IF(NOT(Tasks[[#This Row],[_IsLeaf]]=1),"",IF(Tasks[[#This Row],[_AlapShift]]=0,Tasks[[#This Row],[_LeafFcstStart]],WORKDAY.INTL(Tasks[[#This Row],[_LeafFcstStart]],Tasks[[#This Row],[_AlapShift]],WorkWeek,Holidays)))</f>
        <v/>
      </c>
      <c r="FC48" s="89" t="str">
        <f aca="false">IF(NOT(Tasks[[#This Row],[_IsLeaf]]=1),"",IF(Tasks[[#This Row],[_AlapShift]]=0,Tasks[[#This Row],[_LeafFcstFinish]],WORKDAY.INTL(Tasks[[#This Row],[_LeafFcstFinish]],Tasks[[#This Row],[_AlapShift]],WorkWeek,Holidays)))</f>
        <v/>
      </c>
      <c r="FD48" s="89" t="str">
        <f aca="false">IF(Tasks[[#This Row],[Task Name]]="","",IF(Tasks[[#This Row],[_IsSummary]],MIN(INDEX(Tasks[_ShownCalcStart],Tasks[[#This Row],[_Row]]+1):INDEX(Tasks[_ShownCalcStart],Tasks[[#This Row],[_Row]]+Tasks[[#This Row],[_Descendants]])),Tasks[[#This Row],[_ShownCalcStart]]))</f>
        <v/>
      </c>
      <c r="FE48" s="89" t="str">
        <f aca="false">IF(Tasks[[#This Row],[Task Name]]="","",IF(Tasks[[#This Row],[_IsSummary]],MAX(INDEX(Tasks[_ShownCalcFinish],Tasks[[#This Row],[_Row]]+1):INDEX(Tasks[_ShownCalcFinish],Tasks[[#This Row],[_Row]]+Tasks[[#This Row],[_Descendants]])),Tasks[[#This Row],[_ShownCalcFinish]]))</f>
        <v/>
      </c>
      <c r="FF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8" s="42" t="n">
        <f aca="false">IF(AND(Tasks[[#This Row],[_IsLeaf]]=1,Tasks[[#This Row],[_LeafTotalWork]]&gt;0),NETWORKDAYS.INTL(ProjectStart,Tasks[[#This Row],[_ShownFcstStart]],WorkWeek,Holidays),0)</f>
        <v>0</v>
      </c>
      <c r="FS48" s="42" t="n">
        <f aca="false">IF(AND(Tasks[[#This Row],[_IsLeaf]]=1,Tasks[[#This Row],[_LeafTotalWork]]&gt;0),MAX(Tasks[[#This Row],[_StartWorkday]],NETWORKDAYS.INTL(ProjectStart,Tasks[[#This Row],[_ShownFcstFinish]],WorkWeek,Holidays)),0)</f>
        <v>0</v>
      </c>
      <c r="FT48" s="42" t="n">
        <f aca="false">IF(AND(Tasks[[#This Row],[_IsLeaf]]=1,Tasks[[#This Row],[_LeafTotalWork]]&gt;0),Tasks[[#This Row],[_LeafWork]]/(Tasks[[#This Row],[_FinishWorkday]]-Tasks[[#This Row],[_StartWorkday]]+1),0)</f>
        <v>0</v>
      </c>
      <c r="FU48" s="42" t="n">
        <f aca="false">Tasks[[#This Row],[_WorkPerWorkday]]*(Tasks[[#This Row],[_StartWorkday]]-1)</f>
        <v>-0</v>
      </c>
      <c r="FV48" s="42" t="n">
        <f aca="false">IF(Tasks[[#This Row],[_IsLeaf]]=1,MAX(N(Tasks[[#This Row],[_Days]]),0.1),0)</f>
        <v>0</v>
      </c>
      <c r="FW48" s="42" t="n">
        <f aca="false">Tasks[[#This Row],[_WeightDur]]*Tasks[[#This Row],[_LeafProgress]]</f>
        <v>0</v>
      </c>
      <c r="FX48" s="42" t="n">
        <f aca="false">Tasks[[#This Row],[_WeightDur]]*Tasks[[#This Row],[_PlannedPct]]</f>
        <v>0</v>
      </c>
      <c r="FY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8" s="42" t="str">
        <f aca="false">IF(AND(Tasks[[#This Row],[_IsLeaf]]=1,N(Tasks[[#This Row],[_Days]])=0,Tasks[[#This Row],[_LeafProgress]]&lt;1),Tasks[[#This Row],[_ShownFcstFinish]]+Tasks[[#This Row],[_Row]]/100000,"")</f>
        <v/>
      </c>
      <c r="GA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8" s="42" t="str">
        <f aca="false">IF(Tasks[[#This Row],[Task Name]]="","",LEFT(Tasks[[#This Row],[WBS]],FIND(".",Tasks[[#This Row],[WBS]]&amp;".")-1))</f>
        <v/>
      </c>
      <c r="GC48" s="42" t="str">
        <f aca="false">IF(AND(Tasks[[#This Row],[Task Name]]&lt;&gt;"",Tasks[[#This Row],[_Level]]=1),Tasks[[#This Row],[_Row]],"")</f>
        <v/>
      </c>
      <c r="GD48" s="42" t="str">
        <f aca="false">IF(AND(Tasks[[#This Row],[_IsLeaf]]=1,N(Tasks[[#This Row],[_Days]])=0),Tasks[[#This Row],[Planned Finish]]+Tasks[[#This Row],[_Row]]/100000,"")</f>
        <v/>
      </c>
      <c r="GE48" s="42" t="str">
        <f aca="false">IF(AND(Tasks[[#This Row],[_IsLeaf]]=1,Tasks[[#This Row],[_LeafProgress]]&lt;1,OR(N(Tasks[[#This Row],[Finish Var]])&gt;0,Tasks[[#This Row],[Status]]="Late Start")),MAX(0,Tasks[[#This Row],[Finish Var]])+1-Tasks[[#This Row],[_Row]]/1000000,"")</f>
        <v/>
      </c>
      <c r="GF48" s="42" t="str">
        <f aca="false">IF(AND(Tasks[[#This Row],[_IsLeaf]]=1,N(Tasks[[#This Row],[Actual Start]])=0,Tasks[[#This Row],[_ShownFcstStart]]&gt;=StatusDate,Tasks[[#This Row],[_ShownFcstStart]]&lt;=LookaheadEnd),Tasks[[#This Row],[_ShownFcstStart]]+Tasks[[#This Row],[_Row]]/100000,"")</f>
        <v/>
      </c>
      <c r="GG48" s="42" t="str">
        <f aca="false">IF(AND(Tasks[[#This Row],[_IsLeaf]]=1,Tasks[[#This Row],[_LeafProgress]]&lt;1,Tasks[[#This Row],[_ShownFcstFinish]]&gt;=StatusDate,Tasks[[#This Row],[_ShownFcstFinish]]&lt;=LookaheadEnd),Tasks[[#This Row],[_ShownFcstFinish]]+Tasks[[#This Row],[_Row]]/100000,"")</f>
        <v/>
      </c>
      <c r="GH48" s="42" t="str">
        <f aca="false">IF(Tasks[[#This Row],[_LeafCritical]],Tasks[[#This Row],[_ShownFcstStart]]+Tasks[[#This Row],[_Row]]/100000,"")</f>
        <v/>
      </c>
      <c r="GI48" s="42" t="n">
        <f aca="false">Tasks[[#This Row],[_LeafWork]]*Tasks[[#This Row],[_LeafProgress]]</f>
        <v>0</v>
      </c>
      <c r="GJ48" s="89" t="str">
        <f aca="false">IF(AND(Tasks[[#This Row],[_IsLeaf]]=1,Tasks[[#This Row],[_LeafProgress]]&gt;=1),IF(N(Tasks[[#This Row],[Actual Finish]])&gt;0,Tasks[[#This Row],[Actual Finish]],Tasks[[#This Row],[_ShownFcstFinish]]),"")</f>
        <v/>
      </c>
      <c r="GK48" s="42" t="n">
        <f aca="false">IF(Tasks[[#This Row],[_IsLeaf]]=1,N(Tasks[[#This Row],[Story Points]]),0)</f>
        <v>0</v>
      </c>
      <c r="GL48" s="42" t="str">
        <f aca="false">""</f>
        <v/>
      </c>
      <c r="GM48" s="88" t="b">
        <f aca="false">IF(Tasks[[#This Row],[Task Name]]="",FALSE(),AND(Tasks[[#This Row],[_IsLeaf]]=1,N(Tasks[[#This Row],[_Days]])=0))</f>
        <v>0</v>
      </c>
      <c r="GN48" s="89" t="n">
        <f aca="false">IF(Tasks[[#This Row],[Task Name]]="",0,IF(AND(Tasks[[#This Row],[_IsLeaf]]=1,NOT(Tasks[[#This Row],[_IsMilestone]]),N(Tasks[[#This Row],[Progress]])&gt;0),Tasks[[#This Row],[Start]],0))</f>
        <v>0</v>
      </c>
      <c r="GO48" s="89" t="n">
        <f aca="false">IF(Tasks[[#This Row],[_DoneFrom]]=0,0,IF(Tasks[[#This Row],[Progress]]&gt;=1,Tasks[[#This Row],[Finish]],MAX(Tasks[[#This Row],[_DoneFrom]],Tasks[[#This Row],[Start]]+ROUND((Tasks[[#This Row],[Finish]]-Tasks[[#This Row],[Start]]+1)*Tasks[[#This Row],[Progress]],0)-1)))</f>
        <v>0</v>
      </c>
      <c r="GP48" s="89" t="n">
        <f aca="false">IF(Tasks[[#This Row],[Task Name]]="",0,IF(OR(NOT(Tasks[[#This Row],[_IsLeaf]]=1),Tasks[[#This Row],[_IsMilestone]],N(Tasks[[#This Row],[Progress]])&gt;=1),0,IF(Tasks[[#This Row],[_DoneTo]]&gt;0,Tasks[[#This Row],[_DoneTo]]+1,Tasks[[#This Row],[Start]])))</f>
        <v>0</v>
      </c>
      <c r="GQ48" s="89" t="n">
        <f aca="false">IF(Tasks[[#This Row],[_RemFrom]]=0,0,Tasks[[#This Row],[Finish]])</f>
        <v>0</v>
      </c>
      <c r="GR48" s="88" t="b">
        <f aca="false">IF(Tasks[[#This Row],[Task Name]]="",FALSE(),OR(NOT(BaselineSet),N(Tasks[[#This Row],[Baseline Start]])&gt;0))</f>
        <v>0</v>
      </c>
      <c r="GS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8" s="90" t="str">
        <f aca="false">IF(Tasks[[#This Row],[_IsLeaf]]=1,Tasks[[#This Row],[_Row]],"")</f>
        <v/>
      </c>
      <c r="GW48" s="90" t="str">
        <f aca="false">IFERROR(INDEX(Tasks[UID],SMALL(Tasks[_PickKey],Tasks[[#This Row],[_Row]]))&amp;" "&amp;INDEX(Tasks[Task Name],SMALL(Tasks[_PickKey],Tasks[[#This Row],[_Row]])),"")</f>
        <v/>
      </c>
      <c r="GX48" s="42" t="str">
        <f aca="false">IF(Tasks[[#This Row],[Task Name]]="","",IF(Tasks[[#This Row],[_IsSummary]],NETWORKDAYS.INTL(Tasks[[#This Row],[Start]],Tasks[[#This Row],[Finish]],WorkWeek,Holidays),N(Tasks[[#This Row],[_Days]])))</f>
        <v/>
      </c>
    </row>
    <row r="49" customFormat="false" ht="15" hidden="false" customHeight="false" outlineLevel="0" collapsed="false">
      <c r="A49" s="21" t="str">
        <f aca="false">IF(Tasks[[#This Row],[Task Name]]="","",COUNTA(Tasks[[#Headers],[Task Name]]:Tasks[[#This Row],[Task Name]])-1)</f>
        <v/>
      </c>
      <c r="B49" s="22" t="n">
        <v>57</v>
      </c>
      <c r="C49" s="22"/>
      <c r="D49" s="23"/>
      <c r="E49" s="22"/>
      <c r="F49" s="23"/>
      <c r="G49" s="22"/>
      <c r="H49" s="22"/>
      <c r="I49" s="23"/>
      <c r="J49" s="22"/>
      <c r="K49" s="22"/>
      <c r="L49" s="23"/>
      <c r="M49" s="22"/>
      <c r="N49" s="22"/>
      <c r="O49" s="23"/>
      <c r="P49" s="22"/>
      <c r="Q49" s="22"/>
      <c r="R49" s="23"/>
      <c r="S49" s="23"/>
      <c r="T49" s="83"/>
      <c r="U49" s="23"/>
      <c r="V49" s="83"/>
      <c r="W49" s="23"/>
      <c r="X49" s="83"/>
      <c r="Y49" s="23"/>
      <c r="Z49" s="83"/>
      <c r="AA49" s="23"/>
      <c r="AB49" s="23"/>
      <c r="AC49" s="7"/>
      <c r="AD49" s="7"/>
      <c r="AE49" s="62" t="str">
        <f aca="false">IF(Tasks[[#This Row],[Task Name]]="","",IF(Tasks[[#This Row],[_IsSummary]],MIN(INDEX(Tasks[_ShownFcstStart],Tasks[[#This Row],[_Row]]+1):INDEX(Tasks[_ShownFcstStart],Tasks[[#This Row],[_Row]]+Tasks[[#This Row],[_Descendants]])),Tasks[[#This Row],[_ShownFcstStart]]))</f>
        <v/>
      </c>
      <c r="AF49" s="62" t="str">
        <f aca="false">IF(Tasks[[#This Row],[Task Name]]="","",IF(Tasks[[#This Row],[_IsSummary]],MAX(INDEX(Tasks[_ShownFcstFinish],Tasks[[#This Row],[_Row]]+1):INDEX(Tasks[_ShownFcstFinish],Tasks[[#This Row],[_Row]]+Tasks[[#This Row],[_Descendants]])),Tasks[[#This Row],[_ShownFcstFinish]]))</f>
        <v/>
      </c>
      <c r="AG49" s="21" t="str">
        <f aca="false">""</f>
        <v/>
      </c>
      <c r="AH49" s="23"/>
      <c r="AI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49" s="7"/>
      <c r="AK49" s="22"/>
      <c r="AL49" s="23"/>
      <c r="AM49" s="7"/>
      <c r="AN49" s="46" t="str">
        <f aca="false">IF(Tasks[[#This Row],[Task Name]]="","",IF(Tasks[[#This Row],[Finish]]&gt;=Tasks[[#This Row],[Planned Finish]],NETWORKDAYS.INTL(Tasks[[#This Row],[Planned Finish]],Tasks[[#This Row],[Finish]],WorkWeek,Holidays)-1,1-NETWORKDAYS.INTL(Tasks[[#This Row],[Finish]],Tasks[[#This Row],[Planned Finish]],WorkWeek,Holidays)))</f>
        <v/>
      </c>
      <c r="AO49" s="21" t="str">
        <f aca="false">IF(Tasks[[#This Row],[Task Name]]="","",IF(Tasks[[#This Row],[Progress]]&gt;=1,"Complete",IF(OR(N(Tasks[[#This Row],[Actual Start]])&gt;0,Tasks[[#This Row],[Progress]]&gt;0),IF(Tasks[[#This Row],[Finish Var]]&gt;0,"Behind","In Progress"),IF(Tasks[[#This Row],[Planned Start]]&lt;StatusDate,"Late Start","Not Started"))))</f>
        <v/>
      </c>
      <c r="AP49" s="21" t="str">
        <f aca="false">IF(Tasks[[#This Row],[Task Name]]="","",IF(IF(Tasks[[#This Row],[_IsSummary]],COUNTIF(INDEX(Tasks[_LeafCritical],Tasks[[#This Row],[_Row]]+1):INDEX(Tasks[_LeafCritical],Tasks[[#This Row],[_Row]]+Tasks[[#This Row],[_Descendants]]),TRUE())&gt;0,Tasks[[#This Row],[_LeafCritical]]),"Yes",""))</f>
        <v/>
      </c>
      <c r="AQ49" s="62" t="str">
        <f aca="false">IF(Tasks[[#This Row],[Task Name]]="","",IF(N(Tasks[[#This Row],[Baseline Start]])&gt;0,Tasks[[#This Row],[Baseline Start]],Tasks[[#This Row],[_CalcStart]]))</f>
        <v/>
      </c>
      <c r="AR49" s="62" t="str">
        <f aca="false">IF(Tasks[[#This Row],[Task Name]]="","",IF(N(Tasks[[#This Row],[Baseline Finish]])&gt;0,Tasks[[#This Row],[Baseline Finish]],Tasks[[#This Row],[_CalcFinish]]))</f>
        <v/>
      </c>
      <c r="AS49" s="46" t="str">
        <f aca="false">IF(Tasks[[#This Row],[Task Name]]="","",IF(Tasks[[#This Row],[Start]]&gt;=Tasks[[#This Row],[Planned Start]],NETWORKDAYS.INTL(Tasks[[#This Row],[Planned Start]],Tasks[[#This Row],[Start]],WorkWeek,Holidays)-1,1-NETWORKDAYS.INTL(Tasks[[#This Row],[Start]],Tasks[[#This Row],[Planned Start]],WorkWeek,Holidays)))</f>
        <v/>
      </c>
      <c r="AT49" s="62" t="str">
        <f aca="false">IF(Tasks[[#This Row],[Task Name]]="","",IF(Tasks[[#This Row],[_IsSummary]],MIN(INDEX(Tasks[_LeafLateStart],Tasks[[#This Row],[_Row]]+1):INDEX(Tasks[_LeafLateStart],Tasks[[#This Row],[_Row]]+Tasks[[#This Row],[_Descendants]])),Tasks[[#This Row],[_LeafLateStart]]))</f>
        <v/>
      </c>
      <c r="AU49" s="62" t="str">
        <f aca="false">IF(Tasks[[#This Row],[Task Name]]="","",IF(Tasks[[#This Row],[_IsSummary]],MAX(INDEX(Tasks[_LeafLateFinish],Tasks[[#This Row],[_Row]]+1):INDEX(Tasks[_LeafLateFinish],Tasks[[#This Row],[_Row]]+Tasks[[#This Row],[_Descendants]])),Tasks[[#This Row],[_LeafLateFinish]]))</f>
        <v/>
      </c>
      <c r="AV49" s="46" t="str">
        <f aca="false">IF(Tasks[[#This Row],[Task Name]]="","",IF(Tasks[[#This Row],[_IsSummary]],MIN(INDEX(Tasks[_LeafTotalSlack],Tasks[[#This Row],[_Row]]+1):INDEX(Tasks[_LeafTotalSlack],Tasks[[#This Row],[_Row]]+Tasks[[#This Row],[_Descendants]])),Tasks[[#This Row],[_LeafTotalSlack]]))</f>
        <v/>
      </c>
      <c r="AW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4"/>
      <c r="BA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t="str">
        <f aca="false">IF(Tasks[[#This Row],[Task Name]]="","",IF(Tasks[[#This Row],[_Level]]&lt;=OutlineShowLevel,"Yes","No"))</f>
        <v/>
      </c>
      <c r="BE49" s="85" t="str">
        <f aca="false">IF(Tasks[[#This Row],[Task Name]]="","",IF(Tasks[[#This Row],[_IsSummary]],SUM(INDEX(Tasks[_LeafTotalWork],Tasks[[#This Row],[_Row]]+1):INDEX(Tasks[_LeafTotalWork],Tasks[[#This Row],[_Row]]+Tasks[[#This Row],[_Descendants]])),Tasks[[#This Row],[_LeafTotalWork]]))</f>
        <v/>
      </c>
      <c r="BF49" s="23"/>
      <c r="BG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t="str">
        <f aca="false">""</f>
        <v/>
      </c>
      <c r="BI49" s="86"/>
      <c r="BJ49" s="22"/>
      <c r="BK49" s="46" t="str">
        <f aca="false">IF(OR(Tasks[[#This Row],[Task Name]]="",Tasks[[#This Row],[Baseline Duration]]=""),"",Tasks[[#This Row],[_SpanDays]]-N(Tasks[[#This Row],[Baseline Duration]]))</f>
        <v/>
      </c>
      <c r="BL49" s="85" t="str">
        <f aca="false">IF(OR(Tasks[[#This Row],[Task Name]]="",Tasks[[#This Row],[Baseline Work]]=""),"",Tasks[[#This Row],[Work]]-N(Tasks[[#This Row],[Baseline Work]]))</f>
        <v/>
      </c>
      <c r="BM49" s="62" t="str">
        <f aca="false">IF(Tasks[[#This Row],[Task Name]]="","",IF(OR(TakeBaseline="Yes",N(Tasks[[#This Row],[Baseline Start]])=0),Tasks[[#This Row],[Start]],Tasks[[#This Row],[Baseline Start]]))</f>
        <v/>
      </c>
      <c r="BN49" s="62" t="str">
        <f aca="false">IF(Tasks[[#This Row],[Task Name]]="","",IF(OR(TakeBaseline="Yes",N(Tasks[[#This Row],[Baseline Finish]])=0),Tasks[[#This Row],[Finish]],Tasks[[#This Row],[Baseline Finish]]))</f>
        <v/>
      </c>
      <c r="BO49" s="21" t="str">
        <f aca="false">IF(Tasks[[#This Row],[Task Name]]="","",IF(OR(TakeBaseline="Yes",N(Tasks[[#This Row],[Baseline Duration]])=0),Tasks[[#This Row],[_SpanDays]],Tasks[[#This Row],[Baseline Duration]]))</f>
        <v/>
      </c>
      <c r="BP49" s="85" t="str">
        <f aca="false">IF(Tasks[[#This Row],[Task Name]]="","",IF(OR(TakeBaseline="Yes",N(Tasks[[#This Row],[Baseline Work]])=0),Tasks[[#This Row],[Work]],Tasks[[#This Row],[Baseline Work]]))</f>
        <v/>
      </c>
      <c r="BQ49" s="7"/>
      <c r="BR49" s="7"/>
      <c r="BS49" s="22"/>
      <c r="BT49" s="87"/>
      <c r="BU49" s="42" t="str">
        <f aca="false">IF(Tasks[[#This Row],[Task Name]]="","",MAX(1,N(Tasks[[#This Row],[Level]])))</f>
        <v/>
      </c>
      <c r="BV49" s="42" t="n">
        <f aca="false">ROW()-ROW(Tasks[[#Headers],[ID]])</f>
        <v>44</v>
      </c>
      <c r="BW49" s="42" t="n">
        <f aca="false">IF(OR(Tasks[[#This Row],[Task Name]]="",Tasks[[#This Row],[_Level]]&lt;=1),0,IFERROR(LOOKUP(2,1/(Tasks[[#Headers],[_Level]]:Tasks[[#This Row],[_Level]]=Tasks[[#This Row],[_Level]]-1),ROW(Tasks[[#Headers],[_Level]]:Tasks[[#This Row],[_Level]])),0))</f>
        <v>0</v>
      </c>
      <c r="BX49" s="42" t="n">
        <f aca="false">IFERROR(N(INDEX(Tasks[_Level],Tasks[[#This Row],[_Row]]+1)),0)</f>
        <v>0</v>
      </c>
      <c r="BY49" s="88" t="b">
        <f aca="false">AND(Tasks[[#This Row],[Task Name]]&lt;&gt;"",Tasks[[#This Row],[_NextLevel]]&gt;Tasks[[#This Row],[_Level]])</f>
        <v>0</v>
      </c>
      <c r="BZ49" s="42" t="n">
        <f aca="false">IF(Tasks[[#This Row],[_IsSummary]],COUNTIF(Tasks[WBS],Tasks[[#This Row],[WBS]]&amp;".*"),0)</f>
        <v>0</v>
      </c>
      <c r="CA49" s="42" t="n">
        <f aca="false">IF(AND(Tasks[[#This Row],[Task Name]]&lt;&gt;"",NOT(Tasks[[#This Row],[_IsSummary]])),1,0)</f>
        <v>0</v>
      </c>
      <c r="CB49" s="42" t="n">
        <f aca="false">IF(N(Tasks[[#This Row],[_Pred1UID]])=0,0,IFERROR(MATCH(Tasks[[#This Row],[_Pred1UID]],Tasks[UID],0),-1))</f>
        <v>0</v>
      </c>
      <c r="CC49" s="42" t="n">
        <f aca="false">IF(N(Tasks[[#This Row],[_Pred2UID]])=0,0,IFERROR(MATCH(Tasks[[#This Row],[_Pred2UID]],Tasks[UID],0),-1))</f>
        <v>0</v>
      </c>
      <c r="CD49" s="42" t="n">
        <f aca="false">IF(N(Tasks[[#This Row],[_Pred3UID]])=0,0,IFERROR(MATCH(Tasks[[#This Row],[_Pred3UID]],Tasks[UID],0),-1))</f>
        <v>0</v>
      </c>
      <c r="CE49" s="42" t="n">
        <f aca="false">IF(N(Tasks[[#This Row],[_Pred4UID]])=0,0,IFERROR(MATCH(Tasks[[#This Row],[_Pred4UID]],Tasks[UID],0),-1))</f>
        <v>0</v>
      </c>
      <c r="CF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49" s="89" t="n">
        <f aca="false">IF(OR(Tasks[[#This Row],[_ConstraintCode]]=2,Tasks[[#This Row],[_ConstraintCode]]=3,Tasks[[#This Row],[_ConstraintCode]]=4,Tasks[[#This Row],[_ConstraintCode]]=6),Tasks[[#This Row],[_ConstraintStart]],0)</f>
        <v>0</v>
      </c>
      <c r="CI49" s="89" t="n">
        <f aca="false">IF(OR(Tasks[[#This Row],[_ConstraintCode]]=2,Tasks[[#This Row],[_ConstraintCode]]=3,Tasks[[#This Row],[_ConstraintCode]]=5,Tasks[[#This Row],[_ConstraintCode]]=7),Tasks[[#This Row],[_ConstraintStart]],2958465)</f>
        <v>2958465</v>
      </c>
      <c r="CJ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49" s="89" t="str">
        <f aca="false">IF(NOT(Tasks[[#This Row],[_IsLeaf]]=1),"",IF(N(Tasks[[#This Row],[_Days]])&lt;=0,Tasks[[#This Row],[_LeafCalcStart]],WORKDAY.INTL(Tasks[[#This Row],[_LeafCalcStart]],Tasks[[#This Row],[_Days]]-1,WorkWeek,Holidays)))</f>
        <v/>
      </c>
      <c r="CL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49" s="42" t="str">
        <f aca="false">IF(Tasks[[#This Row],[_Predecessors]]="","",TRIM(MID(SUBSTITUTE(SUBSTITUTE(SUBSTITUTE(UPPER(Tasks[[#This Row],[_Predecessors]]),";",",")," ",""),",",REPT(" ",99)),1,99)))</f>
        <v/>
      </c>
      <c r="CO49" s="42" t="str">
        <f aca="false">IF(Tasks[[#This Row],[_Pred1Text]]="","",IFERROR(VALUE(LEFT(Tasks[[#This Row],[_Pred1Text]],MIN(FIND("F",Tasks[[#This Row],[_Pred1Text]]&amp;"F"),FIND("S",Tasks[[#This Row],[_Pred1Text]]&amp;"S"),FIND("+",Tasks[[#This Row],[_Pred1Text]]&amp;"+"),FIND("-",Tasks[[#This Row],[_Pred1Text]]&amp;"-"))-1)),""))</f>
        <v/>
      </c>
      <c r="CP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49" s="42" t="str">
        <f aca="false">IF(Tasks[[#This Row],[_Pred1Text]]="","",TRIM(MID(SUBSTITUTE(SUBSTITUTE(SUBSTITUTE(UPPER(Tasks[[#This Row],[_Predecessors]]),";",",")," ",""),",",REPT(" ",99)),100,99)))</f>
        <v/>
      </c>
      <c r="CS49" s="42" t="str">
        <f aca="false">IF(Tasks[[#This Row],[_Pred2Text]]="","",IFERROR(VALUE(LEFT(Tasks[[#This Row],[_Pred2Text]],MIN(FIND("F",Tasks[[#This Row],[_Pred2Text]]&amp;"F"),FIND("S",Tasks[[#This Row],[_Pred2Text]]&amp;"S"),FIND("+",Tasks[[#This Row],[_Pred2Text]]&amp;"+"),FIND("-",Tasks[[#This Row],[_Pred2Text]]&amp;"-"))-1)),""))</f>
        <v/>
      </c>
      <c r="CT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49" s="42" t="str">
        <f aca="false">IF(Tasks[[#This Row],[_Pred2Text]]="","",TRIM(MID(SUBSTITUTE(SUBSTITUTE(SUBSTITUTE(UPPER(Tasks[[#This Row],[_Predecessors]]),";",",")," ",""),",",REPT(" ",99)),199,99)))</f>
        <v/>
      </c>
      <c r="CW49" s="42" t="str">
        <f aca="false">IF(Tasks[[#This Row],[_Pred3Text]]="","",IFERROR(VALUE(LEFT(Tasks[[#This Row],[_Pred3Text]],MIN(FIND("F",Tasks[[#This Row],[_Pred3Text]]&amp;"F"),FIND("S",Tasks[[#This Row],[_Pred3Text]]&amp;"S"),FIND("+",Tasks[[#This Row],[_Pred3Text]]&amp;"+"),FIND("-",Tasks[[#This Row],[_Pred3Text]]&amp;"-"))-1)),""))</f>
        <v/>
      </c>
      <c r="CX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49" s="42" t="str">
        <f aca="false">IF(Tasks[[#This Row],[_Pred3Text]]="","",TRIM(MID(SUBSTITUTE(SUBSTITUTE(SUBSTITUTE(UPPER(Tasks[[#This Row],[_Predecessors]]),";",",")," ",""),",",REPT(" ",99)),298,99)))</f>
        <v/>
      </c>
      <c r="DA49" s="42" t="str">
        <f aca="false">IF(Tasks[[#This Row],[_Pred4Text]]="","",IFERROR(VALUE(LEFT(Tasks[[#This Row],[_Pred4Text]],MIN(FIND("F",Tasks[[#This Row],[_Pred4Text]]&amp;"F"),FIND("S",Tasks[[#This Row],[_Pred4Text]]&amp;"S"),FIND("+",Tasks[[#This Row],[_Pred4Text]]&amp;"+"),FIND("-",Tasks[[#This Row],[_Pred4Text]]&amp;"-"))-1)),""))</f>
        <v/>
      </c>
      <c r="DB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49" s="42" t="str">
        <f aca="false">IF(OR(Tasks[[#This Row],[Task Name]]="",Tasks[[#This Row],[_Resources]]=""),"",TRIM(MID(SUBSTITUTE(Tasks[[#This Row],[_Resources]],",",REPT(" ",99)),1,99)))</f>
        <v/>
      </c>
      <c r="DE49" s="42" t="str">
        <f aca="false">IF(Tasks[[#This Row],[_Res1Text]]="","",TRIM(MID(SUBSTITUTE(Tasks[[#This Row],[_Resources]],",",REPT(" ",99)),100,99)))</f>
        <v/>
      </c>
      <c r="DF49" s="42" t="str">
        <f aca="false">IF(Tasks[[#This Row],[_Res2Text]]="","",TRIM(MID(SUBSTITUTE(Tasks[[#This Row],[_Resources]],",",REPT(" ",99)),199,99)))</f>
        <v/>
      </c>
      <c r="DG49" s="42" t="str">
        <f aca="false">IF(Tasks[[#This Row],[_Res3Text]]="","",TRIM(MID(SUBSTITUTE(Tasks[[#This Row],[_Resources]],",",REPT(" ",99)),298,99)))</f>
        <v/>
      </c>
      <c r="DH49" s="42" t="n">
        <f aca="false">IF(Tasks[[#This Row],[_Res1Text]]="",0,IFERROR(MATCH(TRIM(LEFT(Tasks[[#This Row],[_Res1Text]],FIND("[",Tasks[[#This Row],[_Res1Text]]&amp;"[")-1)),res_Name,0),IFERROR(MATCH(TRIM(LEFT(Tasks[[#This Row],[_Res1Text]],FIND("[",Tasks[[#This Row],[_Res1Text]]&amp;"[")-1)),res_Initials,0),0)))</f>
        <v>0</v>
      </c>
      <c r="DI49" s="42" t="n">
        <f aca="false">IF(Tasks[[#This Row],[_Res2Text]]="",0,IFERROR(MATCH(TRIM(LEFT(Tasks[[#This Row],[_Res2Text]],FIND("[",Tasks[[#This Row],[_Res2Text]]&amp;"[")-1)),res_Name,0),IFERROR(MATCH(TRIM(LEFT(Tasks[[#This Row],[_Res2Text]],FIND("[",Tasks[[#This Row],[_Res2Text]]&amp;"[")-1)),res_Initials,0),0)))</f>
        <v>0</v>
      </c>
      <c r="DJ49" s="42" t="n">
        <f aca="false">IF(Tasks[[#This Row],[_Res3Text]]="",0,IFERROR(MATCH(TRIM(LEFT(Tasks[[#This Row],[_Res3Text]],FIND("[",Tasks[[#This Row],[_Res3Text]]&amp;"[")-1)),res_Name,0),IFERROR(MATCH(TRIM(LEFT(Tasks[[#This Row],[_Res3Text]],FIND("[",Tasks[[#This Row],[_Res3Text]]&amp;"[")-1)),res_Initials,0),0)))</f>
        <v>0</v>
      </c>
      <c r="DK49" s="42" t="n">
        <f aca="false">IF(Tasks[[#This Row],[_Res4Text]]="",0,IFERROR(MATCH(TRIM(LEFT(Tasks[[#This Row],[_Res4Text]],FIND("[",Tasks[[#This Row],[_Res4Text]]&amp;"[")-1)),res_Name,0),IFERROR(MATCH(TRIM(LEFT(Tasks[[#This Row],[_Res4Text]],FIND("[",Tasks[[#This Row],[_Res4Text]]&amp;"[")-1)),res_Initials,0),0)))</f>
        <v>0</v>
      </c>
      <c r="DL49" s="42" t="str">
        <f aca="false">IF(Tasks[[#This Row],[_Res1Text]]="","",IF(Tasks[[#This Row],[_Res1Row]]&gt;0,INDEX(res_Name,Tasks[[#This Row],[_Res1Row]]),TRIM(LEFT(Tasks[[#This Row],[_Res1Text]],FIND("[",Tasks[[#This Row],[_Res1Text]]&amp;"[")-1))))</f>
        <v/>
      </c>
      <c r="DM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49" s="42" t="n">
        <f aca="false">IF(NOT(Tasks[[#This Row],[_IsLeaf]]=1),0,(Tasks[[#This Row],[_Resource1]]&lt;&gt;"")+(Tasks[[#This Row],[_Res2]]&lt;&gt;"")+(Tasks[[#This Row],[_Res3]]&lt;&gt;"")+(Tasks[[#This Row],[_Res4]]&lt;&gt;""))</f>
        <v>0</v>
      </c>
      <c r="DO49" s="42" t="str">
        <f aca="false">IF(Tasks[[#This Row],[_Res2Text]]="","",IF(Tasks[[#This Row],[_Res2Row]]&gt;0,INDEX(res_Name,Tasks[[#This Row],[_Res2Row]]),TRIM(LEFT(Tasks[[#This Row],[_Res2Text]],FIND("[",Tasks[[#This Row],[_Res2Text]]&amp;"[")-1))))</f>
        <v/>
      </c>
      <c r="DP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49" s="42" t="n">
        <f aca="false">IF(OR(NOT(Tasks[[#This Row],[_IsLeaf]]=1),Tasks[[#This Row],[_Res2Row]]=0),0,N(Tasks[[#This Row],[_Days]])*HoursPerDay*IF(Tasks[[#This Row],[_Res2Units]]="",DefaultUnits,Tasks[[#This Row],[_Res2Units]]))</f>
        <v>0</v>
      </c>
      <c r="DR49" s="42" t="n">
        <f aca="false">IF(AND(AND(Tasks[[#This Row],[_IsLeaf]]=1,Tasks[[#This Row],[_LeafTotalWork]]&gt;0),Tasks[[#This Row],[_Res2Work]]&gt;0),Tasks[[#This Row],[_Res2Work]]/(Tasks[[#This Row],[_FinishWorkday]]-Tasks[[#This Row],[_StartWorkday]]+1),0)</f>
        <v>0</v>
      </c>
      <c r="DS49" s="42" t="n">
        <f aca="false">Tasks[[#This Row],[_Res2WorkPerWD]]*MAX(0,Tasks[[#This Row],[_StartWorkday]]-1)</f>
        <v>0</v>
      </c>
      <c r="DT49" s="42" t="n">
        <f aca="false">Tasks[[#This Row],[_Res2Work]]*Tasks[[#This Row],[_LeafProgress]]</f>
        <v>0</v>
      </c>
      <c r="DU49" s="42" t="str">
        <f aca="false">IF(Tasks[[#This Row],[_Res3Text]]="","",IF(Tasks[[#This Row],[_Res3Row]]&gt;0,INDEX(res_Name,Tasks[[#This Row],[_Res3Row]]),TRIM(LEFT(Tasks[[#This Row],[_Res3Text]],FIND("[",Tasks[[#This Row],[_Res3Text]]&amp;"[")-1))))</f>
        <v/>
      </c>
      <c r="DV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49" s="42" t="n">
        <f aca="false">IF(OR(NOT(Tasks[[#This Row],[_IsLeaf]]=1),Tasks[[#This Row],[_Res3Row]]=0),0,N(Tasks[[#This Row],[_Days]])*HoursPerDay*IF(Tasks[[#This Row],[_Res3Units]]="",DefaultUnits,Tasks[[#This Row],[_Res3Units]]))</f>
        <v>0</v>
      </c>
      <c r="DX49" s="42" t="n">
        <f aca="false">IF(AND(AND(Tasks[[#This Row],[_IsLeaf]]=1,Tasks[[#This Row],[_LeafTotalWork]]&gt;0),Tasks[[#This Row],[_Res3Work]]&gt;0),Tasks[[#This Row],[_Res3Work]]/(Tasks[[#This Row],[_FinishWorkday]]-Tasks[[#This Row],[_StartWorkday]]+1),0)</f>
        <v>0</v>
      </c>
      <c r="DY49" s="42" t="n">
        <f aca="false">Tasks[[#This Row],[_Res3WorkPerWD]]*MAX(0,Tasks[[#This Row],[_StartWorkday]]-1)</f>
        <v>0</v>
      </c>
      <c r="DZ49" s="42" t="n">
        <f aca="false">Tasks[[#This Row],[_Res3Work]]*Tasks[[#This Row],[_LeafProgress]]</f>
        <v>0</v>
      </c>
      <c r="EA49" s="42" t="str">
        <f aca="false">IF(Tasks[[#This Row],[_Res4Text]]="","",IF(Tasks[[#This Row],[_Res4Row]]&gt;0,INDEX(res_Name,Tasks[[#This Row],[_Res4Row]]),TRIM(LEFT(Tasks[[#This Row],[_Res4Text]],FIND("[",Tasks[[#This Row],[_Res4Text]]&amp;"[")-1))))</f>
        <v/>
      </c>
      <c r="EB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49" s="42" t="n">
        <f aca="false">IF(OR(NOT(Tasks[[#This Row],[_IsLeaf]]=1),Tasks[[#This Row],[_Res4Row]]=0),0,N(Tasks[[#This Row],[_Days]])*HoursPerDay*IF(Tasks[[#This Row],[_Res4Units]]="",DefaultUnits,Tasks[[#This Row],[_Res4Units]]))</f>
        <v>0</v>
      </c>
      <c r="ED49" s="42" t="n">
        <f aca="false">IF(AND(AND(Tasks[[#This Row],[_IsLeaf]]=1,Tasks[[#This Row],[_LeafTotalWork]]&gt;0),Tasks[[#This Row],[_Res4Work]]&gt;0),Tasks[[#This Row],[_Res4Work]]/(Tasks[[#This Row],[_FinishWorkday]]-Tasks[[#This Row],[_StartWorkday]]+1),0)</f>
        <v>0</v>
      </c>
      <c r="EE49" s="42" t="n">
        <f aca="false">Tasks[[#This Row],[_Res4WorkPerWD]]*MAX(0,Tasks[[#This Row],[_StartWorkday]]-1)</f>
        <v>0</v>
      </c>
      <c r="EF49" s="42" t="n">
        <f aca="false">Tasks[[#This Row],[_Res4Work]]*Tasks[[#This Row],[_LeafProgress]]</f>
        <v>0</v>
      </c>
      <c r="EG49" s="42" t="n">
        <f aca="false">IF(ISNUMBER(Tasks[[#This Row],[% Complete]]),Tasks[[#This Row],[% Complete]],IF(Tasks[[#This Row],[Stage]]="",0,IFERROR(INDEX(stg_Pct,MATCH(Tasks[[#This Row],[Stage]],stg_Name,0)),0)))</f>
        <v>0</v>
      </c>
      <c r="EH49" s="42" t="n">
        <f aca="false">IF(NOT(Tasks[[#This Row],[_IsLeaf]]=1),0,IF(N(Tasks[[#This Row],[Actual Finish]])&gt;0,1,MIN(1,Tasks[[#This Row],[_Pct]])))</f>
        <v>0</v>
      </c>
      <c r="EI49" s="42" t="n">
        <f aca="false">IF(OR(NOT(Tasks[[#This Row],[_IsLeaf]]=1),Tasks[[#This Row],[_Res1Row]]=0),0,N(Tasks[[#This Row],[_Days]])*HoursPerDay*IF(Tasks[[#This Row],[_Units1]]="",DefaultUnits,Tasks[[#This Row],[_Units1]]))</f>
        <v>0</v>
      </c>
      <c r="EJ49" s="42" t="n">
        <f aca="false">Tasks[[#This Row],[_LeafWork]]+Tasks[[#This Row],[_Res2Work]]+Tasks[[#This Row],[_Res3Work]]+Tasks[[#This Row],[_Res4Work]]</f>
        <v>0</v>
      </c>
      <c r="EK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49" s="42" t="n">
        <f aca="false">IF(NOT(Tasks[[#This Row],[_IsLeaf]]=1),0,MAX(_xlfn.MAXIFS(Tasks[_Row],Tasks[_Pred1UID],Tasks[[#This Row],[UID]]),_xlfn.MAXIFS(Tasks[_Row],Tasks[_Pred2UID],Tasks[[#This Row],[UID]]),_xlfn.MAXIFS(Tasks[_Row],Tasks[_Pred3UID],Tasks[[#This Row],[UID]]),_xlfn.MAXIFS(Tasks[_Row],Tasks[_Pred4UID],Tasks[[#This Row],[UID]])))</f>
        <v>0</v>
      </c>
      <c r="ET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49" s="89" t="str">
        <f aca="false">IF(NOT(Tasks[[#This Row],[_IsLeaf]]=1),"",IF(N(Tasks[[#This Row],[_Days]])&lt;=0,Tasks[[#This Row],[_LeafLateFinish]],WORKDAY.INTL(Tasks[[#This Row],[_LeafLateFinish]],-(Tasks[[#This Row],[_Days]]-1),WorkWeek,Holidays)))</f>
        <v/>
      </c>
      <c r="EW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49" s="88" t="b">
        <f aca="false">AND(Tasks[[#This Row],[_IsLeaf]]=1,Tasks[[#This Row],[_LeafProgress]]&lt;1,N(Tasks[[#This Row],[_LeafTotalSlack]])&lt;=CriticalSlackDays)</f>
        <v>0</v>
      </c>
      <c r="EY49" s="42" t="n">
        <f aca="false">IF(AND(Tasks[[#This Row],[_IsLeaf]]=1,Tasks[[#This Row],[_ConstraintCode]]=1,Tasks[[#This Row],[Mode]]&lt;&gt;"Manual",N(Tasks[[#This Row],[Actual Start]])=0),MAX(0,N(Tasks[[#This Row],[Free Slack]])),0)</f>
        <v>0</v>
      </c>
      <c r="EZ49" s="89" t="str">
        <f aca="false">IF(NOT(Tasks[[#This Row],[_IsLeaf]]=1),"",IF(Tasks[[#This Row],[_AlapShift]]=0,Tasks[[#This Row],[_LeafCalcStart]],WORKDAY.INTL(Tasks[[#This Row],[_LeafCalcStart]],Tasks[[#This Row],[_AlapShift]],WorkWeek,Holidays)))</f>
        <v/>
      </c>
      <c r="FA49" s="89" t="str">
        <f aca="false">IF(NOT(Tasks[[#This Row],[_IsLeaf]]=1),"",IF(Tasks[[#This Row],[_AlapShift]]=0,Tasks[[#This Row],[_LeafCalcFinish]],WORKDAY.INTL(Tasks[[#This Row],[_LeafCalcFinish]],Tasks[[#This Row],[_AlapShift]],WorkWeek,Holidays)))</f>
        <v/>
      </c>
      <c r="FB49" s="89" t="str">
        <f aca="false">IF(NOT(Tasks[[#This Row],[_IsLeaf]]=1),"",IF(Tasks[[#This Row],[_AlapShift]]=0,Tasks[[#This Row],[_LeafFcstStart]],WORKDAY.INTL(Tasks[[#This Row],[_LeafFcstStart]],Tasks[[#This Row],[_AlapShift]],WorkWeek,Holidays)))</f>
        <v/>
      </c>
      <c r="FC49" s="89" t="str">
        <f aca="false">IF(NOT(Tasks[[#This Row],[_IsLeaf]]=1),"",IF(Tasks[[#This Row],[_AlapShift]]=0,Tasks[[#This Row],[_LeafFcstFinish]],WORKDAY.INTL(Tasks[[#This Row],[_LeafFcstFinish]],Tasks[[#This Row],[_AlapShift]],WorkWeek,Holidays)))</f>
        <v/>
      </c>
      <c r="FD49" s="89" t="str">
        <f aca="false">IF(Tasks[[#This Row],[Task Name]]="","",IF(Tasks[[#This Row],[_IsSummary]],MIN(INDEX(Tasks[_ShownCalcStart],Tasks[[#This Row],[_Row]]+1):INDEX(Tasks[_ShownCalcStart],Tasks[[#This Row],[_Row]]+Tasks[[#This Row],[_Descendants]])),Tasks[[#This Row],[_ShownCalcStart]]))</f>
        <v/>
      </c>
      <c r="FE49" s="89" t="str">
        <f aca="false">IF(Tasks[[#This Row],[Task Name]]="","",IF(Tasks[[#This Row],[_IsSummary]],MAX(INDEX(Tasks[_ShownCalcFinish],Tasks[[#This Row],[_Row]]+1):INDEX(Tasks[_ShownCalcFinish],Tasks[[#This Row],[_Row]]+Tasks[[#This Row],[_Descendants]])),Tasks[[#This Row],[_ShownCalcFinish]]))</f>
        <v/>
      </c>
      <c r="FF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49" s="42" t="n">
        <f aca="false">IF(AND(Tasks[[#This Row],[_IsLeaf]]=1,Tasks[[#This Row],[_LeafTotalWork]]&gt;0),NETWORKDAYS.INTL(ProjectStart,Tasks[[#This Row],[_ShownFcstStart]],WorkWeek,Holidays),0)</f>
        <v>0</v>
      </c>
      <c r="FS49" s="42" t="n">
        <f aca="false">IF(AND(Tasks[[#This Row],[_IsLeaf]]=1,Tasks[[#This Row],[_LeafTotalWork]]&gt;0),MAX(Tasks[[#This Row],[_StartWorkday]],NETWORKDAYS.INTL(ProjectStart,Tasks[[#This Row],[_ShownFcstFinish]],WorkWeek,Holidays)),0)</f>
        <v>0</v>
      </c>
      <c r="FT49" s="42" t="n">
        <f aca="false">IF(AND(Tasks[[#This Row],[_IsLeaf]]=1,Tasks[[#This Row],[_LeafTotalWork]]&gt;0),Tasks[[#This Row],[_LeafWork]]/(Tasks[[#This Row],[_FinishWorkday]]-Tasks[[#This Row],[_StartWorkday]]+1),0)</f>
        <v>0</v>
      </c>
      <c r="FU49" s="42" t="n">
        <f aca="false">Tasks[[#This Row],[_WorkPerWorkday]]*(Tasks[[#This Row],[_StartWorkday]]-1)</f>
        <v>-0</v>
      </c>
      <c r="FV49" s="42" t="n">
        <f aca="false">IF(Tasks[[#This Row],[_IsLeaf]]=1,MAX(N(Tasks[[#This Row],[_Days]]),0.1),0)</f>
        <v>0</v>
      </c>
      <c r="FW49" s="42" t="n">
        <f aca="false">Tasks[[#This Row],[_WeightDur]]*Tasks[[#This Row],[_LeafProgress]]</f>
        <v>0</v>
      </c>
      <c r="FX49" s="42" t="n">
        <f aca="false">Tasks[[#This Row],[_WeightDur]]*Tasks[[#This Row],[_PlannedPct]]</f>
        <v>0</v>
      </c>
      <c r="FY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49" s="42" t="str">
        <f aca="false">IF(AND(Tasks[[#This Row],[_IsLeaf]]=1,N(Tasks[[#This Row],[_Days]])=0,Tasks[[#This Row],[_LeafProgress]]&lt;1),Tasks[[#This Row],[_ShownFcstFinish]]+Tasks[[#This Row],[_Row]]/100000,"")</f>
        <v/>
      </c>
      <c r="GA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49" s="42" t="str">
        <f aca="false">IF(Tasks[[#This Row],[Task Name]]="","",LEFT(Tasks[[#This Row],[WBS]],FIND(".",Tasks[[#This Row],[WBS]]&amp;".")-1))</f>
        <v/>
      </c>
      <c r="GC49" s="42" t="str">
        <f aca="false">IF(AND(Tasks[[#This Row],[Task Name]]&lt;&gt;"",Tasks[[#This Row],[_Level]]=1),Tasks[[#This Row],[_Row]],"")</f>
        <v/>
      </c>
      <c r="GD49" s="42" t="str">
        <f aca="false">IF(AND(Tasks[[#This Row],[_IsLeaf]]=1,N(Tasks[[#This Row],[_Days]])=0),Tasks[[#This Row],[Planned Finish]]+Tasks[[#This Row],[_Row]]/100000,"")</f>
        <v/>
      </c>
      <c r="GE49" s="42" t="str">
        <f aca="false">IF(AND(Tasks[[#This Row],[_IsLeaf]]=1,Tasks[[#This Row],[_LeafProgress]]&lt;1,OR(N(Tasks[[#This Row],[Finish Var]])&gt;0,Tasks[[#This Row],[Status]]="Late Start")),MAX(0,Tasks[[#This Row],[Finish Var]])+1-Tasks[[#This Row],[_Row]]/1000000,"")</f>
        <v/>
      </c>
      <c r="GF49" s="42" t="str">
        <f aca="false">IF(AND(Tasks[[#This Row],[_IsLeaf]]=1,N(Tasks[[#This Row],[Actual Start]])=0,Tasks[[#This Row],[_ShownFcstStart]]&gt;=StatusDate,Tasks[[#This Row],[_ShownFcstStart]]&lt;=LookaheadEnd),Tasks[[#This Row],[_ShownFcstStart]]+Tasks[[#This Row],[_Row]]/100000,"")</f>
        <v/>
      </c>
      <c r="GG49" s="42" t="str">
        <f aca="false">IF(AND(Tasks[[#This Row],[_IsLeaf]]=1,Tasks[[#This Row],[_LeafProgress]]&lt;1,Tasks[[#This Row],[_ShownFcstFinish]]&gt;=StatusDate,Tasks[[#This Row],[_ShownFcstFinish]]&lt;=LookaheadEnd),Tasks[[#This Row],[_ShownFcstFinish]]+Tasks[[#This Row],[_Row]]/100000,"")</f>
        <v/>
      </c>
      <c r="GH49" s="42" t="str">
        <f aca="false">IF(Tasks[[#This Row],[_LeafCritical]],Tasks[[#This Row],[_ShownFcstStart]]+Tasks[[#This Row],[_Row]]/100000,"")</f>
        <v/>
      </c>
      <c r="GI49" s="42" t="n">
        <f aca="false">Tasks[[#This Row],[_LeafWork]]*Tasks[[#This Row],[_LeafProgress]]</f>
        <v>0</v>
      </c>
      <c r="GJ49" s="89" t="str">
        <f aca="false">IF(AND(Tasks[[#This Row],[_IsLeaf]]=1,Tasks[[#This Row],[_LeafProgress]]&gt;=1),IF(N(Tasks[[#This Row],[Actual Finish]])&gt;0,Tasks[[#This Row],[Actual Finish]],Tasks[[#This Row],[_ShownFcstFinish]]),"")</f>
        <v/>
      </c>
      <c r="GK49" s="42" t="n">
        <f aca="false">IF(Tasks[[#This Row],[_IsLeaf]]=1,N(Tasks[[#This Row],[Story Points]]),0)</f>
        <v>0</v>
      </c>
      <c r="GL49" s="42" t="str">
        <f aca="false">""</f>
        <v/>
      </c>
      <c r="GM49" s="88" t="b">
        <f aca="false">IF(Tasks[[#This Row],[Task Name]]="",FALSE(),AND(Tasks[[#This Row],[_IsLeaf]]=1,N(Tasks[[#This Row],[_Days]])=0))</f>
        <v>0</v>
      </c>
      <c r="GN49" s="89" t="n">
        <f aca="false">IF(Tasks[[#This Row],[Task Name]]="",0,IF(AND(Tasks[[#This Row],[_IsLeaf]]=1,NOT(Tasks[[#This Row],[_IsMilestone]]),N(Tasks[[#This Row],[Progress]])&gt;0),Tasks[[#This Row],[Start]],0))</f>
        <v>0</v>
      </c>
      <c r="GO49" s="89" t="n">
        <f aca="false">IF(Tasks[[#This Row],[_DoneFrom]]=0,0,IF(Tasks[[#This Row],[Progress]]&gt;=1,Tasks[[#This Row],[Finish]],MAX(Tasks[[#This Row],[_DoneFrom]],Tasks[[#This Row],[Start]]+ROUND((Tasks[[#This Row],[Finish]]-Tasks[[#This Row],[Start]]+1)*Tasks[[#This Row],[Progress]],0)-1)))</f>
        <v>0</v>
      </c>
      <c r="GP49" s="89" t="n">
        <f aca="false">IF(Tasks[[#This Row],[Task Name]]="",0,IF(OR(NOT(Tasks[[#This Row],[_IsLeaf]]=1),Tasks[[#This Row],[_IsMilestone]],N(Tasks[[#This Row],[Progress]])&gt;=1),0,IF(Tasks[[#This Row],[_DoneTo]]&gt;0,Tasks[[#This Row],[_DoneTo]]+1,Tasks[[#This Row],[Start]])))</f>
        <v>0</v>
      </c>
      <c r="GQ49" s="89" t="n">
        <f aca="false">IF(Tasks[[#This Row],[_RemFrom]]=0,0,Tasks[[#This Row],[Finish]])</f>
        <v>0</v>
      </c>
      <c r="GR49" s="88" t="b">
        <f aca="false">IF(Tasks[[#This Row],[Task Name]]="",FALSE(),OR(NOT(BaselineSet),N(Tasks[[#This Row],[Baseline Start]])&gt;0))</f>
        <v>0</v>
      </c>
      <c r="GS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49" s="90" t="str">
        <f aca="false">IF(Tasks[[#This Row],[_IsLeaf]]=1,Tasks[[#This Row],[_Row]],"")</f>
        <v/>
      </c>
      <c r="GW49" s="90" t="str">
        <f aca="false">IFERROR(INDEX(Tasks[UID],SMALL(Tasks[_PickKey],Tasks[[#This Row],[_Row]]))&amp;" "&amp;INDEX(Tasks[Task Name],SMALL(Tasks[_PickKey],Tasks[[#This Row],[_Row]])),"")</f>
        <v/>
      </c>
      <c r="GX49" s="42" t="str">
        <f aca="false">IF(Tasks[[#This Row],[Task Name]]="","",IF(Tasks[[#This Row],[_IsSummary]],NETWORKDAYS.INTL(Tasks[[#This Row],[Start]],Tasks[[#This Row],[Finish]],WorkWeek,Holidays),N(Tasks[[#This Row],[_Days]])))</f>
        <v/>
      </c>
    </row>
    <row r="50" customFormat="false" ht="15" hidden="false" customHeight="false" outlineLevel="0" collapsed="false">
      <c r="A50" s="21" t="str">
        <f aca="false">IF(Tasks[[#This Row],[Task Name]]="","",COUNTA(Tasks[[#Headers],[Task Name]]:Tasks[[#This Row],[Task Name]])-1)</f>
        <v/>
      </c>
      <c r="B50" s="22" t="n">
        <v>58</v>
      </c>
      <c r="C50" s="22"/>
      <c r="D50" s="23"/>
      <c r="E50" s="22"/>
      <c r="F50" s="23"/>
      <c r="G50" s="22"/>
      <c r="H50" s="22"/>
      <c r="I50" s="23"/>
      <c r="J50" s="22"/>
      <c r="K50" s="22"/>
      <c r="L50" s="23"/>
      <c r="M50" s="22"/>
      <c r="N50" s="22"/>
      <c r="O50" s="23"/>
      <c r="P50" s="22"/>
      <c r="Q50" s="22"/>
      <c r="R50" s="23"/>
      <c r="S50" s="23"/>
      <c r="T50" s="83"/>
      <c r="U50" s="23"/>
      <c r="V50" s="83"/>
      <c r="W50" s="23"/>
      <c r="X50" s="83"/>
      <c r="Y50" s="23"/>
      <c r="Z50" s="83"/>
      <c r="AA50" s="23"/>
      <c r="AB50" s="23"/>
      <c r="AC50" s="7"/>
      <c r="AD50" s="7"/>
      <c r="AE50" s="62" t="str">
        <f aca="false">IF(Tasks[[#This Row],[Task Name]]="","",IF(Tasks[[#This Row],[_IsSummary]],MIN(INDEX(Tasks[_ShownFcstStart],Tasks[[#This Row],[_Row]]+1):INDEX(Tasks[_ShownFcstStart],Tasks[[#This Row],[_Row]]+Tasks[[#This Row],[_Descendants]])),Tasks[[#This Row],[_ShownFcstStart]]))</f>
        <v/>
      </c>
      <c r="AF50" s="62" t="str">
        <f aca="false">IF(Tasks[[#This Row],[Task Name]]="","",IF(Tasks[[#This Row],[_IsSummary]],MAX(INDEX(Tasks[_ShownFcstFinish],Tasks[[#This Row],[_Row]]+1):INDEX(Tasks[_ShownFcstFinish],Tasks[[#This Row],[_Row]]+Tasks[[#This Row],[_Descendants]])),Tasks[[#This Row],[_ShownFcstFinish]]))</f>
        <v/>
      </c>
      <c r="AG50" s="21" t="str">
        <f aca="false">""</f>
        <v/>
      </c>
      <c r="AH50" s="23"/>
      <c r="AI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0" s="7"/>
      <c r="AK50" s="22"/>
      <c r="AL50" s="23"/>
      <c r="AM50" s="7"/>
      <c r="AN50" s="46" t="str">
        <f aca="false">IF(Tasks[[#This Row],[Task Name]]="","",IF(Tasks[[#This Row],[Finish]]&gt;=Tasks[[#This Row],[Planned Finish]],NETWORKDAYS.INTL(Tasks[[#This Row],[Planned Finish]],Tasks[[#This Row],[Finish]],WorkWeek,Holidays)-1,1-NETWORKDAYS.INTL(Tasks[[#This Row],[Finish]],Tasks[[#This Row],[Planned Finish]],WorkWeek,Holidays)))</f>
        <v/>
      </c>
      <c r="AO50" s="21" t="str">
        <f aca="false">IF(Tasks[[#This Row],[Task Name]]="","",IF(Tasks[[#This Row],[Progress]]&gt;=1,"Complete",IF(OR(N(Tasks[[#This Row],[Actual Start]])&gt;0,Tasks[[#This Row],[Progress]]&gt;0),IF(Tasks[[#This Row],[Finish Var]]&gt;0,"Behind","In Progress"),IF(Tasks[[#This Row],[Planned Start]]&lt;StatusDate,"Late Start","Not Started"))))</f>
        <v/>
      </c>
      <c r="AP50" s="21" t="str">
        <f aca="false">IF(Tasks[[#This Row],[Task Name]]="","",IF(IF(Tasks[[#This Row],[_IsSummary]],COUNTIF(INDEX(Tasks[_LeafCritical],Tasks[[#This Row],[_Row]]+1):INDEX(Tasks[_LeafCritical],Tasks[[#This Row],[_Row]]+Tasks[[#This Row],[_Descendants]]),TRUE())&gt;0,Tasks[[#This Row],[_LeafCritical]]),"Yes",""))</f>
        <v/>
      </c>
      <c r="AQ50" s="62" t="str">
        <f aca="false">IF(Tasks[[#This Row],[Task Name]]="","",IF(N(Tasks[[#This Row],[Baseline Start]])&gt;0,Tasks[[#This Row],[Baseline Start]],Tasks[[#This Row],[_CalcStart]]))</f>
        <v/>
      </c>
      <c r="AR50" s="62" t="str">
        <f aca="false">IF(Tasks[[#This Row],[Task Name]]="","",IF(N(Tasks[[#This Row],[Baseline Finish]])&gt;0,Tasks[[#This Row],[Baseline Finish]],Tasks[[#This Row],[_CalcFinish]]))</f>
        <v/>
      </c>
      <c r="AS50" s="46" t="str">
        <f aca="false">IF(Tasks[[#This Row],[Task Name]]="","",IF(Tasks[[#This Row],[Start]]&gt;=Tasks[[#This Row],[Planned Start]],NETWORKDAYS.INTL(Tasks[[#This Row],[Planned Start]],Tasks[[#This Row],[Start]],WorkWeek,Holidays)-1,1-NETWORKDAYS.INTL(Tasks[[#This Row],[Start]],Tasks[[#This Row],[Planned Start]],WorkWeek,Holidays)))</f>
        <v/>
      </c>
      <c r="AT50" s="62" t="str">
        <f aca="false">IF(Tasks[[#This Row],[Task Name]]="","",IF(Tasks[[#This Row],[_IsSummary]],MIN(INDEX(Tasks[_LeafLateStart],Tasks[[#This Row],[_Row]]+1):INDEX(Tasks[_LeafLateStart],Tasks[[#This Row],[_Row]]+Tasks[[#This Row],[_Descendants]])),Tasks[[#This Row],[_LeafLateStart]]))</f>
        <v/>
      </c>
      <c r="AU50" s="62" t="str">
        <f aca="false">IF(Tasks[[#This Row],[Task Name]]="","",IF(Tasks[[#This Row],[_IsSummary]],MAX(INDEX(Tasks[_LeafLateFinish],Tasks[[#This Row],[_Row]]+1):INDEX(Tasks[_LeafLateFinish],Tasks[[#This Row],[_Row]]+Tasks[[#This Row],[_Descendants]])),Tasks[[#This Row],[_LeafLateFinish]]))</f>
        <v/>
      </c>
      <c r="AV50" s="46" t="str">
        <f aca="false">IF(Tasks[[#This Row],[Task Name]]="","",IF(Tasks[[#This Row],[_IsSummary]],MIN(INDEX(Tasks[_LeafTotalSlack],Tasks[[#This Row],[_Row]]+1):INDEX(Tasks[_LeafTotalSlack],Tasks[[#This Row],[_Row]]+Tasks[[#This Row],[_Descendants]])),Tasks[[#This Row],[_LeafTotalSlack]]))</f>
        <v/>
      </c>
      <c r="AW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4"/>
      <c r="BA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t="str">
        <f aca="false">IF(Tasks[[#This Row],[Task Name]]="","",IF(Tasks[[#This Row],[_Level]]&lt;=OutlineShowLevel,"Yes","No"))</f>
        <v/>
      </c>
      <c r="BE50" s="85" t="str">
        <f aca="false">IF(Tasks[[#This Row],[Task Name]]="","",IF(Tasks[[#This Row],[_IsSummary]],SUM(INDEX(Tasks[_LeafTotalWork],Tasks[[#This Row],[_Row]]+1):INDEX(Tasks[_LeafTotalWork],Tasks[[#This Row],[_Row]]+Tasks[[#This Row],[_Descendants]])),Tasks[[#This Row],[_LeafTotalWork]]))</f>
        <v/>
      </c>
      <c r="BF50" s="23"/>
      <c r="BG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t="str">
        <f aca="false">""</f>
        <v/>
      </c>
      <c r="BI50" s="86"/>
      <c r="BJ50" s="22"/>
      <c r="BK50" s="46" t="str">
        <f aca="false">IF(OR(Tasks[[#This Row],[Task Name]]="",Tasks[[#This Row],[Baseline Duration]]=""),"",Tasks[[#This Row],[_SpanDays]]-N(Tasks[[#This Row],[Baseline Duration]]))</f>
        <v/>
      </c>
      <c r="BL50" s="85" t="str">
        <f aca="false">IF(OR(Tasks[[#This Row],[Task Name]]="",Tasks[[#This Row],[Baseline Work]]=""),"",Tasks[[#This Row],[Work]]-N(Tasks[[#This Row],[Baseline Work]]))</f>
        <v/>
      </c>
      <c r="BM50" s="62" t="str">
        <f aca="false">IF(Tasks[[#This Row],[Task Name]]="","",IF(OR(TakeBaseline="Yes",N(Tasks[[#This Row],[Baseline Start]])=0),Tasks[[#This Row],[Start]],Tasks[[#This Row],[Baseline Start]]))</f>
        <v/>
      </c>
      <c r="BN50" s="62" t="str">
        <f aca="false">IF(Tasks[[#This Row],[Task Name]]="","",IF(OR(TakeBaseline="Yes",N(Tasks[[#This Row],[Baseline Finish]])=0),Tasks[[#This Row],[Finish]],Tasks[[#This Row],[Baseline Finish]]))</f>
        <v/>
      </c>
      <c r="BO50" s="21" t="str">
        <f aca="false">IF(Tasks[[#This Row],[Task Name]]="","",IF(OR(TakeBaseline="Yes",N(Tasks[[#This Row],[Baseline Duration]])=0),Tasks[[#This Row],[_SpanDays]],Tasks[[#This Row],[Baseline Duration]]))</f>
        <v/>
      </c>
      <c r="BP50" s="85" t="str">
        <f aca="false">IF(Tasks[[#This Row],[Task Name]]="","",IF(OR(TakeBaseline="Yes",N(Tasks[[#This Row],[Baseline Work]])=0),Tasks[[#This Row],[Work]],Tasks[[#This Row],[Baseline Work]]))</f>
        <v/>
      </c>
      <c r="BQ50" s="7"/>
      <c r="BR50" s="7"/>
      <c r="BS50" s="22"/>
      <c r="BT50" s="87"/>
      <c r="BU50" s="42" t="str">
        <f aca="false">IF(Tasks[[#This Row],[Task Name]]="","",MAX(1,N(Tasks[[#This Row],[Level]])))</f>
        <v/>
      </c>
      <c r="BV50" s="42" t="n">
        <f aca="false">ROW()-ROW(Tasks[[#Headers],[ID]])</f>
        <v>45</v>
      </c>
      <c r="BW50" s="42" t="n">
        <f aca="false">IF(OR(Tasks[[#This Row],[Task Name]]="",Tasks[[#This Row],[_Level]]&lt;=1),0,IFERROR(LOOKUP(2,1/(Tasks[[#Headers],[_Level]]:Tasks[[#This Row],[_Level]]=Tasks[[#This Row],[_Level]]-1),ROW(Tasks[[#Headers],[_Level]]:Tasks[[#This Row],[_Level]])),0))</f>
        <v>0</v>
      </c>
      <c r="BX50" s="42" t="n">
        <f aca="false">IFERROR(N(INDEX(Tasks[_Level],Tasks[[#This Row],[_Row]]+1)),0)</f>
        <v>0</v>
      </c>
      <c r="BY50" s="88" t="b">
        <f aca="false">AND(Tasks[[#This Row],[Task Name]]&lt;&gt;"",Tasks[[#This Row],[_NextLevel]]&gt;Tasks[[#This Row],[_Level]])</f>
        <v>0</v>
      </c>
      <c r="BZ50" s="42" t="n">
        <f aca="false">IF(Tasks[[#This Row],[_IsSummary]],COUNTIF(Tasks[WBS],Tasks[[#This Row],[WBS]]&amp;".*"),0)</f>
        <v>0</v>
      </c>
      <c r="CA50" s="42" t="n">
        <f aca="false">IF(AND(Tasks[[#This Row],[Task Name]]&lt;&gt;"",NOT(Tasks[[#This Row],[_IsSummary]])),1,0)</f>
        <v>0</v>
      </c>
      <c r="CB50" s="42" t="n">
        <f aca="false">IF(N(Tasks[[#This Row],[_Pred1UID]])=0,0,IFERROR(MATCH(Tasks[[#This Row],[_Pred1UID]],Tasks[UID],0),-1))</f>
        <v>0</v>
      </c>
      <c r="CC50" s="42" t="n">
        <f aca="false">IF(N(Tasks[[#This Row],[_Pred2UID]])=0,0,IFERROR(MATCH(Tasks[[#This Row],[_Pred2UID]],Tasks[UID],0),-1))</f>
        <v>0</v>
      </c>
      <c r="CD50" s="42" t="n">
        <f aca="false">IF(N(Tasks[[#This Row],[_Pred3UID]])=0,0,IFERROR(MATCH(Tasks[[#This Row],[_Pred3UID]],Tasks[UID],0),-1))</f>
        <v>0</v>
      </c>
      <c r="CE50" s="42" t="n">
        <f aca="false">IF(N(Tasks[[#This Row],[_Pred4UID]])=0,0,IFERROR(MATCH(Tasks[[#This Row],[_Pred4UID]],Tasks[UID],0),-1))</f>
        <v>0</v>
      </c>
      <c r="CF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0" s="89" t="n">
        <f aca="false">IF(OR(Tasks[[#This Row],[_ConstraintCode]]=2,Tasks[[#This Row],[_ConstraintCode]]=3,Tasks[[#This Row],[_ConstraintCode]]=4,Tasks[[#This Row],[_ConstraintCode]]=6),Tasks[[#This Row],[_ConstraintStart]],0)</f>
        <v>0</v>
      </c>
      <c r="CI50" s="89" t="n">
        <f aca="false">IF(OR(Tasks[[#This Row],[_ConstraintCode]]=2,Tasks[[#This Row],[_ConstraintCode]]=3,Tasks[[#This Row],[_ConstraintCode]]=5,Tasks[[#This Row],[_ConstraintCode]]=7),Tasks[[#This Row],[_ConstraintStart]],2958465)</f>
        <v>2958465</v>
      </c>
      <c r="CJ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0" s="89" t="str">
        <f aca="false">IF(NOT(Tasks[[#This Row],[_IsLeaf]]=1),"",IF(N(Tasks[[#This Row],[_Days]])&lt;=0,Tasks[[#This Row],[_LeafCalcStart]],WORKDAY.INTL(Tasks[[#This Row],[_LeafCalcStart]],Tasks[[#This Row],[_Days]]-1,WorkWeek,Holidays)))</f>
        <v/>
      </c>
      <c r="CL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0" s="42" t="str">
        <f aca="false">IF(Tasks[[#This Row],[_Predecessors]]="","",TRIM(MID(SUBSTITUTE(SUBSTITUTE(SUBSTITUTE(UPPER(Tasks[[#This Row],[_Predecessors]]),";",",")," ",""),",",REPT(" ",99)),1,99)))</f>
        <v/>
      </c>
      <c r="CO50" s="42" t="str">
        <f aca="false">IF(Tasks[[#This Row],[_Pred1Text]]="","",IFERROR(VALUE(LEFT(Tasks[[#This Row],[_Pred1Text]],MIN(FIND("F",Tasks[[#This Row],[_Pred1Text]]&amp;"F"),FIND("S",Tasks[[#This Row],[_Pred1Text]]&amp;"S"),FIND("+",Tasks[[#This Row],[_Pred1Text]]&amp;"+"),FIND("-",Tasks[[#This Row],[_Pred1Text]]&amp;"-"))-1)),""))</f>
        <v/>
      </c>
      <c r="CP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0" s="42" t="str">
        <f aca="false">IF(Tasks[[#This Row],[_Pred1Text]]="","",TRIM(MID(SUBSTITUTE(SUBSTITUTE(SUBSTITUTE(UPPER(Tasks[[#This Row],[_Predecessors]]),";",",")," ",""),",",REPT(" ",99)),100,99)))</f>
        <v/>
      </c>
      <c r="CS50" s="42" t="str">
        <f aca="false">IF(Tasks[[#This Row],[_Pred2Text]]="","",IFERROR(VALUE(LEFT(Tasks[[#This Row],[_Pred2Text]],MIN(FIND("F",Tasks[[#This Row],[_Pred2Text]]&amp;"F"),FIND("S",Tasks[[#This Row],[_Pred2Text]]&amp;"S"),FIND("+",Tasks[[#This Row],[_Pred2Text]]&amp;"+"),FIND("-",Tasks[[#This Row],[_Pred2Text]]&amp;"-"))-1)),""))</f>
        <v/>
      </c>
      <c r="CT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0" s="42" t="str">
        <f aca="false">IF(Tasks[[#This Row],[_Pred2Text]]="","",TRIM(MID(SUBSTITUTE(SUBSTITUTE(SUBSTITUTE(UPPER(Tasks[[#This Row],[_Predecessors]]),";",",")," ",""),",",REPT(" ",99)),199,99)))</f>
        <v/>
      </c>
      <c r="CW50" s="42" t="str">
        <f aca="false">IF(Tasks[[#This Row],[_Pred3Text]]="","",IFERROR(VALUE(LEFT(Tasks[[#This Row],[_Pred3Text]],MIN(FIND("F",Tasks[[#This Row],[_Pred3Text]]&amp;"F"),FIND("S",Tasks[[#This Row],[_Pred3Text]]&amp;"S"),FIND("+",Tasks[[#This Row],[_Pred3Text]]&amp;"+"),FIND("-",Tasks[[#This Row],[_Pred3Text]]&amp;"-"))-1)),""))</f>
        <v/>
      </c>
      <c r="CX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0" s="42" t="str">
        <f aca="false">IF(Tasks[[#This Row],[_Pred3Text]]="","",TRIM(MID(SUBSTITUTE(SUBSTITUTE(SUBSTITUTE(UPPER(Tasks[[#This Row],[_Predecessors]]),";",",")," ",""),",",REPT(" ",99)),298,99)))</f>
        <v/>
      </c>
      <c r="DA50" s="42" t="str">
        <f aca="false">IF(Tasks[[#This Row],[_Pred4Text]]="","",IFERROR(VALUE(LEFT(Tasks[[#This Row],[_Pred4Text]],MIN(FIND("F",Tasks[[#This Row],[_Pred4Text]]&amp;"F"),FIND("S",Tasks[[#This Row],[_Pred4Text]]&amp;"S"),FIND("+",Tasks[[#This Row],[_Pred4Text]]&amp;"+"),FIND("-",Tasks[[#This Row],[_Pred4Text]]&amp;"-"))-1)),""))</f>
        <v/>
      </c>
      <c r="DB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0" s="42" t="str">
        <f aca="false">IF(OR(Tasks[[#This Row],[Task Name]]="",Tasks[[#This Row],[_Resources]]=""),"",TRIM(MID(SUBSTITUTE(Tasks[[#This Row],[_Resources]],",",REPT(" ",99)),1,99)))</f>
        <v/>
      </c>
      <c r="DE50" s="42" t="str">
        <f aca="false">IF(Tasks[[#This Row],[_Res1Text]]="","",TRIM(MID(SUBSTITUTE(Tasks[[#This Row],[_Resources]],",",REPT(" ",99)),100,99)))</f>
        <v/>
      </c>
      <c r="DF50" s="42" t="str">
        <f aca="false">IF(Tasks[[#This Row],[_Res2Text]]="","",TRIM(MID(SUBSTITUTE(Tasks[[#This Row],[_Resources]],",",REPT(" ",99)),199,99)))</f>
        <v/>
      </c>
      <c r="DG50" s="42" t="str">
        <f aca="false">IF(Tasks[[#This Row],[_Res3Text]]="","",TRIM(MID(SUBSTITUTE(Tasks[[#This Row],[_Resources]],",",REPT(" ",99)),298,99)))</f>
        <v/>
      </c>
      <c r="DH50" s="42" t="n">
        <f aca="false">IF(Tasks[[#This Row],[_Res1Text]]="",0,IFERROR(MATCH(TRIM(LEFT(Tasks[[#This Row],[_Res1Text]],FIND("[",Tasks[[#This Row],[_Res1Text]]&amp;"[")-1)),res_Name,0),IFERROR(MATCH(TRIM(LEFT(Tasks[[#This Row],[_Res1Text]],FIND("[",Tasks[[#This Row],[_Res1Text]]&amp;"[")-1)),res_Initials,0),0)))</f>
        <v>0</v>
      </c>
      <c r="DI50" s="42" t="n">
        <f aca="false">IF(Tasks[[#This Row],[_Res2Text]]="",0,IFERROR(MATCH(TRIM(LEFT(Tasks[[#This Row],[_Res2Text]],FIND("[",Tasks[[#This Row],[_Res2Text]]&amp;"[")-1)),res_Name,0),IFERROR(MATCH(TRIM(LEFT(Tasks[[#This Row],[_Res2Text]],FIND("[",Tasks[[#This Row],[_Res2Text]]&amp;"[")-1)),res_Initials,0),0)))</f>
        <v>0</v>
      </c>
      <c r="DJ50" s="42" t="n">
        <f aca="false">IF(Tasks[[#This Row],[_Res3Text]]="",0,IFERROR(MATCH(TRIM(LEFT(Tasks[[#This Row],[_Res3Text]],FIND("[",Tasks[[#This Row],[_Res3Text]]&amp;"[")-1)),res_Name,0),IFERROR(MATCH(TRIM(LEFT(Tasks[[#This Row],[_Res3Text]],FIND("[",Tasks[[#This Row],[_Res3Text]]&amp;"[")-1)),res_Initials,0),0)))</f>
        <v>0</v>
      </c>
      <c r="DK50" s="42" t="n">
        <f aca="false">IF(Tasks[[#This Row],[_Res4Text]]="",0,IFERROR(MATCH(TRIM(LEFT(Tasks[[#This Row],[_Res4Text]],FIND("[",Tasks[[#This Row],[_Res4Text]]&amp;"[")-1)),res_Name,0),IFERROR(MATCH(TRIM(LEFT(Tasks[[#This Row],[_Res4Text]],FIND("[",Tasks[[#This Row],[_Res4Text]]&amp;"[")-1)),res_Initials,0),0)))</f>
        <v>0</v>
      </c>
      <c r="DL50" s="42" t="str">
        <f aca="false">IF(Tasks[[#This Row],[_Res1Text]]="","",IF(Tasks[[#This Row],[_Res1Row]]&gt;0,INDEX(res_Name,Tasks[[#This Row],[_Res1Row]]),TRIM(LEFT(Tasks[[#This Row],[_Res1Text]],FIND("[",Tasks[[#This Row],[_Res1Text]]&amp;"[")-1))))</f>
        <v/>
      </c>
      <c r="DM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0" s="42" t="n">
        <f aca="false">IF(NOT(Tasks[[#This Row],[_IsLeaf]]=1),0,(Tasks[[#This Row],[_Resource1]]&lt;&gt;"")+(Tasks[[#This Row],[_Res2]]&lt;&gt;"")+(Tasks[[#This Row],[_Res3]]&lt;&gt;"")+(Tasks[[#This Row],[_Res4]]&lt;&gt;""))</f>
        <v>0</v>
      </c>
      <c r="DO50" s="42" t="str">
        <f aca="false">IF(Tasks[[#This Row],[_Res2Text]]="","",IF(Tasks[[#This Row],[_Res2Row]]&gt;0,INDEX(res_Name,Tasks[[#This Row],[_Res2Row]]),TRIM(LEFT(Tasks[[#This Row],[_Res2Text]],FIND("[",Tasks[[#This Row],[_Res2Text]]&amp;"[")-1))))</f>
        <v/>
      </c>
      <c r="DP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0" s="42" t="n">
        <f aca="false">IF(OR(NOT(Tasks[[#This Row],[_IsLeaf]]=1),Tasks[[#This Row],[_Res2Row]]=0),0,N(Tasks[[#This Row],[_Days]])*HoursPerDay*IF(Tasks[[#This Row],[_Res2Units]]="",DefaultUnits,Tasks[[#This Row],[_Res2Units]]))</f>
        <v>0</v>
      </c>
      <c r="DR50" s="42" t="n">
        <f aca="false">IF(AND(AND(Tasks[[#This Row],[_IsLeaf]]=1,Tasks[[#This Row],[_LeafTotalWork]]&gt;0),Tasks[[#This Row],[_Res2Work]]&gt;0),Tasks[[#This Row],[_Res2Work]]/(Tasks[[#This Row],[_FinishWorkday]]-Tasks[[#This Row],[_StartWorkday]]+1),0)</f>
        <v>0</v>
      </c>
      <c r="DS50" s="42" t="n">
        <f aca="false">Tasks[[#This Row],[_Res2WorkPerWD]]*MAX(0,Tasks[[#This Row],[_StartWorkday]]-1)</f>
        <v>0</v>
      </c>
      <c r="DT50" s="42" t="n">
        <f aca="false">Tasks[[#This Row],[_Res2Work]]*Tasks[[#This Row],[_LeafProgress]]</f>
        <v>0</v>
      </c>
      <c r="DU50" s="42" t="str">
        <f aca="false">IF(Tasks[[#This Row],[_Res3Text]]="","",IF(Tasks[[#This Row],[_Res3Row]]&gt;0,INDEX(res_Name,Tasks[[#This Row],[_Res3Row]]),TRIM(LEFT(Tasks[[#This Row],[_Res3Text]],FIND("[",Tasks[[#This Row],[_Res3Text]]&amp;"[")-1))))</f>
        <v/>
      </c>
      <c r="DV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0" s="42" t="n">
        <f aca="false">IF(OR(NOT(Tasks[[#This Row],[_IsLeaf]]=1),Tasks[[#This Row],[_Res3Row]]=0),0,N(Tasks[[#This Row],[_Days]])*HoursPerDay*IF(Tasks[[#This Row],[_Res3Units]]="",DefaultUnits,Tasks[[#This Row],[_Res3Units]]))</f>
        <v>0</v>
      </c>
      <c r="DX50" s="42" t="n">
        <f aca="false">IF(AND(AND(Tasks[[#This Row],[_IsLeaf]]=1,Tasks[[#This Row],[_LeafTotalWork]]&gt;0),Tasks[[#This Row],[_Res3Work]]&gt;0),Tasks[[#This Row],[_Res3Work]]/(Tasks[[#This Row],[_FinishWorkday]]-Tasks[[#This Row],[_StartWorkday]]+1),0)</f>
        <v>0</v>
      </c>
      <c r="DY50" s="42" t="n">
        <f aca="false">Tasks[[#This Row],[_Res3WorkPerWD]]*MAX(0,Tasks[[#This Row],[_StartWorkday]]-1)</f>
        <v>0</v>
      </c>
      <c r="DZ50" s="42" t="n">
        <f aca="false">Tasks[[#This Row],[_Res3Work]]*Tasks[[#This Row],[_LeafProgress]]</f>
        <v>0</v>
      </c>
      <c r="EA50" s="42" t="str">
        <f aca="false">IF(Tasks[[#This Row],[_Res4Text]]="","",IF(Tasks[[#This Row],[_Res4Row]]&gt;0,INDEX(res_Name,Tasks[[#This Row],[_Res4Row]]),TRIM(LEFT(Tasks[[#This Row],[_Res4Text]],FIND("[",Tasks[[#This Row],[_Res4Text]]&amp;"[")-1))))</f>
        <v/>
      </c>
      <c r="EB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0" s="42" t="n">
        <f aca="false">IF(OR(NOT(Tasks[[#This Row],[_IsLeaf]]=1),Tasks[[#This Row],[_Res4Row]]=0),0,N(Tasks[[#This Row],[_Days]])*HoursPerDay*IF(Tasks[[#This Row],[_Res4Units]]="",DefaultUnits,Tasks[[#This Row],[_Res4Units]]))</f>
        <v>0</v>
      </c>
      <c r="ED50" s="42" t="n">
        <f aca="false">IF(AND(AND(Tasks[[#This Row],[_IsLeaf]]=1,Tasks[[#This Row],[_LeafTotalWork]]&gt;0),Tasks[[#This Row],[_Res4Work]]&gt;0),Tasks[[#This Row],[_Res4Work]]/(Tasks[[#This Row],[_FinishWorkday]]-Tasks[[#This Row],[_StartWorkday]]+1),0)</f>
        <v>0</v>
      </c>
      <c r="EE50" s="42" t="n">
        <f aca="false">Tasks[[#This Row],[_Res4WorkPerWD]]*MAX(0,Tasks[[#This Row],[_StartWorkday]]-1)</f>
        <v>0</v>
      </c>
      <c r="EF50" s="42" t="n">
        <f aca="false">Tasks[[#This Row],[_Res4Work]]*Tasks[[#This Row],[_LeafProgress]]</f>
        <v>0</v>
      </c>
      <c r="EG50" s="42" t="n">
        <f aca="false">IF(ISNUMBER(Tasks[[#This Row],[% Complete]]),Tasks[[#This Row],[% Complete]],IF(Tasks[[#This Row],[Stage]]="",0,IFERROR(INDEX(stg_Pct,MATCH(Tasks[[#This Row],[Stage]],stg_Name,0)),0)))</f>
        <v>0</v>
      </c>
      <c r="EH50" s="42" t="n">
        <f aca="false">IF(NOT(Tasks[[#This Row],[_IsLeaf]]=1),0,IF(N(Tasks[[#This Row],[Actual Finish]])&gt;0,1,MIN(1,Tasks[[#This Row],[_Pct]])))</f>
        <v>0</v>
      </c>
      <c r="EI50" s="42" t="n">
        <f aca="false">IF(OR(NOT(Tasks[[#This Row],[_IsLeaf]]=1),Tasks[[#This Row],[_Res1Row]]=0),0,N(Tasks[[#This Row],[_Days]])*HoursPerDay*IF(Tasks[[#This Row],[_Units1]]="",DefaultUnits,Tasks[[#This Row],[_Units1]]))</f>
        <v>0</v>
      </c>
      <c r="EJ50" s="42" t="n">
        <f aca="false">Tasks[[#This Row],[_LeafWork]]+Tasks[[#This Row],[_Res2Work]]+Tasks[[#This Row],[_Res3Work]]+Tasks[[#This Row],[_Res4Work]]</f>
        <v>0</v>
      </c>
      <c r="EK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0" s="42" t="n">
        <f aca="false">IF(NOT(Tasks[[#This Row],[_IsLeaf]]=1),0,MAX(_xlfn.MAXIFS(Tasks[_Row],Tasks[_Pred1UID],Tasks[[#This Row],[UID]]),_xlfn.MAXIFS(Tasks[_Row],Tasks[_Pred2UID],Tasks[[#This Row],[UID]]),_xlfn.MAXIFS(Tasks[_Row],Tasks[_Pred3UID],Tasks[[#This Row],[UID]]),_xlfn.MAXIFS(Tasks[_Row],Tasks[_Pred4UID],Tasks[[#This Row],[UID]])))</f>
        <v>0</v>
      </c>
      <c r="ET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0" s="89" t="str">
        <f aca="false">IF(NOT(Tasks[[#This Row],[_IsLeaf]]=1),"",IF(N(Tasks[[#This Row],[_Days]])&lt;=0,Tasks[[#This Row],[_LeafLateFinish]],WORKDAY.INTL(Tasks[[#This Row],[_LeafLateFinish]],-(Tasks[[#This Row],[_Days]]-1),WorkWeek,Holidays)))</f>
        <v/>
      </c>
      <c r="EW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0" s="88" t="b">
        <f aca="false">AND(Tasks[[#This Row],[_IsLeaf]]=1,Tasks[[#This Row],[_LeafProgress]]&lt;1,N(Tasks[[#This Row],[_LeafTotalSlack]])&lt;=CriticalSlackDays)</f>
        <v>0</v>
      </c>
      <c r="EY50" s="42" t="n">
        <f aca="false">IF(AND(Tasks[[#This Row],[_IsLeaf]]=1,Tasks[[#This Row],[_ConstraintCode]]=1,Tasks[[#This Row],[Mode]]&lt;&gt;"Manual",N(Tasks[[#This Row],[Actual Start]])=0),MAX(0,N(Tasks[[#This Row],[Free Slack]])),0)</f>
        <v>0</v>
      </c>
      <c r="EZ50" s="89" t="str">
        <f aca="false">IF(NOT(Tasks[[#This Row],[_IsLeaf]]=1),"",IF(Tasks[[#This Row],[_AlapShift]]=0,Tasks[[#This Row],[_LeafCalcStart]],WORKDAY.INTL(Tasks[[#This Row],[_LeafCalcStart]],Tasks[[#This Row],[_AlapShift]],WorkWeek,Holidays)))</f>
        <v/>
      </c>
      <c r="FA50" s="89" t="str">
        <f aca="false">IF(NOT(Tasks[[#This Row],[_IsLeaf]]=1),"",IF(Tasks[[#This Row],[_AlapShift]]=0,Tasks[[#This Row],[_LeafCalcFinish]],WORKDAY.INTL(Tasks[[#This Row],[_LeafCalcFinish]],Tasks[[#This Row],[_AlapShift]],WorkWeek,Holidays)))</f>
        <v/>
      </c>
      <c r="FB50" s="89" t="str">
        <f aca="false">IF(NOT(Tasks[[#This Row],[_IsLeaf]]=1),"",IF(Tasks[[#This Row],[_AlapShift]]=0,Tasks[[#This Row],[_LeafFcstStart]],WORKDAY.INTL(Tasks[[#This Row],[_LeafFcstStart]],Tasks[[#This Row],[_AlapShift]],WorkWeek,Holidays)))</f>
        <v/>
      </c>
      <c r="FC50" s="89" t="str">
        <f aca="false">IF(NOT(Tasks[[#This Row],[_IsLeaf]]=1),"",IF(Tasks[[#This Row],[_AlapShift]]=0,Tasks[[#This Row],[_LeafFcstFinish]],WORKDAY.INTL(Tasks[[#This Row],[_LeafFcstFinish]],Tasks[[#This Row],[_AlapShift]],WorkWeek,Holidays)))</f>
        <v/>
      </c>
      <c r="FD50" s="89" t="str">
        <f aca="false">IF(Tasks[[#This Row],[Task Name]]="","",IF(Tasks[[#This Row],[_IsSummary]],MIN(INDEX(Tasks[_ShownCalcStart],Tasks[[#This Row],[_Row]]+1):INDEX(Tasks[_ShownCalcStart],Tasks[[#This Row],[_Row]]+Tasks[[#This Row],[_Descendants]])),Tasks[[#This Row],[_ShownCalcStart]]))</f>
        <v/>
      </c>
      <c r="FE50" s="89" t="str">
        <f aca="false">IF(Tasks[[#This Row],[Task Name]]="","",IF(Tasks[[#This Row],[_IsSummary]],MAX(INDEX(Tasks[_ShownCalcFinish],Tasks[[#This Row],[_Row]]+1):INDEX(Tasks[_ShownCalcFinish],Tasks[[#This Row],[_Row]]+Tasks[[#This Row],[_Descendants]])),Tasks[[#This Row],[_ShownCalcFinish]]))</f>
        <v/>
      </c>
      <c r="FF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0" s="42" t="n">
        <f aca="false">IF(AND(Tasks[[#This Row],[_IsLeaf]]=1,Tasks[[#This Row],[_LeafTotalWork]]&gt;0),NETWORKDAYS.INTL(ProjectStart,Tasks[[#This Row],[_ShownFcstStart]],WorkWeek,Holidays),0)</f>
        <v>0</v>
      </c>
      <c r="FS50" s="42" t="n">
        <f aca="false">IF(AND(Tasks[[#This Row],[_IsLeaf]]=1,Tasks[[#This Row],[_LeafTotalWork]]&gt;0),MAX(Tasks[[#This Row],[_StartWorkday]],NETWORKDAYS.INTL(ProjectStart,Tasks[[#This Row],[_ShownFcstFinish]],WorkWeek,Holidays)),0)</f>
        <v>0</v>
      </c>
      <c r="FT50" s="42" t="n">
        <f aca="false">IF(AND(Tasks[[#This Row],[_IsLeaf]]=1,Tasks[[#This Row],[_LeafTotalWork]]&gt;0),Tasks[[#This Row],[_LeafWork]]/(Tasks[[#This Row],[_FinishWorkday]]-Tasks[[#This Row],[_StartWorkday]]+1),0)</f>
        <v>0</v>
      </c>
      <c r="FU50" s="42" t="n">
        <f aca="false">Tasks[[#This Row],[_WorkPerWorkday]]*(Tasks[[#This Row],[_StartWorkday]]-1)</f>
        <v>-0</v>
      </c>
      <c r="FV50" s="42" t="n">
        <f aca="false">IF(Tasks[[#This Row],[_IsLeaf]]=1,MAX(N(Tasks[[#This Row],[_Days]]),0.1),0)</f>
        <v>0</v>
      </c>
      <c r="FW50" s="42" t="n">
        <f aca="false">Tasks[[#This Row],[_WeightDur]]*Tasks[[#This Row],[_LeafProgress]]</f>
        <v>0</v>
      </c>
      <c r="FX50" s="42" t="n">
        <f aca="false">Tasks[[#This Row],[_WeightDur]]*Tasks[[#This Row],[_PlannedPct]]</f>
        <v>0</v>
      </c>
      <c r="FY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0" s="42" t="str">
        <f aca="false">IF(AND(Tasks[[#This Row],[_IsLeaf]]=1,N(Tasks[[#This Row],[_Days]])=0,Tasks[[#This Row],[_LeafProgress]]&lt;1),Tasks[[#This Row],[_ShownFcstFinish]]+Tasks[[#This Row],[_Row]]/100000,"")</f>
        <v/>
      </c>
      <c r="GA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0" s="42" t="str">
        <f aca="false">IF(Tasks[[#This Row],[Task Name]]="","",LEFT(Tasks[[#This Row],[WBS]],FIND(".",Tasks[[#This Row],[WBS]]&amp;".")-1))</f>
        <v/>
      </c>
      <c r="GC50" s="42" t="str">
        <f aca="false">IF(AND(Tasks[[#This Row],[Task Name]]&lt;&gt;"",Tasks[[#This Row],[_Level]]=1),Tasks[[#This Row],[_Row]],"")</f>
        <v/>
      </c>
      <c r="GD50" s="42" t="str">
        <f aca="false">IF(AND(Tasks[[#This Row],[_IsLeaf]]=1,N(Tasks[[#This Row],[_Days]])=0),Tasks[[#This Row],[Planned Finish]]+Tasks[[#This Row],[_Row]]/100000,"")</f>
        <v/>
      </c>
      <c r="GE50" s="42" t="str">
        <f aca="false">IF(AND(Tasks[[#This Row],[_IsLeaf]]=1,Tasks[[#This Row],[_LeafProgress]]&lt;1,OR(N(Tasks[[#This Row],[Finish Var]])&gt;0,Tasks[[#This Row],[Status]]="Late Start")),MAX(0,Tasks[[#This Row],[Finish Var]])+1-Tasks[[#This Row],[_Row]]/1000000,"")</f>
        <v/>
      </c>
      <c r="GF50" s="42" t="str">
        <f aca="false">IF(AND(Tasks[[#This Row],[_IsLeaf]]=1,N(Tasks[[#This Row],[Actual Start]])=0,Tasks[[#This Row],[_ShownFcstStart]]&gt;=StatusDate,Tasks[[#This Row],[_ShownFcstStart]]&lt;=LookaheadEnd),Tasks[[#This Row],[_ShownFcstStart]]+Tasks[[#This Row],[_Row]]/100000,"")</f>
        <v/>
      </c>
      <c r="GG50" s="42" t="str">
        <f aca="false">IF(AND(Tasks[[#This Row],[_IsLeaf]]=1,Tasks[[#This Row],[_LeafProgress]]&lt;1,Tasks[[#This Row],[_ShownFcstFinish]]&gt;=StatusDate,Tasks[[#This Row],[_ShownFcstFinish]]&lt;=LookaheadEnd),Tasks[[#This Row],[_ShownFcstFinish]]+Tasks[[#This Row],[_Row]]/100000,"")</f>
        <v/>
      </c>
      <c r="GH50" s="42" t="str">
        <f aca="false">IF(Tasks[[#This Row],[_LeafCritical]],Tasks[[#This Row],[_ShownFcstStart]]+Tasks[[#This Row],[_Row]]/100000,"")</f>
        <v/>
      </c>
      <c r="GI50" s="42" t="n">
        <f aca="false">Tasks[[#This Row],[_LeafWork]]*Tasks[[#This Row],[_LeafProgress]]</f>
        <v>0</v>
      </c>
      <c r="GJ50" s="89" t="str">
        <f aca="false">IF(AND(Tasks[[#This Row],[_IsLeaf]]=1,Tasks[[#This Row],[_LeafProgress]]&gt;=1),IF(N(Tasks[[#This Row],[Actual Finish]])&gt;0,Tasks[[#This Row],[Actual Finish]],Tasks[[#This Row],[_ShownFcstFinish]]),"")</f>
        <v/>
      </c>
      <c r="GK50" s="42" t="n">
        <f aca="false">IF(Tasks[[#This Row],[_IsLeaf]]=1,N(Tasks[[#This Row],[Story Points]]),0)</f>
        <v>0</v>
      </c>
      <c r="GL50" s="42" t="str">
        <f aca="false">""</f>
        <v/>
      </c>
      <c r="GM50" s="88" t="b">
        <f aca="false">IF(Tasks[[#This Row],[Task Name]]="",FALSE(),AND(Tasks[[#This Row],[_IsLeaf]]=1,N(Tasks[[#This Row],[_Days]])=0))</f>
        <v>0</v>
      </c>
      <c r="GN50" s="89" t="n">
        <f aca="false">IF(Tasks[[#This Row],[Task Name]]="",0,IF(AND(Tasks[[#This Row],[_IsLeaf]]=1,NOT(Tasks[[#This Row],[_IsMilestone]]),N(Tasks[[#This Row],[Progress]])&gt;0),Tasks[[#This Row],[Start]],0))</f>
        <v>0</v>
      </c>
      <c r="GO50" s="89" t="n">
        <f aca="false">IF(Tasks[[#This Row],[_DoneFrom]]=0,0,IF(Tasks[[#This Row],[Progress]]&gt;=1,Tasks[[#This Row],[Finish]],MAX(Tasks[[#This Row],[_DoneFrom]],Tasks[[#This Row],[Start]]+ROUND((Tasks[[#This Row],[Finish]]-Tasks[[#This Row],[Start]]+1)*Tasks[[#This Row],[Progress]],0)-1)))</f>
        <v>0</v>
      </c>
      <c r="GP50" s="89" t="n">
        <f aca="false">IF(Tasks[[#This Row],[Task Name]]="",0,IF(OR(NOT(Tasks[[#This Row],[_IsLeaf]]=1),Tasks[[#This Row],[_IsMilestone]],N(Tasks[[#This Row],[Progress]])&gt;=1),0,IF(Tasks[[#This Row],[_DoneTo]]&gt;0,Tasks[[#This Row],[_DoneTo]]+1,Tasks[[#This Row],[Start]])))</f>
        <v>0</v>
      </c>
      <c r="GQ50" s="89" t="n">
        <f aca="false">IF(Tasks[[#This Row],[_RemFrom]]=0,0,Tasks[[#This Row],[Finish]])</f>
        <v>0</v>
      </c>
      <c r="GR50" s="88" t="b">
        <f aca="false">IF(Tasks[[#This Row],[Task Name]]="",FALSE(),OR(NOT(BaselineSet),N(Tasks[[#This Row],[Baseline Start]])&gt;0))</f>
        <v>0</v>
      </c>
      <c r="GS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0" s="90" t="str">
        <f aca="false">IF(Tasks[[#This Row],[_IsLeaf]]=1,Tasks[[#This Row],[_Row]],"")</f>
        <v/>
      </c>
      <c r="GW50" s="90" t="str">
        <f aca="false">IFERROR(INDEX(Tasks[UID],SMALL(Tasks[_PickKey],Tasks[[#This Row],[_Row]]))&amp;" "&amp;INDEX(Tasks[Task Name],SMALL(Tasks[_PickKey],Tasks[[#This Row],[_Row]])),"")</f>
        <v/>
      </c>
      <c r="GX50" s="42" t="str">
        <f aca="false">IF(Tasks[[#This Row],[Task Name]]="","",IF(Tasks[[#This Row],[_IsSummary]],NETWORKDAYS.INTL(Tasks[[#This Row],[Start]],Tasks[[#This Row],[Finish]],WorkWeek,Holidays),N(Tasks[[#This Row],[_Days]])))</f>
        <v/>
      </c>
    </row>
    <row r="51" customFormat="false" ht="15" hidden="false" customHeight="false" outlineLevel="0" collapsed="false">
      <c r="A51" s="21" t="str">
        <f aca="false">IF(Tasks[[#This Row],[Task Name]]="","",COUNTA(Tasks[[#Headers],[Task Name]]:Tasks[[#This Row],[Task Name]])-1)</f>
        <v/>
      </c>
      <c r="B51" s="22" t="n">
        <v>59</v>
      </c>
      <c r="C51" s="22"/>
      <c r="D51" s="23"/>
      <c r="E51" s="22"/>
      <c r="F51" s="23"/>
      <c r="G51" s="22"/>
      <c r="H51" s="22"/>
      <c r="I51" s="23"/>
      <c r="J51" s="22"/>
      <c r="K51" s="22"/>
      <c r="L51" s="23"/>
      <c r="M51" s="22"/>
      <c r="N51" s="22"/>
      <c r="O51" s="23"/>
      <c r="P51" s="22"/>
      <c r="Q51" s="22"/>
      <c r="R51" s="23"/>
      <c r="S51" s="23"/>
      <c r="T51" s="83"/>
      <c r="U51" s="23"/>
      <c r="V51" s="83"/>
      <c r="W51" s="23"/>
      <c r="X51" s="83"/>
      <c r="Y51" s="23"/>
      <c r="Z51" s="83"/>
      <c r="AA51" s="23"/>
      <c r="AB51" s="23"/>
      <c r="AC51" s="7"/>
      <c r="AD51" s="7"/>
      <c r="AE51" s="62" t="str">
        <f aca="false">IF(Tasks[[#This Row],[Task Name]]="","",IF(Tasks[[#This Row],[_IsSummary]],MIN(INDEX(Tasks[_ShownFcstStart],Tasks[[#This Row],[_Row]]+1):INDEX(Tasks[_ShownFcstStart],Tasks[[#This Row],[_Row]]+Tasks[[#This Row],[_Descendants]])),Tasks[[#This Row],[_ShownFcstStart]]))</f>
        <v/>
      </c>
      <c r="AF51" s="62" t="str">
        <f aca="false">IF(Tasks[[#This Row],[Task Name]]="","",IF(Tasks[[#This Row],[_IsSummary]],MAX(INDEX(Tasks[_ShownFcstFinish],Tasks[[#This Row],[_Row]]+1):INDEX(Tasks[_ShownFcstFinish],Tasks[[#This Row],[_Row]]+Tasks[[#This Row],[_Descendants]])),Tasks[[#This Row],[_ShownFcstFinish]]))</f>
        <v/>
      </c>
      <c r="AG51" s="21" t="str">
        <f aca="false">""</f>
        <v/>
      </c>
      <c r="AH51" s="23"/>
      <c r="AI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1" s="7"/>
      <c r="AK51" s="22"/>
      <c r="AL51" s="23"/>
      <c r="AM51" s="7"/>
      <c r="AN51" s="46" t="str">
        <f aca="false">IF(Tasks[[#This Row],[Task Name]]="","",IF(Tasks[[#This Row],[Finish]]&gt;=Tasks[[#This Row],[Planned Finish]],NETWORKDAYS.INTL(Tasks[[#This Row],[Planned Finish]],Tasks[[#This Row],[Finish]],WorkWeek,Holidays)-1,1-NETWORKDAYS.INTL(Tasks[[#This Row],[Finish]],Tasks[[#This Row],[Planned Finish]],WorkWeek,Holidays)))</f>
        <v/>
      </c>
      <c r="AO51" s="21" t="str">
        <f aca="false">IF(Tasks[[#This Row],[Task Name]]="","",IF(Tasks[[#This Row],[Progress]]&gt;=1,"Complete",IF(OR(N(Tasks[[#This Row],[Actual Start]])&gt;0,Tasks[[#This Row],[Progress]]&gt;0),IF(Tasks[[#This Row],[Finish Var]]&gt;0,"Behind","In Progress"),IF(Tasks[[#This Row],[Planned Start]]&lt;StatusDate,"Late Start","Not Started"))))</f>
        <v/>
      </c>
      <c r="AP51" s="21" t="str">
        <f aca="false">IF(Tasks[[#This Row],[Task Name]]="","",IF(IF(Tasks[[#This Row],[_IsSummary]],COUNTIF(INDEX(Tasks[_LeafCritical],Tasks[[#This Row],[_Row]]+1):INDEX(Tasks[_LeafCritical],Tasks[[#This Row],[_Row]]+Tasks[[#This Row],[_Descendants]]),TRUE())&gt;0,Tasks[[#This Row],[_LeafCritical]]),"Yes",""))</f>
        <v/>
      </c>
      <c r="AQ51" s="62" t="str">
        <f aca="false">IF(Tasks[[#This Row],[Task Name]]="","",IF(N(Tasks[[#This Row],[Baseline Start]])&gt;0,Tasks[[#This Row],[Baseline Start]],Tasks[[#This Row],[_CalcStart]]))</f>
        <v/>
      </c>
      <c r="AR51" s="62" t="str">
        <f aca="false">IF(Tasks[[#This Row],[Task Name]]="","",IF(N(Tasks[[#This Row],[Baseline Finish]])&gt;0,Tasks[[#This Row],[Baseline Finish]],Tasks[[#This Row],[_CalcFinish]]))</f>
        <v/>
      </c>
      <c r="AS51" s="46" t="str">
        <f aca="false">IF(Tasks[[#This Row],[Task Name]]="","",IF(Tasks[[#This Row],[Start]]&gt;=Tasks[[#This Row],[Planned Start]],NETWORKDAYS.INTL(Tasks[[#This Row],[Planned Start]],Tasks[[#This Row],[Start]],WorkWeek,Holidays)-1,1-NETWORKDAYS.INTL(Tasks[[#This Row],[Start]],Tasks[[#This Row],[Planned Start]],WorkWeek,Holidays)))</f>
        <v/>
      </c>
      <c r="AT51" s="62" t="str">
        <f aca="false">IF(Tasks[[#This Row],[Task Name]]="","",IF(Tasks[[#This Row],[_IsSummary]],MIN(INDEX(Tasks[_LeafLateStart],Tasks[[#This Row],[_Row]]+1):INDEX(Tasks[_LeafLateStart],Tasks[[#This Row],[_Row]]+Tasks[[#This Row],[_Descendants]])),Tasks[[#This Row],[_LeafLateStart]]))</f>
        <v/>
      </c>
      <c r="AU51" s="62" t="str">
        <f aca="false">IF(Tasks[[#This Row],[Task Name]]="","",IF(Tasks[[#This Row],[_IsSummary]],MAX(INDEX(Tasks[_LeafLateFinish],Tasks[[#This Row],[_Row]]+1):INDEX(Tasks[_LeafLateFinish],Tasks[[#This Row],[_Row]]+Tasks[[#This Row],[_Descendants]])),Tasks[[#This Row],[_LeafLateFinish]]))</f>
        <v/>
      </c>
      <c r="AV51" s="46" t="str">
        <f aca="false">IF(Tasks[[#This Row],[Task Name]]="","",IF(Tasks[[#This Row],[_IsSummary]],MIN(INDEX(Tasks[_LeafTotalSlack],Tasks[[#This Row],[_Row]]+1):INDEX(Tasks[_LeafTotalSlack],Tasks[[#This Row],[_Row]]+Tasks[[#This Row],[_Descendants]])),Tasks[[#This Row],[_LeafTotalSlack]]))</f>
        <v/>
      </c>
      <c r="AW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4"/>
      <c r="BA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t="str">
        <f aca="false">IF(Tasks[[#This Row],[Task Name]]="","",IF(Tasks[[#This Row],[_Level]]&lt;=OutlineShowLevel,"Yes","No"))</f>
        <v/>
      </c>
      <c r="BE51" s="85" t="str">
        <f aca="false">IF(Tasks[[#This Row],[Task Name]]="","",IF(Tasks[[#This Row],[_IsSummary]],SUM(INDEX(Tasks[_LeafTotalWork],Tasks[[#This Row],[_Row]]+1):INDEX(Tasks[_LeafTotalWork],Tasks[[#This Row],[_Row]]+Tasks[[#This Row],[_Descendants]])),Tasks[[#This Row],[_LeafTotalWork]]))</f>
        <v/>
      </c>
      <c r="BF51" s="23"/>
      <c r="BG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t="str">
        <f aca="false">""</f>
        <v/>
      </c>
      <c r="BI51" s="86"/>
      <c r="BJ51" s="22"/>
      <c r="BK51" s="46" t="str">
        <f aca="false">IF(OR(Tasks[[#This Row],[Task Name]]="",Tasks[[#This Row],[Baseline Duration]]=""),"",Tasks[[#This Row],[_SpanDays]]-N(Tasks[[#This Row],[Baseline Duration]]))</f>
        <v/>
      </c>
      <c r="BL51" s="85" t="str">
        <f aca="false">IF(OR(Tasks[[#This Row],[Task Name]]="",Tasks[[#This Row],[Baseline Work]]=""),"",Tasks[[#This Row],[Work]]-N(Tasks[[#This Row],[Baseline Work]]))</f>
        <v/>
      </c>
      <c r="BM51" s="62" t="str">
        <f aca="false">IF(Tasks[[#This Row],[Task Name]]="","",IF(OR(TakeBaseline="Yes",N(Tasks[[#This Row],[Baseline Start]])=0),Tasks[[#This Row],[Start]],Tasks[[#This Row],[Baseline Start]]))</f>
        <v/>
      </c>
      <c r="BN51" s="62" t="str">
        <f aca="false">IF(Tasks[[#This Row],[Task Name]]="","",IF(OR(TakeBaseline="Yes",N(Tasks[[#This Row],[Baseline Finish]])=0),Tasks[[#This Row],[Finish]],Tasks[[#This Row],[Baseline Finish]]))</f>
        <v/>
      </c>
      <c r="BO51" s="21" t="str">
        <f aca="false">IF(Tasks[[#This Row],[Task Name]]="","",IF(OR(TakeBaseline="Yes",N(Tasks[[#This Row],[Baseline Duration]])=0),Tasks[[#This Row],[_SpanDays]],Tasks[[#This Row],[Baseline Duration]]))</f>
        <v/>
      </c>
      <c r="BP51" s="85" t="str">
        <f aca="false">IF(Tasks[[#This Row],[Task Name]]="","",IF(OR(TakeBaseline="Yes",N(Tasks[[#This Row],[Baseline Work]])=0),Tasks[[#This Row],[Work]],Tasks[[#This Row],[Baseline Work]]))</f>
        <v/>
      </c>
      <c r="BQ51" s="7"/>
      <c r="BR51" s="7"/>
      <c r="BS51" s="22"/>
      <c r="BT51" s="87"/>
      <c r="BU51" s="42" t="str">
        <f aca="false">IF(Tasks[[#This Row],[Task Name]]="","",MAX(1,N(Tasks[[#This Row],[Level]])))</f>
        <v/>
      </c>
      <c r="BV51" s="42" t="n">
        <f aca="false">ROW()-ROW(Tasks[[#Headers],[ID]])</f>
        <v>46</v>
      </c>
      <c r="BW51" s="42" t="n">
        <f aca="false">IF(OR(Tasks[[#This Row],[Task Name]]="",Tasks[[#This Row],[_Level]]&lt;=1),0,IFERROR(LOOKUP(2,1/(Tasks[[#Headers],[_Level]]:Tasks[[#This Row],[_Level]]=Tasks[[#This Row],[_Level]]-1),ROW(Tasks[[#Headers],[_Level]]:Tasks[[#This Row],[_Level]])),0))</f>
        <v>0</v>
      </c>
      <c r="BX51" s="42" t="n">
        <f aca="false">IFERROR(N(INDEX(Tasks[_Level],Tasks[[#This Row],[_Row]]+1)),0)</f>
        <v>0</v>
      </c>
      <c r="BY51" s="88" t="b">
        <f aca="false">AND(Tasks[[#This Row],[Task Name]]&lt;&gt;"",Tasks[[#This Row],[_NextLevel]]&gt;Tasks[[#This Row],[_Level]])</f>
        <v>0</v>
      </c>
      <c r="BZ51" s="42" t="n">
        <f aca="false">IF(Tasks[[#This Row],[_IsSummary]],COUNTIF(Tasks[WBS],Tasks[[#This Row],[WBS]]&amp;".*"),0)</f>
        <v>0</v>
      </c>
      <c r="CA51" s="42" t="n">
        <f aca="false">IF(AND(Tasks[[#This Row],[Task Name]]&lt;&gt;"",NOT(Tasks[[#This Row],[_IsSummary]])),1,0)</f>
        <v>0</v>
      </c>
      <c r="CB51" s="42" t="n">
        <f aca="false">IF(N(Tasks[[#This Row],[_Pred1UID]])=0,0,IFERROR(MATCH(Tasks[[#This Row],[_Pred1UID]],Tasks[UID],0),-1))</f>
        <v>0</v>
      </c>
      <c r="CC51" s="42" t="n">
        <f aca="false">IF(N(Tasks[[#This Row],[_Pred2UID]])=0,0,IFERROR(MATCH(Tasks[[#This Row],[_Pred2UID]],Tasks[UID],0),-1))</f>
        <v>0</v>
      </c>
      <c r="CD51" s="42" t="n">
        <f aca="false">IF(N(Tasks[[#This Row],[_Pred3UID]])=0,0,IFERROR(MATCH(Tasks[[#This Row],[_Pred3UID]],Tasks[UID],0),-1))</f>
        <v>0</v>
      </c>
      <c r="CE51" s="42" t="n">
        <f aca="false">IF(N(Tasks[[#This Row],[_Pred4UID]])=0,0,IFERROR(MATCH(Tasks[[#This Row],[_Pred4UID]],Tasks[UID],0),-1))</f>
        <v>0</v>
      </c>
      <c r="CF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1" s="89" t="n">
        <f aca="false">IF(OR(Tasks[[#This Row],[_ConstraintCode]]=2,Tasks[[#This Row],[_ConstraintCode]]=3,Tasks[[#This Row],[_ConstraintCode]]=4,Tasks[[#This Row],[_ConstraintCode]]=6),Tasks[[#This Row],[_ConstraintStart]],0)</f>
        <v>0</v>
      </c>
      <c r="CI51" s="89" t="n">
        <f aca="false">IF(OR(Tasks[[#This Row],[_ConstraintCode]]=2,Tasks[[#This Row],[_ConstraintCode]]=3,Tasks[[#This Row],[_ConstraintCode]]=5,Tasks[[#This Row],[_ConstraintCode]]=7),Tasks[[#This Row],[_ConstraintStart]],2958465)</f>
        <v>2958465</v>
      </c>
      <c r="CJ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1" s="89" t="str">
        <f aca="false">IF(NOT(Tasks[[#This Row],[_IsLeaf]]=1),"",IF(N(Tasks[[#This Row],[_Days]])&lt;=0,Tasks[[#This Row],[_LeafCalcStart]],WORKDAY.INTL(Tasks[[#This Row],[_LeafCalcStart]],Tasks[[#This Row],[_Days]]-1,WorkWeek,Holidays)))</f>
        <v/>
      </c>
      <c r="CL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1" s="42" t="str">
        <f aca="false">IF(Tasks[[#This Row],[_Predecessors]]="","",TRIM(MID(SUBSTITUTE(SUBSTITUTE(SUBSTITUTE(UPPER(Tasks[[#This Row],[_Predecessors]]),";",",")," ",""),",",REPT(" ",99)),1,99)))</f>
        <v/>
      </c>
      <c r="CO51" s="42" t="str">
        <f aca="false">IF(Tasks[[#This Row],[_Pred1Text]]="","",IFERROR(VALUE(LEFT(Tasks[[#This Row],[_Pred1Text]],MIN(FIND("F",Tasks[[#This Row],[_Pred1Text]]&amp;"F"),FIND("S",Tasks[[#This Row],[_Pred1Text]]&amp;"S"),FIND("+",Tasks[[#This Row],[_Pred1Text]]&amp;"+"),FIND("-",Tasks[[#This Row],[_Pred1Text]]&amp;"-"))-1)),""))</f>
        <v/>
      </c>
      <c r="CP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1" s="42" t="str">
        <f aca="false">IF(Tasks[[#This Row],[_Pred1Text]]="","",TRIM(MID(SUBSTITUTE(SUBSTITUTE(SUBSTITUTE(UPPER(Tasks[[#This Row],[_Predecessors]]),";",",")," ",""),",",REPT(" ",99)),100,99)))</f>
        <v/>
      </c>
      <c r="CS51" s="42" t="str">
        <f aca="false">IF(Tasks[[#This Row],[_Pred2Text]]="","",IFERROR(VALUE(LEFT(Tasks[[#This Row],[_Pred2Text]],MIN(FIND("F",Tasks[[#This Row],[_Pred2Text]]&amp;"F"),FIND("S",Tasks[[#This Row],[_Pred2Text]]&amp;"S"),FIND("+",Tasks[[#This Row],[_Pred2Text]]&amp;"+"),FIND("-",Tasks[[#This Row],[_Pred2Text]]&amp;"-"))-1)),""))</f>
        <v/>
      </c>
      <c r="CT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1" s="42" t="str">
        <f aca="false">IF(Tasks[[#This Row],[_Pred2Text]]="","",TRIM(MID(SUBSTITUTE(SUBSTITUTE(SUBSTITUTE(UPPER(Tasks[[#This Row],[_Predecessors]]),";",",")," ",""),",",REPT(" ",99)),199,99)))</f>
        <v/>
      </c>
      <c r="CW51" s="42" t="str">
        <f aca="false">IF(Tasks[[#This Row],[_Pred3Text]]="","",IFERROR(VALUE(LEFT(Tasks[[#This Row],[_Pred3Text]],MIN(FIND("F",Tasks[[#This Row],[_Pred3Text]]&amp;"F"),FIND("S",Tasks[[#This Row],[_Pred3Text]]&amp;"S"),FIND("+",Tasks[[#This Row],[_Pred3Text]]&amp;"+"),FIND("-",Tasks[[#This Row],[_Pred3Text]]&amp;"-"))-1)),""))</f>
        <v/>
      </c>
      <c r="CX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1" s="42" t="str">
        <f aca="false">IF(Tasks[[#This Row],[_Pred3Text]]="","",TRIM(MID(SUBSTITUTE(SUBSTITUTE(SUBSTITUTE(UPPER(Tasks[[#This Row],[_Predecessors]]),";",",")," ",""),",",REPT(" ",99)),298,99)))</f>
        <v/>
      </c>
      <c r="DA51" s="42" t="str">
        <f aca="false">IF(Tasks[[#This Row],[_Pred4Text]]="","",IFERROR(VALUE(LEFT(Tasks[[#This Row],[_Pred4Text]],MIN(FIND("F",Tasks[[#This Row],[_Pred4Text]]&amp;"F"),FIND("S",Tasks[[#This Row],[_Pred4Text]]&amp;"S"),FIND("+",Tasks[[#This Row],[_Pred4Text]]&amp;"+"),FIND("-",Tasks[[#This Row],[_Pred4Text]]&amp;"-"))-1)),""))</f>
        <v/>
      </c>
      <c r="DB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1" s="42" t="str">
        <f aca="false">IF(OR(Tasks[[#This Row],[Task Name]]="",Tasks[[#This Row],[_Resources]]=""),"",TRIM(MID(SUBSTITUTE(Tasks[[#This Row],[_Resources]],",",REPT(" ",99)),1,99)))</f>
        <v/>
      </c>
      <c r="DE51" s="42" t="str">
        <f aca="false">IF(Tasks[[#This Row],[_Res1Text]]="","",TRIM(MID(SUBSTITUTE(Tasks[[#This Row],[_Resources]],",",REPT(" ",99)),100,99)))</f>
        <v/>
      </c>
      <c r="DF51" s="42" t="str">
        <f aca="false">IF(Tasks[[#This Row],[_Res2Text]]="","",TRIM(MID(SUBSTITUTE(Tasks[[#This Row],[_Resources]],",",REPT(" ",99)),199,99)))</f>
        <v/>
      </c>
      <c r="DG51" s="42" t="str">
        <f aca="false">IF(Tasks[[#This Row],[_Res3Text]]="","",TRIM(MID(SUBSTITUTE(Tasks[[#This Row],[_Resources]],",",REPT(" ",99)),298,99)))</f>
        <v/>
      </c>
      <c r="DH51" s="42" t="n">
        <f aca="false">IF(Tasks[[#This Row],[_Res1Text]]="",0,IFERROR(MATCH(TRIM(LEFT(Tasks[[#This Row],[_Res1Text]],FIND("[",Tasks[[#This Row],[_Res1Text]]&amp;"[")-1)),res_Name,0),IFERROR(MATCH(TRIM(LEFT(Tasks[[#This Row],[_Res1Text]],FIND("[",Tasks[[#This Row],[_Res1Text]]&amp;"[")-1)),res_Initials,0),0)))</f>
        <v>0</v>
      </c>
      <c r="DI51" s="42" t="n">
        <f aca="false">IF(Tasks[[#This Row],[_Res2Text]]="",0,IFERROR(MATCH(TRIM(LEFT(Tasks[[#This Row],[_Res2Text]],FIND("[",Tasks[[#This Row],[_Res2Text]]&amp;"[")-1)),res_Name,0),IFERROR(MATCH(TRIM(LEFT(Tasks[[#This Row],[_Res2Text]],FIND("[",Tasks[[#This Row],[_Res2Text]]&amp;"[")-1)),res_Initials,0),0)))</f>
        <v>0</v>
      </c>
      <c r="DJ51" s="42" t="n">
        <f aca="false">IF(Tasks[[#This Row],[_Res3Text]]="",0,IFERROR(MATCH(TRIM(LEFT(Tasks[[#This Row],[_Res3Text]],FIND("[",Tasks[[#This Row],[_Res3Text]]&amp;"[")-1)),res_Name,0),IFERROR(MATCH(TRIM(LEFT(Tasks[[#This Row],[_Res3Text]],FIND("[",Tasks[[#This Row],[_Res3Text]]&amp;"[")-1)),res_Initials,0),0)))</f>
        <v>0</v>
      </c>
      <c r="DK51" s="42" t="n">
        <f aca="false">IF(Tasks[[#This Row],[_Res4Text]]="",0,IFERROR(MATCH(TRIM(LEFT(Tasks[[#This Row],[_Res4Text]],FIND("[",Tasks[[#This Row],[_Res4Text]]&amp;"[")-1)),res_Name,0),IFERROR(MATCH(TRIM(LEFT(Tasks[[#This Row],[_Res4Text]],FIND("[",Tasks[[#This Row],[_Res4Text]]&amp;"[")-1)),res_Initials,0),0)))</f>
        <v>0</v>
      </c>
      <c r="DL51" s="42" t="str">
        <f aca="false">IF(Tasks[[#This Row],[_Res1Text]]="","",IF(Tasks[[#This Row],[_Res1Row]]&gt;0,INDEX(res_Name,Tasks[[#This Row],[_Res1Row]]),TRIM(LEFT(Tasks[[#This Row],[_Res1Text]],FIND("[",Tasks[[#This Row],[_Res1Text]]&amp;"[")-1))))</f>
        <v/>
      </c>
      <c r="DM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1" s="42" t="n">
        <f aca="false">IF(NOT(Tasks[[#This Row],[_IsLeaf]]=1),0,(Tasks[[#This Row],[_Resource1]]&lt;&gt;"")+(Tasks[[#This Row],[_Res2]]&lt;&gt;"")+(Tasks[[#This Row],[_Res3]]&lt;&gt;"")+(Tasks[[#This Row],[_Res4]]&lt;&gt;""))</f>
        <v>0</v>
      </c>
      <c r="DO51" s="42" t="str">
        <f aca="false">IF(Tasks[[#This Row],[_Res2Text]]="","",IF(Tasks[[#This Row],[_Res2Row]]&gt;0,INDEX(res_Name,Tasks[[#This Row],[_Res2Row]]),TRIM(LEFT(Tasks[[#This Row],[_Res2Text]],FIND("[",Tasks[[#This Row],[_Res2Text]]&amp;"[")-1))))</f>
        <v/>
      </c>
      <c r="DP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1" s="42" t="n">
        <f aca="false">IF(OR(NOT(Tasks[[#This Row],[_IsLeaf]]=1),Tasks[[#This Row],[_Res2Row]]=0),0,N(Tasks[[#This Row],[_Days]])*HoursPerDay*IF(Tasks[[#This Row],[_Res2Units]]="",DefaultUnits,Tasks[[#This Row],[_Res2Units]]))</f>
        <v>0</v>
      </c>
      <c r="DR51" s="42" t="n">
        <f aca="false">IF(AND(AND(Tasks[[#This Row],[_IsLeaf]]=1,Tasks[[#This Row],[_LeafTotalWork]]&gt;0),Tasks[[#This Row],[_Res2Work]]&gt;0),Tasks[[#This Row],[_Res2Work]]/(Tasks[[#This Row],[_FinishWorkday]]-Tasks[[#This Row],[_StartWorkday]]+1),0)</f>
        <v>0</v>
      </c>
      <c r="DS51" s="42" t="n">
        <f aca="false">Tasks[[#This Row],[_Res2WorkPerWD]]*MAX(0,Tasks[[#This Row],[_StartWorkday]]-1)</f>
        <v>0</v>
      </c>
      <c r="DT51" s="42" t="n">
        <f aca="false">Tasks[[#This Row],[_Res2Work]]*Tasks[[#This Row],[_LeafProgress]]</f>
        <v>0</v>
      </c>
      <c r="DU51" s="42" t="str">
        <f aca="false">IF(Tasks[[#This Row],[_Res3Text]]="","",IF(Tasks[[#This Row],[_Res3Row]]&gt;0,INDEX(res_Name,Tasks[[#This Row],[_Res3Row]]),TRIM(LEFT(Tasks[[#This Row],[_Res3Text]],FIND("[",Tasks[[#This Row],[_Res3Text]]&amp;"[")-1))))</f>
        <v/>
      </c>
      <c r="DV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1" s="42" t="n">
        <f aca="false">IF(OR(NOT(Tasks[[#This Row],[_IsLeaf]]=1),Tasks[[#This Row],[_Res3Row]]=0),0,N(Tasks[[#This Row],[_Days]])*HoursPerDay*IF(Tasks[[#This Row],[_Res3Units]]="",DefaultUnits,Tasks[[#This Row],[_Res3Units]]))</f>
        <v>0</v>
      </c>
      <c r="DX51" s="42" t="n">
        <f aca="false">IF(AND(AND(Tasks[[#This Row],[_IsLeaf]]=1,Tasks[[#This Row],[_LeafTotalWork]]&gt;0),Tasks[[#This Row],[_Res3Work]]&gt;0),Tasks[[#This Row],[_Res3Work]]/(Tasks[[#This Row],[_FinishWorkday]]-Tasks[[#This Row],[_StartWorkday]]+1),0)</f>
        <v>0</v>
      </c>
      <c r="DY51" s="42" t="n">
        <f aca="false">Tasks[[#This Row],[_Res3WorkPerWD]]*MAX(0,Tasks[[#This Row],[_StartWorkday]]-1)</f>
        <v>0</v>
      </c>
      <c r="DZ51" s="42" t="n">
        <f aca="false">Tasks[[#This Row],[_Res3Work]]*Tasks[[#This Row],[_LeafProgress]]</f>
        <v>0</v>
      </c>
      <c r="EA51" s="42" t="str">
        <f aca="false">IF(Tasks[[#This Row],[_Res4Text]]="","",IF(Tasks[[#This Row],[_Res4Row]]&gt;0,INDEX(res_Name,Tasks[[#This Row],[_Res4Row]]),TRIM(LEFT(Tasks[[#This Row],[_Res4Text]],FIND("[",Tasks[[#This Row],[_Res4Text]]&amp;"[")-1))))</f>
        <v/>
      </c>
      <c r="EB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1" s="42" t="n">
        <f aca="false">IF(OR(NOT(Tasks[[#This Row],[_IsLeaf]]=1),Tasks[[#This Row],[_Res4Row]]=0),0,N(Tasks[[#This Row],[_Days]])*HoursPerDay*IF(Tasks[[#This Row],[_Res4Units]]="",DefaultUnits,Tasks[[#This Row],[_Res4Units]]))</f>
        <v>0</v>
      </c>
      <c r="ED51" s="42" t="n">
        <f aca="false">IF(AND(AND(Tasks[[#This Row],[_IsLeaf]]=1,Tasks[[#This Row],[_LeafTotalWork]]&gt;0),Tasks[[#This Row],[_Res4Work]]&gt;0),Tasks[[#This Row],[_Res4Work]]/(Tasks[[#This Row],[_FinishWorkday]]-Tasks[[#This Row],[_StartWorkday]]+1),0)</f>
        <v>0</v>
      </c>
      <c r="EE51" s="42" t="n">
        <f aca="false">Tasks[[#This Row],[_Res4WorkPerWD]]*MAX(0,Tasks[[#This Row],[_StartWorkday]]-1)</f>
        <v>0</v>
      </c>
      <c r="EF51" s="42" t="n">
        <f aca="false">Tasks[[#This Row],[_Res4Work]]*Tasks[[#This Row],[_LeafProgress]]</f>
        <v>0</v>
      </c>
      <c r="EG51" s="42" t="n">
        <f aca="false">IF(ISNUMBER(Tasks[[#This Row],[% Complete]]),Tasks[[#This Row],[% Complete]],IF(Tasks[[#This Row],[Stage]]="",0,IFERROR(INDEX(stg_Pct,MATCH(Tasks[[#This Row],[Stage]],stg_Name,0)),0)))</f>
        <v>0</v>
      </c>
      <c r="EH51" s="42" t="n">
        <f aca="false">IF(NOT(Tasks[[#This Row],[_IsLeaf]]=1),0,IF(N(Tasks[[#This Row],[Actual Finish]])&gt;0,1,MIN(1,Tasks[[#This Row],[_Pct]])))</f>
        <v>0</v>
      </c>
      <c r="EI51" s="42" t="n">
        <f aca="false">IF(OR(NOT(Tasks[[#This Row],[_IsLeaf]]=1),Tasks[[#This Row],[_Res1Row]]=0),0,N(Tasks[[#This Row],[_Days]])*HoursPerDay*IF(Tasks[[#This Row],[_Units1]]="",DefaultUnits,Tasks[[#This Row],[_Units1]]))</f>
        <v>0</v>
      </c>
      <c r="EJ51" s="42" t="n">
        <f aca="false">Tasks[[#This Row],[_LeafWork]]+Tasks[[#This Row],[_Res2Work]]+Tasks[[#This Row],[_Res3Work]]+Tasks[[#This Row],[_Res4Work]]</f>
        <v>0</v>
      </c>
      <c r="EK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1" s="42" t="n">
        <f aca="false">IF(NOT(Tasks[[#This Row],[_IsLeaf]]=1),0,MAX(_xlfn.MAXIFS(Tasks[_Row],Tasks[_Pred1UID],Tasks[[#This Row],[UID]]),_xlfn.MAXIFS(Tasks[_Row],Tasks[_Pred2UID],Tasks[[#This Row],[UID]]),_xlfn.MAXIFS(Tasks[_Row],Tasks[_Pred3UID],Tasks[[#This Row],[UID]]),_xlfn.MAXIFS(Tasks[_Row],Tasks[_Pred4UID],Tasks[[#This Row],[UID]])))</f>
        <v>0</v>
      </c>
      <c r="ET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1" s="89" t="str">
        <f aca="false">IF(NOT(Tasks[[#This Row],[_IsLeaf]]=1),"",IF(N(Tasks[[#This Row],[_Days]])&lt;=0,Tasks[[#This Row],[_LeafLateFinish]],WORKDAY.INTL(Tasks[[#This Row],[_LeafLateFinish]],-(Tasks[[#This Row],[_Days]]-1),WorkWeek,Holidays)))</f>
        <v/>
      </c>
      <c r="EW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1" s="88" t="b">
        <f aca="false">AND(Tasks[[#This Row],[_IsLeaf]]=1,Tasks[[#This Row],[_LeafProgress]]&lt;1,N(Tasks[[#This Row],[_LeafTotalSlack]])&lt;=CriticalSlackDays)</f>
        <v>0</v>
      </c>
      <c r="EY51" s="42" t="n">
        <f aca="false">IF(AND(Tasks[[#This Row],[_IsLeaf]]=1,Tasks[[#This Row],[_ConstraintCode]]=1,Tasks[[#This Row],[Mode]]&lt;&gt;"Manual",N(Tasks[[#This Row],[Actual Start]])=0),MAX(0,N(Tasks[[#This Row],[Free Slack]])),0)</f>
        <v>0</v>
      </c>
      <c r="EZ51" s="89" t="str">
        <f aca="false">IF(NOT(Tasks[[#This Row],[_IsLeaf]]=1),"",IF(Tasks[[#This Row],[_AlapShift]]=0,Tasks[[#This Row],[_LeafCalcStart]],WORKDAY.INTL(Tasks[[#This Row],[_LeafCalcStart]],Tasks[[#This Row],[_AlapShift]],WorkWeek,Holidays)))</f>
        <v/>
      </c>
      <c r="FA51" s="89" t="str">
        <f aca="false">IF(NOT(Tasks[[#This Row],[_IsLeaf]]=1),"",IF(Tasks[[#This Row],[_AlapShift]]=0,Tasks[[#This Row],[_LeafCalcFinish]],WORKDAY.INTL(Tasks[[#This Row],[_LeafCalcFinish]],Tasks[[#This Row],[_AlapShift]],WorkWeek,Holidays)))</f>
        <v/>
      </c>
      <c r="FB51" s="89" t="str">
        <f aca="false">IF(NOT(Tasks[[#This Row],[_IsLeaf]]=1),"",IF(Tasks[[#This Row],[_AlapShift]]=0,Tasks[[#This Row],[_LeafFcstStart]],WORKDAY.INTL(Tasks[[#This Row],[_LeafFcstStart]],Tasks[[#This Row],[_AlapShift]],WorkWeek,Holidays)))</f>
        <v/>
      </c>
      <c r="FC51" s="89" t="str">
        <f aca="false">IF(NOT(Tasks[[#This Row],[_IsLeaf]]=1),"",IF(Tasks[[#This Row],[_AlapShift]]=0,Tasks[[#This Row],[_LeafFcstFinish]],WORKDAY.INTL(Tasks[[#This Row],[_LeafFcstFinish]],Tasks[[#This Row],[_AlapShift]],WorkWeek,Holidays)))</f>
        <v/>
      </c>
      <c r="FD51" s="89" t="str">
        <f aca="false">IF(Tasks[[#This Row],[Task Name]]="","",IF(Tasks[[#This Row],[_IsSummary]],MIN(INDEX(Tasks[_ShownCalcStart],Tasks[[#This Row],[_Row]]+1):INDEX(Tasks[_ShownCalcStart],Tasks[[#This Row],[_Row]]+Tasks[[#This Row],[_Descendants]])),Tasks[[#This Row],[_ShownCalcStart]]))</f>
        <v/>
      </c>
      <c r="FE51" s="89" t="str">
        <f aca="false">IF(Tasks[[#This Row],[Task Name]]="","",IF(Tasks[[#This Row],[_IsSummary]],MAX(INDEX(Tasks[_ShownCalcFinish],Tasks[[#This Row],[_Row]]+1):INDEX(Tasks[_ShownCalcFinish],Tasks[[#This Row],[_Row]]+Tasks[[#This Row],[_Descendants]])),Tasks[[#This Row],[_ShownCalcFinish]]))</f>
        <v/>
      </c>
      <c r="FF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1" s="42" t="n">
        <f aca="false">IF(AND(Tasks[[#This Row],[_IsLeaf]]=1,Tasks[[#This Row],[_LeafTotalWork]]&gt;0),NETWORKDAYS.INTL(ProjectStart,Tasks[[#This Row],[_ShownFcstStart]],WorkWeek,Holidays),0)</f>
        <v>0</v>
      </c>
      <c r="FS51" s="42" t="n">
        <f aca="false">IF(AND(Tasks[[#This Row],[_IsLeaf]]=1,Tasks[[#This Row],[_LeafTotalWork]]&gt;0),MAX(Tasks[[#This Row],[_StartWorkday]],NETWORKDAYS.INTL(ProjectStart,Tasks[[#This Row],[_ShownFcstFinish]],WorkWeek,Holidays)),0)</f>
        <v>0</v>
      </c>
      <c r="FT51" s="42" t="n">
        <f aca="false">IF(AND(Tasks[[#This Row],[_IsLeaf]]=1,Tasks[[#This Row],[_LeafTotalWork]]&gt;0),Tasks[[#This Row],[_LeafWork]]/(Tasks[[#This Row],[_FinishWorkday]]-Tasks[[#This Row],[_StartWorkday]]+1),0)</f>
        <v>0</v>
      </c>
      <c r="FU51" s="42" t="n">
        <f aca="false">Tasks[[#This Row],[_WorkPerWorkday]]*(Tasks[[#This Row],[_StartWorkday]]-1)</f>
        <v>-0</v>
      </c>
      <c r="FV51" s="42" t="n">
        <f aca="false">IF(Tasks[[#This Row],[_IsLeaf]]=1,MAX(N(Tasks[[#This Row],[_Days]]),0.1),0)</f>
        <v>0</v>
      </c>
      <c r="FW51" s="42" t="n">
        <f aca="false">Tasks[[#This Row],[_WeightDur]]*Tasks[[#This Row],[_LeafProgress]]</f>
        <v>0</v>
      </c>
      <c r="FX51" s="42" t="n">
        <f aca="false">Tasks[[#This Row],[_WeightDur]]*Tasks[[#This Row],[_PlannedPct]]</f>
        <v>0</v>
      </c>
      <c r="FY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1" s="42" t="str">
        <f aca="false">IF(AND(Tasks[[#This Row],[_IsLeaf]]=1,N(Tasks[[#This Row],[_Days]])=0,Tasks[[#This Row],[_LeafProgress]]&lt;1),Tasks[[#This Row],[_ShownFcstFinish]]+Tasks[[#This Row],[_Row]]/100000,"")</f>
        <v/>
      </c>
      <c r="GA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1" s="42" t="str">
        <f aca="false">IF(Tasks[[#This Row],[Task Name]]="","",LEFT(Tasks[[#This Row],[WBS]],FIND(".",Tasks[[#This Row],[WBS]]&amp;".")-1))</f>
        <v/>
      </c>
      <c r="GC51" s="42" t="str">
        <f aca="false">IF(AND(Tasks[[#This Row],[Task Name]]&lt;&gt;"",Tasks[[#This Row],[_Level]]=1),Tasks[[#This Row],[_Row]],"")</f>
        <v/>
      </c>
      <c r="GD51" s="42" t="str">
        <f aca="false">IF(AND(Tasks[[#This Row],[_IsLeaf]]=1,N(Tasks[[#This Row],[_Days]])=0),Tasks[[#This Row],[Planned Finish]]+Tasks[[#This Row],[_Row]]/100000,"")</f>
        <v/>
      </c>
      <c r="GE51" s="42" t="str">
        <f aca="false">IF(AND(Tasks[[#This Row],[_IsLeaf]]=1,Tasks[[#This Row],[_LeafProgress]]&lt;1,OR(N(Tasks[[#This Row],[Finish Var]])&gt;0,Tasks[[#This Row],[Status]]="Late Start")),MAX(0,Tasks[[#This Row],[Finish Var]])+1-Tasks[[#This Row],[_Row]]/1000000,"")</f>
        <v/>
      </c>
      <c r="GF51" s="42" t="str">
        <f aca="false">IF(AND(Tasks[[#This Row],[_IsLeaf]]=1,N(Tasks[[#This Row],[Actual Start]])=0,Tasks[[#This Row],[_ShownFcstStart]]&gt;=StatusDate,Tasks[[#This Row],[_ShownFcstStart]]&lt;=LookaheadEnd),Tasks[[#This Row],[_ShownFcstStart]]+Tasks[[#This Row],[_Row]]/100000,"")</f>
        <v/>
      </c>
      <c r="GG51" s="42" t="str">
        <f aca="false">IF(AND(Tasks[[#This Row],[_IsLeaf]]=1,Tasks[[#This Row],[_LeafProgress]]&lt;1,Tasks[[#This Row],[_ShownFcstFinish]]&gt;=StatusDate,Tasks[[#This Row],[_ShownFcstFinish]]&lt;=LookaheadEnd),Tasks[[#This Row],[_ShownFcstFinish]]+Tasks[[#This Row],[_Row]]/100000,"")</f>
        <v/>
      </c>
      <c r="GH51" s="42" t="str">
        <f aca="false">IF(Tasks[[#This Row],[_LeafCritical]],Tasks[[#This Row],[_ShownFcstStart]]+Tasks[[#This Row],[_Row]]/100000,"")</f>
        <v/>
      </c>
      <c r="GI51" s="42" t="n">
        <f aca="false">Tasks[[#This Row],[_LeafWork]]*Tasks[[#This Row],[_LeafProgress]]</f>
        <v>0</v>
      </c>
      <c r="GJ51" s="89" t="str">
        <f aca="false">IF(AND(Tasks[[#This Row],[_IsLeaf]]=1,Tasks[[#This Row],[_LeafProgress]]&gt;=1),IF(N(Tasks[[#This Row],[Actual Finish]])&gt;0,Tasks[[#This Row],[Actual Finish]],Tasks[[#This Row],[_ShownFcstFinish]]),"")</f>
        <v/>
      </c>
      <c r="GK51" s="42" t="n">
        <f aca="false">IF(Tasks[[#This Row],[_IsLeaf]]=1,N(Tasks[[#This Row],[Story Points]]),0)</f>
        <v>0</v>
      </c>
      <c r="GL51" s="42" t="str">
        <f aca="false">""</f>
        <v/>
      </c>
      <c r="GM51" s="88" t="b">
        <f aca="false">IF(Tasks[[#This Row],[Task Name]]="",FALSE(),AND(Tasks[[#This Row],[_IsLeaf]]=1,N(Tasks[[#This Row],[_Days]])=0))</f>
        <v>0</v>
      </c>
      <c r="GN51" s="89" t="n">
        <f aca="false">IF(Tasks[[#This Row],[Task Name]]="",0,IF(AND(Tasks[[#This Row],[_IsLeaf]]=1,NOT(Tasks[[#This Row],[_IsMilestone]]),N(Tasks[[#This Row],[Progress]])&gt;0),Tasks[[#This Row],[Start]],0))</f>
        <v>0</v>
      </c>
      <c r="GO51" s="89" t="n">
        <f aca="false">IF(Tasks[[#This Row],[_DoneFrom]]=0,0,IF(Tasks[[#This Row],[Progress]]&gt;=1,Tasks[[#This Row],[Finish]],MAX(Tasks[[#This Row],[_DoneFrom]],Tasks[[#This Row],[Start]]+ROUND((Tasks[[#This Row],[Finish]]-Tasks[[#This Row],[Start]]+1)*Tasks[[#This Row],[Progress]],0)-1)))</f>
        <v>0</v>
      </c>
      <c r="GP51" s="89" t="n">
        <f aca="false">IF(Tasks[[#This Row],[Task Name]]="",0,IF(OR(NOT(Tasks[[#This Row],[_IsLeaf]]=1),Tasks[[#This Row],[_IsMilestone]],N(Tasks[[#This Row],[Progress]])&gt;=1),0,IF(Tasks[[#This Row],[_DoneTo]]&gt;0,Tasks[[#This Row],[_DoneTo]]+1,Tasks[[#This Row],[Start]])))</f>
        <v>0</v>
      </c>
      <c r="GQ51" s="89" t="n">
        <f aca="false">IF(Tasks[[#This Row],[_RemFrom]]=0,0,Tasks[[#This Row],[Finish]])</f>
        <v>0</v>
      </c>
      <c r="GR51" s="88" t="b">
        <f aca="false">IF(Tasks[[#This Row],[Task Name]]="",FALSE(),OR(NOT(BaselineSet),N(Tasks[[#This Row],[Baseline Start]])&gt;0))</f>
        <v>0</v>
      </c>
      <c r="GS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1" s="90" t="str">
        <f aca="false">IF(Tasks[[#This Row],[_IsLeaf]]=1,Tasks[[#This Row],[_Row]],"")</f>
        <v/>
      </c>
      <c r="GW51" s="90" t="str">
        <f aca="false">IFERROR(INDEX(Tasks[UID],SMALL(Tasks[_PickKey],Tasks[[#This Row],[_Row]]))&amp;" "&amp;INDEX(Tasks[Task Name],SMALL(Tasks[_PickKey],Tasks[[#This Row],[_Row]])),"")</f>
        <v/>
      </c>
      <c r="GX51" s="42" t="str">
        <f aca="false">IF(Tasks[[#This Row],[Task Name]]="","",IF(Tasks[[#This Row],[_IsSummary]],NETWORKDAYS.INTL(Tasks[[#This Row],[Start]],Tasks[[#This Row],[Finish]],WorkWeek,Holidays),N(Tasks[[#This Row],[_Days]])))</f>
        <v/>
      </c>
    </row>
    <row r="52" customFormat="false" ht="15" hidden="false" customHeight="false" outlineLevel="0" collapsed="false">
      <c r="A52" s="21" t="str">
        <f aca="false">IF(Tasks[[#This Row],[Task Name]]="","",COUNTA(Tasks[[#Headers],[Task Name]]:Tasks[[#This Row],[Task Name]])-1)</f>
        <v/>
      </c>
      <c r="B52" s="22" t="n">
        <v>60</v>
      </c>
      <c r="C52" s="22"/>
      <c r="D52" s="23"/>
      <c r="E52" s="22"/>
      <c r="F52" s="23"/>
      <c r="G52" s="22"/>
      <c r="H52" s="22"/>
      <c r="I52" s="23"/>
      <c r="J52" s="22"/>
      <c r="K52" s="22"/>
      <c r="L52" s="23"/>
      <c r="M52" s="22"/>
      <c r="N52" s="22"/>
      <c r="O52" s="23"/>
      <c r="P52" s="22"/>
      <c r="Q52" s="22"/>
      <c r="R52" s="23"/>
      <c r="S52" s="23"/>
      <c r="T52" s="83"/>
      <c r="U52" s="23"/>
      <c r="V52" s="83"/>
      <c r="W52" s="23"/>
      <c r="X52" s="83"/>
      <c r="Y52" s="23"/>
      <c r="Z52" s="83"/>
      <c r="AA52" s="23"/>
      <c r="AB52" s="23"/>
      <c r="AC52" s="7"/>
      <c r="AD52" s="7"/>
      <c r="AE52" s="62" t="str">
        <f aca="false">IF(Tasks[[#This Row],[Task Name]]="","",IF(Tasks[[#This Row],[_IsSummary]],MIN(INDEX(Tasks[_ShownFcstStart],Tasks[[#This Row],[_Row]]+1):INDEX(Tasks[_ShownFcstStart],Tasks[[#This Row],[_Row]]+Tasks[[#This Row],[_Descendants]])),Tasks[[#This Row],[_ShownFcstStart]]))</f>
        <v/>
      </c>
      <c r="AF52" s="62" t="str">
        <f aca="false">IF(Tasks[[#This Row],[Task Name]]="","",IF(Tasks[[#This Row],[_IsSummary]],MAX(INDEX(Tasks[_ShownFcstFinish],Tasks[[#This Row],[_Row]]+1):INDEX(Tasks[_ShownFcstFinish],Tasks[[#This Row],[_Row]]+Tasks[[#This Row],[_Descendants]])),Tasks[[#This Row],[_ShownFcstFinish]]))</f>
        <v/>
      </c>
      <c r="AG52" s="21" t="str">
        <f aca="false">""</f>
        <v/>
      </c>
      <c r="AH52" s="23"/>
      <c r="AI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2" s="7"/>
      <c r="AK52" s="22"/>
      <c r="AL52" s="23"/>
      <c r="AM52" s="7"/>
      <c r="AN52" s="46" t="str">
        <f aca="false">IF(Tasks[[#This Row],[Task Name]]="","",IF(Tasks[[#This Row],[Finish]]&gt;=Tasks[[#This Row],[Planned Finish]],NETWORKDAYS.INTL(Tasks[[#This Row],[Planned Finish]],Tasks[[#This Row],[Finish]],WorkWeek,Holidays)-1,1-NETWORKDAYS.INTL(Tasks[[#This Row],[Finish]],Tasks[[#This Row],[Planned Finish]],WorkWeek,Holidays)))</f>
        <v/>
      </c>
      <c r="AO52" s="21" t="str">
        <f aca="false">IF(Tasks[[#This Row],[Task Name]]="","",IF(Tasks[[#This Row],[Progress]]&gt;=1,"Complete",IF(OR(N(Tasks[[#This Row],[Actual Start]])&gt;0,Tasks[[#This Row],[Progress]]&gt;0),IF(Tasks[[#This Row],[Finish Var]]&gt;0,"Behind","In Progress"),IF(Tasks[[#This Row],[Planned Start]]&lt;StatusDate,"Late Start","Not Started"))))</f>
        <v/>
      </c>
      <c r="AP52" s="21" t="str">
        <f aca="false">IF(Tasks[[#This Row],[Task Name]]="","",IF(IF(Tasks[[#This Row],[_IsSummary]],COUNTIF(INDEX(Tasks[_LeafCritical],Tasks[[#This Row],[_Row]]+1):INDEX(Tasks[_LeafCritical],Tasks[[#This Row],[_Row]]+Tasks[[#This Row],[_Descendants]]),TRUE())&gt;0,Tasks[[#This Row],[_LeafCritical]]),"Yes",""))</f>
        <v/>
      </c>
      <c r="AQ52" s="62" t="str">
        <f aca="false">IF(Tasks[[#This Row],[Task Name]]="","",IF(N(Tasks[[#This Row],[Baseline Start]])&gt;0,Tasks[[#This Row],[Baseline Start]],Tasks[[#This Row],[_CalcStart]]))</f>
        <v/>
      </c>
      <c r="AR52" s="62" t="str">
        <f aca="false">IF(Tasks[[#This Row],[Task Name]]="","",IF(N(Tasks[[#This Row],[Baseline Finish]])&gt;0,Tasks[[#This Row],[Baseline Finish]],Tasks[[#This Row],[_CalcFinish]]))</f>
        <v/>
      </c>
      <c r="AS52" s="46" t="str">
        <f aca="false">IF(Tasks[[#This Row],[Task Name]]="","",IF(Tasks[[#This Row],[Start]]&gt;=Tasks[[#This Row],[Planned Start]],NETWORKDAYS.INTL(Tasks[[#This Row],[Planned Start]],Tasks[[#This Row],[Start]],WorkWeek,Holidays)-1,1-NETWORKDAYS.INTL(Tasks[[#This Row],[Start]],Tasks[[#This Row],[Planned Start]],WorkWeek,Holidays)))</f>
        <v/>
      </c>
      <c r="AT52" s="62" t="str">
        <f aca="false">IF(Tasks[[#This Row],[Task Name]]="","",IF(Tasks[[#This Row],[_IsSummary]],MIN(INDEX(Tasks[_LeafLateStart],Tasks[[#This Row],[_Row]]+1):INDEX(Tasks[_LeafLateStart],Tasks[[#This Row],[_Row]]+Tasks[[#This Row],[_Descendants]])),Tasks[[#This Row],[_LeafLateStart]]))</f>
        <v/>
      </c>
      <c r="AU52" s="62" t="str">
        <f aca="false">IF(Tasks[[#This Row],[Task Name]]="","",IF(Tasks[[#This Row],[_IsSummary]],MAX(INDEX(Tasks[_LeafLateFinish],Tasks[[#This Row],[_Row]]+1):INDEX(Tasks[_LeafLateFinish],Tasks[[#This Row],[_Row]]+Tasks[[#This Row],[_Descendants]])),Tasks[[#This Row],[_LeafLateFinish]]))</f>
        <v/>
      </c>
      <c r="AV52" s="46" t="str">
        <f aca="false">IF(Tasks[[#This Row],[Task Name]]="","",IF(Tasks[[#This Row],[_IsSummary]],MIN(INDEX(Tasks[_LeafTotalSlack],Tasks[[#This Row],[_Row]]+1):INDEX(Tasks[_LeafTotalSlack],Tasks[[#This Row],[_Row]]+Tasks[[#This Row],[_Descendants]])),Tasks[[#This Row],[_LeafTotalSlack]]))</f>
        <v/>
      </c>
      <c r="AW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4"/>
      <c r="BA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t="str">
        <f aca="false">IF(Tasks[[#This Row],[Task Name]]="","",IF(Tasks[[#This Row],[_Level]]&lt;=OutlineShowLevel,"Yes","No"))</f>
        <v/>
      </c>
      <c r="BE52" s="85" t="str">
        <f aca="false">IF(Tasks[[#This Row],[Task Name]]="","",IF(Tasks[[#This Row],[_IsSummary]],SUM(INDEX(Tasks[_LeafTotalWork],Tasks[[#This Row],[_Row]]+1):INDEX(Tasks[_LeafTotalWork],Tasks[[#This Row],[_Row]]+Tasks[[#This Row],[_Descendants]])),Tasks[[#This Row],[_LeafTotalWork]]))</f>
        <v/>
      </c>
      <c r="BF52" s="23"/>
      <c r="BG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t="str">
        <f aca="false">""</f>
        <v/>
      </c>
      <c r="BI52" s="86"/>
      <c r="BJ52" s="22"/>
      <c r="BK52" s="46" t="str">
        <f aca="false">IF(OR(Tasks[[#This Row],[Task Name]]="",Tasks[[#This Row],[Baseline Duration]]=""),"",Tasks[[#This Row],[_SpanDays]]-N(Tasks[[#This Row],[Baseline Duration]]))</f>
        <v/>
      </c>
      <c r="BL52" s="85" t="str">
        <f aca="false">IF(OR(Tasks[[#This Row],[Task Name]]="",Tasks[[#This Row],[Baseline Work]]=""),"",Tasks[[#This Row],[Work]]-N(Tasks[[#This Row],[Baseline Work]]))</f>
        <v/>
      </c>
      <c r="BM52" s="62" t="str">
        <f aca="false">IF(Tasks[[#This Row],[Task Name]]="","",IF(OR(TakeBaseline="Yes",N(Tasks[[#This Row],[Baseline Start]])=0),Tasks[[#This Row],[Start]],Tasks[[#This Row],[Baseline Start]]))</f>
        <v/>
      </c>
      <c r="BN52" s="62" t="str">
        <f aca="false">IF(Tasks[[#This Row],[Task Name]]="","",IF(OR(TakeBaseline="Yes",N(Tasks[[#This Row],[Baseline Finish]])=0),Tasks[[#This Row],[Finish]],Tasks[[#This Row],[Baseline Finish]]))</f>
        <v/>
      </c>
      <c r="BO52" s="21" t="str">
        <f aca="false">IF(Tasks[[#This Row],[Task Name]]="","",IF(OR(TakeBaseline="Yes",N(Tasks[[#This Row],[Baseline Duration]])=0),Tasks[[#This Row],[_SpanDays]],Tasks[[#This Row],[Baseline Duration]]))</f>
        <v/>
      </c>
      <c r="BP52" s="85" t="str">
        <f aca="false">IF(Tasks[[#This Row],[Task Name]]="","",IF(OR(TakeBaseline="Yes",N(Tasks[[#This Row],[Baseline Work]])=0),Tasks[[#This Row],[Work]],Tasks[[#This Row],[Baseline Work]]))</f>
        <v/>
      </c>
      <c r="BQ52" s="7"/>
      <c r="BR52" s="7"/>
      <c r="BS52" s="22"/>
      <c r="BT52" s="87"/>
      <c r="BU52" s="42" t="str">
        <f aca="false">IF(Tasks[[#This Row],[Task Name]]="","",MAX(1,N(Tasks[[#This Row],[Level]])))</f>
        <v/>
      </c>
      <c r="BV52" s="42" t="n">
        <f aca="false">ROW()-ROW(Tasks[[#Headers],[ID]])</f>
        <v>47</v>
      </c>
      <c r="BW52" s="42" t="n">
        <f aca="false">IF(OR(Tasks[[#This Row],[Task Name]]="",Tasks[[#This Row],[_Level]]&lt;=1),0,IFERROR(LOOKUP(2,1/(Tasks[[#Headers],[_Level]]:Tasks[[#This Row],[_Level]]=Tasks[[#This Row],[_Level]]-1),ROW(Tasks[[#Headers],[_Level]]:Tasks[[#This Row],[_Level]])),0))</f>
        <v>0</v>
      </c>
      <c r="BX52" s="42" t="n">
        <f aca="false">IFERROR(N(INDEX(Tasks[_Level],Tasks[[#This Row],[_Row]]+1)),0)</f>
        <v>0</v>
      </c>
      <c r="BY52" s="88" t="b">
        <f aca="false">AND(Tasks[[#This Row],[Task Name]]&lt;&gt;"",Tasks[[#This Row],[_NextLevel]]&gt;Tasks[[#This Row],[_Level]])</f>
        <v>0</v>
      </c>
      <c r="BZ52" s="42" t="n">
        <f aca="false">IF(Tasks[[#This Row],[_IsSummary]],COUNTIF(Tasks[WBS],Tasks[[#This Row],[WBS]]&amp;".*"),0)</f>
        <v>0</v>
      </c>
      <c r="CA52" s="42" t="n">
        <f aca="false">IF(AND(Tasks[[#This Row],[Task Name]]&lt;&gt;"",NOT(Tasks[[#This Row],[_IsSummary]])),1,0)</f>
        <v>0</v>
      </c>
      <c r="CB52" s="42" t="n">
        <f aca="false">IF(N(Tasks[[#This Row],[_Pred1UID]])=0,0,IFERROR(MATCH(Tasks[[#This Row],[_Pred1UID]],Tasks[UID],0),-1))</f>
        <v>0</v>
      </c>
      <c r="CC52" s="42" t="n">
        <f aca="false">IF(N(Tasks[[#This Row],[_Pred2UID]])=0,0,IFERROR(MATCH(Tasks[[#This Row],[_Pred2UID]],Tasks[UID],0),-1))</f>
        <v>0</v>
      </c>
      <c r="CD52" s="42" t="n">
        <f aca="false">IF(N(Tasks[[#This Row],[_Pred3UID]])=0,0,IFERROR(MATCH(Tasks[[#This Row],[_Pred3UID]],Tasks[UID],0),-1))</f>
        <v>0</v>
      </c>
      <c r="CE52" s="42" t="n">
        <f aca="false">IF(N(Tasks[[#This Row],[_Pred4UID]])=0,0,IFERROR(MATCH(Tasks[[#This Row],[_Pred4UID]],Tasks[UID],0),-1))</f>
        <v>0</v>
      </c>
      <c r="CF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2" s="89" t="n">
        <f aca="false">IF(OR(Tasks[[#This Row],[_ConstraintCode]]=2,Tasks[[#This Row],[_ConstraintCode]]=3,Tasks[[#This Row],[_ConstraintCode]]=4,Tasks[[#This Row],[_ConstraintCode]]=6),Tasks[[#This Row],[_ConstraintStart]],0)</f>
        <v>0</v>
      </c>
      <c r="CI52" s="89" t="n">
        <f aca="false">IF(OR(Tasks[[#This Row],[_ConstraintCode]]=2,Tasks[[#This Row],[_ConstraintCode]]=3,Tasks[[#This Row],[_ConstraintCode]]=5,Tasks[[#This Row],[_ConstraintCode]]=7),Tasks[[#This Row],[_ConstraintStart]],2958465)</f>
        <v>2958465</v>
      </c>
      <c r="CJ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2" s="89" t="str">
        <f aca="false">IF(NOT(Tasks[[#This Row],[_IsLeaf]]=1),"",IF(N(Tasks[[#This Row],[_Days]])&lt;=0,Tasks[[#This Row],[_LeafCalcStart]],WORKDAY.INTL(Tasks[[#This Row],[_LeafCalcStart]],Tasks[[#This Row],[_Days]]-1,WorkWeek,Holidays)))</f>
        <v/>
      </c>
      <c r="CL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2" s="42" t="str">
        <f aca="false">IF(Tasks[[#This Row],[_Predecessors]]="","",TRIM(MID(SUBSTITUTE(SUBSTITUTE(SUBSTITUTE(UPPER(Tasks[[#This Row],[_Predecessors]]),";",",")," ",""),",",REPT(" ",99)),1,99)))</f>
        <v/>
      </c>
      <c r="CO52" s="42" t="str">
        <f aca="false">IF(Tasks[[#This Row],[_Pred1Text]]="","",IFERROR(VALUE(LEFT(Tasks[[#This Row],[_Pred1Text]],MIN(FIND("F",Tasks[[#This Row],[_Pred1Text]]&amp;"F"),FIND("S",Tasks[[#This Row],[_Pred1Text]]&amp;"S"),FIND("+",Tasks[[#This Row],[_Pred1Text]]&amp;"+"),FIND("-",Tasks[[#This Row],[_Pred1Text]]&amp;"-"))-1)),""))</f>
        <v/>
      </c>
      <c r="CP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2" s="42" t="str">
        <f aca="false">IF(Tasks[[#This Row],[_Pred1Text]]="","",TRIM(MID(SUBSTITUTE(SUBSTITUTE(SUBSTITUTE(UPPER(Tasks[[#This Row],[_Predecessors]]),";",",")," ",""),",",REPT(" ",99)),100,99)))</f>
        <v/>
      </c>
      <c r="CS52" s="42" t="str">
        <f aca="false">IF(Tasks[[#This Row],[_Pred2Text]]="","",IFERROR(VALUE(LEFT(Tasks[[#This Row],[_Pred2Text]],MIN(FIND("F",Tasks[[#This Row],[_Pred2Text]]&amp;"F"),FIND("S",Tasks[[#This Row],[_Pred2Text]]&amp;"S"),FIND("+",Tasks[[#This Row],[_Pred2Text]]&amp;"+"),FIND("-",Tasks[[#This Row],[_Pred2Text]]&amp;"-"))-1)),""))</f>
        <v/>
      </c>
      <c r="CT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2" s="42" t="str">
        <f aca="false">IF(Tasks[[#This Row],[_Pred2Text]]="","",TRIM(MID(SUBSTITUTE(SUBSTITUTE(SUBSTITUTE(UPPER(Tasks[[#This Row],[_Predecessors]]),";",",")," ",""),",",REPT(" ",99)),199,99)))</f>
        <v/>
      </c>
      <c r="CW52" s="42" t="str">
        <f aca="false">IF(Tasks[[#This Row],[_Pred3Text]]="","",IFERROR(VALUE(LEFT(Tasks[[#This Row],[_Pred3Text]],MIN(FIND("F",Tasks[[#This Row],[_Pred3Text]]&amp;"F"),FIND("S",Tasks[[#This Row],[_Pred3Text]]&amp;"S"),FIND("+",Tasks[[#This Row],[_Pred3Text]]&amp;"+"),FIND("-",Tasks[[#This Row],[_Pred3Text]]&amp;"-"))-1)),""))</f>
        <v/>
      </c>
      <c r="CX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2" s="42" t="str">
        <f aca="false">IF(Tasks[[#This Row],[_Pred3Text]]="","",TRIM(MID(SUBSTITUTE(SUBSTITUTE(SUBSTITUTE(UPPER(Tasks[[#This Row],[_Predecessors]]),";",",")," ",""),",",REPT(" ",99)),298,99)))</f>
        <v/>
      </c>
      <c r="DA52" s="42" t="str">
        <f aca="false">IF(Tasks[[#This Row],[_Pred4Text]]="","",IFERROR(VALUE(LEFT(Tasks[[#This Row],[_Pred4Text]],MIN(FIND("F",Tasks[[#This Row],[_Pred4Text]]&amp;"F"),FIND("S",Tasks[[#This Row],[_Pred4Text]]&amp;"S"),FIND("+",Tasks[[#This Row],[_Pred4Text]]&amp;"+"),FIND("-",Tasks[[#This Row],[_Pred4Text]]&amp;"-"))-1)),""))</f>
        <v/>
      </c>
      <c r="DB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2" s="42" t="str">
        <f aca="false">IF(OR(Tasks[[#This Row],[Task Name]]="",Tasks[[#This Row],[_Resources]]=""),"",TRIM(MID(SUBSTITUTE(Tasks[[#This Row],[_Resources]],",",REPT(" ",99)),1,99)))</f>
        <v/>
      </c>
      <c r="DE52" s="42" t="str">
        <f aca="false">IF(Tasks[[#This Row],[_Res1Text]]="","",TRIM(MID(SUBSTITUTE(Tasks[[#This Row],[_Resources]],",",REPT(" ",99)),100,99)))</f>
        <v/>
      </c>
      <c r="DF52" s="42" t="str">
        <f aca="false">IF(Tasks[[#This Row],[_Res2Text]]="","",TRIM(MID(SUBSTITUTE(Tasks[[#This Row],[_Resources]],",",REPT(" ",99)),199,99)))</f>
        <v/>
      </c>
      <c r="DG52" s="42" t="str">
        <f aca="false">IF(Tasks[[#This Row],[_Res3Text]]="","",TRIM(MID(SUBSTITUTE(Tasks[[#This Row],[_Resources]],",",REPT(" ",99)),298,99)))</f>
        <v/>
      </c>
      <c r="DH52" s="42" t="n">
        <f aca="false">IF(Tasks[[#This Row],[_Res1Text]]="",0,IFERROR(MATCH(TRIM(LEFT(Tasks[[#This Row],[_Res1Text]],FIND("[",Tasks[[#This Row],[_Res1Text]]&amp;"[")-1)),res_Name,0),IFERROR(MATCH(TRIM(LEFT(Tasks[[#This Row],[_Res1Text]],FIND("[",Tasks[[#This Row],[_Res1Text]]&amp;"[")-1)),res_Initials,0),0)))</f>
        <v>0</v>
      </c>
      <c r="DI52" s="42" t="n">
        <f aca="false">IF(Tasks[[#This Row],[_Res2Text]]="",0,IFERROR(MATCH(TRIM(LEFT(Tasks[[#This Row],[_Res2Text]],FIND("[",Tasks[[#This Row],[_Res2Text]]&amp;"[")-1)),res_Name,0),IFERROR(MATCH(TRIM(LEFT(Tasks[[#This Row],[_Res2Text]],FIND("[",Tasks[[#This Row],[_Res2Text]]&amp;"[")-1)),res_Initials,0),0)))</f>
        <v>0</v>
      </c>
      <c r="DJ52" s="42" t="n">
        <f aca="false">IF(Tasks[[#This Row],[_Res3Text]]="",0,IFERROR(MATCH(TRIM(LEFT(Tasks[[#This Row],[_Res3Text]],FIND("[",Tasks[[#This Row],[_Res3Text]]&amp;"[")-1)),res_Name,0),IFERROR(MATCH(TRIM(LEFT(Tasks[[#This Row],[_Res3Text]],FIND("[",Tasks[[#This Row],[_Res3Text]]&amp;"[")-1)),res_Initials,0),0)))</f>
        <v>0</v>
      </c>
      <c r="DK52" s="42" t="n">
        <f aca="false">IF(Tasks[[#This Row],[_Res4Text]]="",0,IFERROR(MATCH(TRIM(LEFT(Tasks[[#This Row],[_Res4Text]],FIND("[",Tasks[[#This Row],[_Res4Text]]&amp;"[")-1)),res_Name,0),IFERROR(MATCH(TRIM(LEFT(Tasks[[#This Row],[_Res4Text]],FIND("[",Tasks[[#This Row],[_Res4Text]]&amp;"[")-1)),res_Initials,0),0)))</f>
        <v>0</v>
      </c>
      <c r="DL52" s="42" t="str">
        <f aca="false">IF(Tasks[[#This Row],[_Res1Text]]="","",IF(Tasks[[#This Row],[_Res1Row]]&gt;0,INDEX(res_Name,Tasks[[#This Row],[_Res1Row]]),TRIM(LEFT(Tasks[[#This Row],[_Res1Text]],FIND("[",Tasks[[#This Row],[_Res1Text]]&amp;"[")-1))))</f>
        <v/>
      </c>
      <c r="DM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2" s="42" t="n">
        <f aca="false">IF(NOT(Tasks[[#This Row],[_IsLeaf]]=1),0,(Tasks[[#This Row],[_Resource1]]&lt;&gt;"")+(Tasks[[#This Row],[_Res2]]&lt;&gt;"")+(Tasks[[#This Row],[_Res3]]&lt;&gt;"")+(Tasks[[#This Row],[_Res4]]&lt;&gt;""))</f>
        <v>0</v>
      </c>
      <c r="DO52" s="42" t="str">
        <f aca="false">IF(Tasks[[#This Row],[_Res2Text]]="","",IF(Tasks[[#This Row],[_Res2Row]]&gt;0,INDEX(res_Name,Tasks[[#This Row],[_Res2Row]]),TRIM(LEFT(Tasks[[#This Row],[_Res2Text]],FIND("[",Tasks[[#This Row],[_Res2Text]]&amp;"[")-1))))</f>
        <v/>
      </c>
      <c r="DP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2" s="42" t="n">
        <f aca="false">IF(OR(NOT(Tasks[[#This Row],[_IsLeaf]]=1),Tasks[[#This Row],[_Res2Row]]=0),0,N(Tasks[[#This Row],[_Days]])*HoursPerDay*IF(Tasks[[#This Row],[_Res2Units]]="",DefaultUnits,Tasks[[#This Row],[_Res2Units]]))</f>
        <v>0</v>
      </c>
      <c r="DR52" s="42" t="n">
        <f aca="false">IF(AND(AND(Tasks[[#This Row],[_IsLeaf]]=1,Tasks[[#This Row],[_LeafTotalWork]]&gt;0),Tasks[[#This Row],[_Res2Work]]&gt;0),Tasks[[#This Row],[_Res2Work]]/(Tasks[[#This Row],[_FinishWorkday]]-Tasks[[#This Row],[_StartWorkday]]+1),0)</f>
        <v>0</v>
      </c>
      <c r="DS52" s="42" t="n">
        <f aca="false">Tasks[[#This Row],[_Res2WorkPerWD]]*MAX(0,Tasks[[#This Row],[_StartWorkday]]-1)</f>
        <v>0</v>
      </c>
      <c r="DT52" s="42" t="n">
        <f aca="false">Tasks[[#This Row],[_Res2Work]]*Tasks[[#This Row],[_LeafProgress]]</f>
        <v>0</v>
      </c>
      <c r="DU52" s="42" t="str">
        <f aca="false">IF(Tasks[[#This Row],[_Res3Text]]="","",IF(Tasks[[#This Row],[_Res3Row]]&gt;0,INDEX(res_Name,Tasks[[#This Row],[_Res3Row]]),TRIM(LEFT(Tasks[[#This Row],[_Res3Text]],FIND("[",Tasks[[#This Row],[_Res3Text]]&amp;"[")-1))))</f>
        <v/>
      </c>
      <c r="DV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2" s="42" t="n">
        <f aca="false">IF(OR(NOT(Tasks[[#This Row],[_IsLeaf]]=1),Tasks[[#This Row],[_Res3Row]]=0),0,N(Tasks[[#This Row],[_Days]])*HoursPerDay*IF(Tasks[[#This Row],[_Res3Units]]="",DefaultUnits,Tasks[[#This Row],[_Res3Units]]))</f>
        <v>0</v>
      </c>
      <c r="DX52" s="42" t="n">
        <f aca="false">IF(AND(AND(Tasks[[#This Row],[_IsLeaf]]=1,Tasks[[#This Row],[_LeafTotalWork]]&gt;0),Tasks[[#This Row],[_Res3Work]]&gt;0),Tasks[[#This Row],[_Res3Work]]/(Tasks[[#This Row],[_FinishWorkday]]-Tasks[[#This Row],[_StartWorkday]]+1),0)</f>
        <v>0</v>
      </c>
      <c r="DY52" s="42" t="n">
        <f aca="false">Tasks[[#This Row],[_Res3WorkPerWD]]*MAX(0,Tasks[[#This Row],[_StartWorkday]]-1)</f>
        <v>0</v>
      </c>
      <c r="DZ52" s="42" t="n">
        <f aca="false">Tasks[[#This Row],[_Res3Work]]*Tasks[[#This Row],[_LeafProgress]]</f>
        <v>0</v>
      </c>
      <c r="EA52" s="42" t="str">
        <f aca="false">IF(Tasks[[#This Row],[_Res4Text]]="","",IF(Tasks[[#This Row],[_Res4Row]]&gt;0,INDEX(res_Name,Tasks[[#This Row],[_Res4Row]]),TRIM(LEFT(Tasks[[#This Row],[_Res4Text]],FIND("[",Tasks[[#This Row],[_Res4Text]]&amp;"[")-1))))</f>
        <v/>
      </c>
      <c r="EB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2" s="42" t="n">
        <f aca="false">IF(OR(NOT(Tasks[[#This Row],[_IsLeaf]]=1),Tasks[[#This Row],[_Res4Row]]=0),0,N(Tasks[[#This Row],[_Days]])*HoursPerDay*IF(Tasks[[#This Row],[_Res4Units]]="",DefaultUnits,Tasks[[#This Row],[_Res4Units]]))</f>
        <v>0</v>
      </c>
      <c r="ED52" s="42" t="n">
        <f aca="false">IF(AND(AND(Tasks[[#This Row],[_IsLeaf]]=1,Tasks[[#This Row],[_LeafTotalWork]]&gt;0),Tasks[[#This Row],[_Res4Work]]&gt;0),Tasks[[#This Row],[_Res4Work]]/(Tasks[[#This Row],[_FinishWorkday]]-Tasks[[#This Row],[_StartWorkday]]+1),0)</f>
        <v>0</v>
      </c>
      <c r="EE52" s="42" t="n">
        <f aca="false">Tasks[[#This Row],[_Res4WorkPerWD]]*MAX(0,Tasks[[#This Row],[_StartWorkday]]-1)</f>
        <v>0</v>
      </c>
      <c r="EF52" s="42" t="n">
        <f aca="false">Tasks[[#This Row],[_Res4Work]]*Tasks[[#This Row],[_LeafProgress]]</f>
        <v>0</v>
      </c>
      <c r="EG52" s="42" t="n">
        <f aca="false">IF(ISNUMBER(Tasks[[#This Row],[% Complete]]),Tasks[[#This Row],[% Complete]],IF(Tasks[[#This Row],[Stage]]="",0,IFERROR(INDEX(stg_Pct,MATCH(Tasks[[#This Row],[Stage]],stg_Name,0)),0)))</f>
        <v>0</v>
      </c>
      <c r="EH52" s="42" t="n">
        <f aca="false">IF(NOT(Tasks[[#This Row],[_IsLeaf]]=1),0,IF(N(Tasks[[#This Row],[Actual Finish]])&gt;0,1,MIN(1,Tasks[[#This Row],[_Pct]])))</f>
        <v>0</v>
      </c>
      <c r="EI52" s="42" t="n">
        <f aca="false">IF(OR(NOT(Tasks[[#This Row],[_IsLeaf]]=1),Tasks[[#This Row],[_Res1Row]]=0),0,N(Tasks[[#This Row],[_Days]])*HoursPerDay*IF(Tasks[[#This Row],[_Units1]]="",DefaultUnits,Tasks[[#This Row],[_Units1]]))</f>
        <v>0</v>
      </c>
      <c r="EJ52" s="42" t="n">
        <f aca="false">Tasks[[#This Row],[_LeafWork]]+Tasks[[#This Row],[_Res2Work]]+Tasks[[#This Row],[_Res3Work]]+Tasks[[#This Row],[_Res4Work]]</f>
        <v>0</v>
      </c>
      <c r="EK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2" s="42" t="n">
        <f aca="false">IF(NOT(Tasks[[#This Row],[_IsLeaf]]=1),0,MAX(_xlfn.MAXIFS(Tasks[_Row],Tasks[_Pred1UID],Tasks[[#This Row],[UID]]),_xlfn.MAXIFS(Tasks[_Row],Tasks[_Pred2UID],Tasks[[#This Row],[UID]]),_xlfn.MAXIFS(Tasks[_Row],Tasks[_Pred3UID],Tasks[[#This Row],[UID]]),_xlfn.MAXIFS(Tasks[_Row],Tasks[_Pred4UID],Tasks[[#This Row],[UID]])))</f>
        <v>0</v>
      </c>
      <c r="ET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2" s="89" t="str">
        <f aca="false">IF(NOT(Tasks[[#This Row],[_IsLeaf]]=1),"",IF(N(Tasks[[#This Row],[_Days]])&lt;=0,Tasks[[#This Row],[_LeafLateFinish]],WORKDAY.INTL(Tasks[[#This Row],[_LeafLateFinish]],-(Tasks[[#This Row],[_Days]]-1),WorkWeek,Holidays)))</f>
        <v/>
      </c>
      <c r="EW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2" s="88" t="b">
        <f aca="false">AND(Tasks[[#This Row],[_IsLeaf]]=1,Tasks[[#This Row],[_LeafProgress]]&lt;1,N(Tasks[[#This Row],[_LeafTotalSlack]])&lt;=CriticalSlackDays)</f>
        <v>0</v>
      </c>
      <c r="EY52" s="42" t="n">
        <f aca="false">IF(AND(Tasks[[#This Row],[_IsLeaf]]=1,Tasks[[#This Row],[_ConstraintCode]]=1,Tasks[[#This Row],[Mode]]&lt;&gt;"Manual",N(Tasks[[#This Row],[Actual Start]])=0),MAX(0,N(Tasks[[#This Row],[Free Slack]])),0)</f>
        <v>0</v>
      </c>
      <c r="EZ52" s="89" t="str">
        <f aca="false">IF(NOT(Tasks[[#This Row],[_IsLeaf]]=1),"",IF(Tasks[[#This Row],[_AlapShift]]=0,Tasks[[#This Row],[_LeafCalcStart]],WORKDAY.INTL(Tasks[[#This Row],[_LeafCalcStart]],Tasks[[#This Row],[_AlapShift]],WorkWeek,Holidays)))</f>
        <v/>
      </c>
      <c r="FA52" s="89" t="str">
        <f aca="false">IF(NOT(Tasks[[#This Row],[_IsLeaf]]=1),"",IF(Tasks[[#This Row],[_AlapShift]]=0,Tasks[[#This Row],[_LeafCalcFinish]],WORKDAY.INTL(Tasks[[#This Row],[_LeafCalcFinish]],Tasks[[#This Row],[_AlapShift]],WorkWeek,Holidays)))</f>
        <v/>
      </c>
      <c r="FB52" s="89" t="str">
        <f aca="false">IF(NOT(Tasks[[#This Row],[_IsLeaf]]=1),"",IF(Tasks[[#This Row],[_AlapShift]]=0,Tasks[[#This Row],[_LeafFcstStart]],WORKDAY.INTL(Tasks[[#This Row],[_LeafFcstStart]],Tasks[[#This Row],[_AlapShift]],WorkWeek,Holidays)))</f>
        <v/>
      </c>
      <c r="FC52" s="89" t="str">
        <f aca="false">IF(NOT(Tasks[[#This Row],[_IsLeaf]]=1),"",IF(Tasks[[#This Row],[_AlapShift]]=0,Tasks[[#This Row],[_LeafFcstFinish]],WORKDAY.INTL(Tasks[[#This Row],[_LeafFcstFinish]],Tasks[[#This Row],[_AlapShift]],WorkWeek,Holidays)))</f>
        <v/>
      </c>
      <c r="FD52" s="89" t="str">
        <f aca="false">IF(Tasks[[#This Row],[Task Name]]="","",IF(Tasks[[#This Row],[_IsSummary]],MIN(INDEX(Tasks[_ShownCalcStart],Tasks[[#This Row],[_Row]]+1):INDEX(Tasks[_ShownCalcStart],Tasks[[#This Row],[_Row]]+Tasks[[#This Row],[_Descendants]])),Tasks[[#This Row],[_ShownCalcStart]]))</f>
        <v/>
      </c>
      <c r="FE52" s="89" t="str">
        <f aca="false">IF(Tasks[[#This Row],[Task Name]]="","",IF(Tasks[[#This Row],[_IsSummary]],MAX(INDEX(Tasks[_ShownCalcFinish],Tasks[[#This Row],[_Row]]+1):INDEX(Tasks[_ShownCalcFinish],Tasks[[#This Row],[_Row]]+Tasks[[#This Row],[_Descendants]])),Tasks[[#This Row],[_ShownCalcFinish]]))</f>
        <v/>
      </c>
      <c r="FF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2" s="42" t="n">
        <f aca="false">IF(AND(Tasks[[#This Row],[_IsLeaf]]=1,Tasks[[#This Row],[_LeafTotalWork]]&gt;0),NETWORKDAYS.INTL(ProjectStart,Tasks[[#This Row],[_ShownFcstStart]],WorkWeek,Holidays),0)</f>
        <v>0</v>
      </c>
      <c r="FS52" s="42" t="n">
        <f aca="false">IF(AND(Tasks[[#This Row],[_IsLeaf]]=1,Tasks[[#This Row],[_LeafTotalWork]]&gt;0),MAX(Tasks[[#This Row],[_StartWorkday]],NETWORKDAYS.INTL(ProjectStart,Tasks[[#This Row],[_ShownFcstFinish]],WorkWeek,Holidays)),0)</f>
        <v>0</v>
      </c>
      <c r="FT52" s="42" t="n">
        <f aca="false">IF(AND(Tasks[[#This Row],[_IsLeaf]]=1,Tasks[[#This Row],[_LeafTotalWork]]&gt;0),Tasks[[#This Row],[_LeafWork]]/(Tasks[[#This Row],[_FinishWorkday]]-Tasks[[#This Row],[_StartWorkday]]+1),0)</f>
        <v>0</v>
      </c>
      <c r="FU52" s="42" t="n">
        <f aca="false">Tasks[[#This Row],[_WorkPerWorkday]]*(Tasks[[#This Row],[_StartWorkday]]-1)</f>
        <v>-0</v>
      </c>
      <c r="FV52" s="42" t="n">
        <f aca="false">IF(Tasks[[#This Row],[_IsLeaf]]=1,MAX(N(Tasks[[#This Row],[_Days]]),0.1),0)</f>
        <v>0</v>
      </c>
      <c r="FW52" s="42" t="n">
        <f aca="false">Tasks[[#This Row],[_WeightDur]]*Tasks[[#This Row],[_LeafProgress]]</f>
        <v>0</v>
      </c>
      <c r="FX52" s="42" t="n">
        <f aca="false">Tasks[[#This Row],[_WeightDur]]*Tasks[[#This Row],[_PlannedPct]]</f>
        <v>0</v>
      </c>
      <c r="FY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2" s="42" t="str">
        <f aca="false">IF(AND(Tasks[[#This Row],[_IsLeaf]]=1,N(Tasks[[#This Row],[_Days]])=0,Tasks[[#This Row],[_LeafProgress]]&lt;1),Tasks[[#This Row],[_ShownFcstFinish]]+Tasks[[#This Row],[_Row]]/100000,"")</f>
        <v/>
      </c>
      <c r="GA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2" s="42" t="str">
        <f aca="false">IF(Tasks[[#This Row],[Task Name]]="","",LEFT(Tasks[[#This Row],[WBS]],FIND(".",Tasks[[#This Row],[WBS]]&amp;".")-1))</f>
        <v/>
      </c>
      <c r="GC52" s="42" t="str">
        <f aca="false">IF(AND(Tasks[[#This Row],[Task Name]]&lt;&gt;"",Tasks[[#This Row],[_Level]]=1),Tasks[[#This Row],[_Row]],"")</f>
        <v/>
      </c>
      <c r="GD52" s="42" t="str">
        <f aca="false">IF(AND(Tasks[[#This Row],[_IsLeaf]]=1,N(Tasks[[#This Row],[_Days]])=0),Tasks[[#This Row],[Planned Finish]]+Tasks[[#This Row],[_Row]]/100000,"")</f>
        <v/>
      </c>
      <c r="GE52" s="42" t="str">
        <f aca="false">IF(AND(Tasks[[#This Row],[_IsLeaf]]=1,Tasks[[#This Row],[_LeafProgress]]&lt;1,OR(N(Tasks[[#This Row],[Finish Var]])&gt;0,Tasks[[#This Row],[Status]]="Late Start")),MAX(0,Tasks[[#This Row],[Finish Var]])+1-Tasks[[#This Row],[_Row]]/1000000,"")</f>
        <v/>
      </c>
      <c r="GF52" s="42" t="str">
        <f aca="false">IF(AND(Tasks[[#This Row],[_IsLeaf]]=1,N(Tasks[[#This Row],[Actual Start]])=0,Tasks[[#This Row],[_ShownFcstStart]]&gt;=StatusDate,Tasks[[#This Row],[_ShownFcstStart]]&lt;=LookaheadEnd),Tasks[[#This Row],[_ShownFcstStart]]+Tasks[[#This Row],[_Row]]/100000,"")</f>
        <v/>
      </c>
      <c r="GG52" s="42" t="str">
        <f aca="false">IF(AND(Tasks[[#This Row],[_IsLeaf]]=1,Tasks[[#This Row],[_LeafProgress]]&lt;1,Tasks[[#This Row],[_ShownFcstFinish]]&gt;=StatusDate,Tasks[[#This Row],[_ShownFcstFinish]]&lt;=LookaheadEnd),Tasks[[#This Row],[_ShownFcstFinish]]+Tasks[[#This Row],[_Row]]/100000,"")</f>
        <v/>
      </c>
      <c r="GH52" s="42" t="str">
        <f aca="false">IF(Tasks[[#This Row],[_LeafCritical]],Tasks[[#This Row],[_ShownFcstStart]]+Tasks[[#This Row],[_Row]]/100000,"")</f>
        <v/>
      </c>
      <c r="GI52" s="42" t="n">
        <f aca="false">Tasks[[#This Row],[_LeafWork]]*Tasks[[#This Row],[_LeafProgress]]</f>
        <v>0</v>
      </c>
      <c r="GJ52" s="89" t="str">
        <f aca="false">IF(AND(Tasks[[#This Row],[_IsLeaf]]=1,Tasks[[#This Row],[_LeafProgress]]&gt;=1),IF(N(Tasks[[#This Row],[Actual Finish]])&gt;0,Tasks[[#This Row],[Actual Finish]],Tasks[[#This Row],[_ShownFcstFinish]]),"")</f>
        <v/>
      </c>
      <c r="GK52" s="42" t="n">
        <f aca="false">IF(Tasks[[#This Row],[_IsLeaf]]=1,N(Tasks[[#This Row],[Story Points]]),0)</f>
        <v>0</v>
      </c>
      <c r="GL52" s="42" t="str">
        <f aca="false">""</f>
        <v/>
      </c>
      <c r="GM52" s="88" t="b">
        <f aca="false">IF(Tasks[[#This Row],[Task Name]]="",FALSE(),AND(Tasks[[#This Row],[_IsLeaf]]=1,N(Tasks[[#This Row],[_Days]])=0))</f>
        <v>0</v>
      </c>
      <c r="GN52" s="89" t="n">
        <f aca="false">IF(Tasks[[#This Row],[Task Name]]="",0,IF(AND(Tasks[[#This Row],[_IsLeaf]]=1,NOT(Tasks[[#This Row],[_IsMilestone]]),N(Tasks[[#This Row],[Progress]])&gt;0),Tasks[[#This Row],[Start]],0))</f>
        <v>0</v>
      </c>
      <c r="GO52" s="89" t="n">
        <f aca="false">IF(Tasks[[#This Row],[_DoneFrom]]=0,0,IF(Tasks[[#This Row],[Progress]]&gt;=1,Tasks[[#This Row],[Finish]],MAX(Tasks[[#This Row],[_DoneFrom]],Tasks[[#This Row],[Start]]+ROUND((Tasks[[#This Row],[Finish]]-Tasks[[#This Row],[Start]]+1)*Tasks[[#This Row],[Progress]],0)-1)))</f>
        <v>0</v>
      </c>
      <c r="GP52" s="89" t="n">
        <f aca="false">IF(Tasks[[#This Row],[Task Name]]="",0,IF(OR(NOT(Tasks[[#This Row],[_IsLeaf]]=1),Tasks[[#This Row],[_IsMilestone]],N(Tasks[[#This Row],[Progress]])&gt;=1),0,IF(Tasks[[#This Row],[_DoneTo]]&gt;0,Tasks[[#This Row],[_DoneTo]]+1,Tasks[[#This Row],[Start]])))</f>
        <v>0</v>
      </c>
      <c r="GQ52" s="89" t="n">
        <f aca="false">IF(Tasks[[#This Row],[_RemFrom]]=0,0,Tasks[[#This Row],[Finish]])</f>
        <v>0</v>
      </c>
      <c r="GR52" s="88" t="b">
        <f aca="false">IF(Tasks[[#This Row],[Task Name]]="",FALSE(),OR(NOT(BaselineSet),N(Tasks[[#This Row],[Baseline Start]])&gt;0))</f>
        <v>0</v>
      </c>
      <c r="GS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2" s="90" t="str">
        <f aca="false">IF(Tasks[[#This Row],[_IsLeaf]]=1,Tasks[[#This Row],[_Row]],"")</f>
        <v/>
      </c>
      <c r="GW52" s="90" t="str">
        <f aca="false">IFERROR(INDEX(Tasks[UID],SMALL(Tasks[_PickKey],Tasks[[#This Row],[_Row]]))&amp;" "&amp;INDEX(Tasks[Task Name],SMALL(Tasks[_PickKey],Tasks[[#This Row],[_Row]])),"")</f>
        <v/>
      </c>
      <c r="GX52" s="42" t="str">
        <f aca="false">IF(Tasks[[#This Row],[Task Name]]="","",IF(Tasks[[#This Row],[_IsSummary]],NETWORKDAYS.INTL(Tasks[[#This Row],[Start]],Tasks[[#This Row],[Finish]],WorkWeek,Holidays),N(Tasks[[#This Row],[_Days]])))</f>
        <v/>
      </c>
    </row>
    <row r="53" customFormat="false" ht="15" hidden="false" customHeight="false" outlineLevel="0" collapsed="false">
      <c r="A53" s="21" t="str">
        <f aca="false">IF(Tasks[[#This Row],[Task Name]]="","",COUNTA(Tasks[[#Headers],[Task Name]]:Tasks[[#This Row],[Task Name]])-1)</f>
        <v/>
      </c>
      <c r="B53" s="22" t="n">
        <v>61</v>
      </c>
      <c r="C53" s="22"/>
      <c r="D53" s="23"/>
      <c r="E53" s="22"/>
      <c r="F53" s="23"/>
      <c r="G53" s="22"/>
      <c r="H53" s="22"/>
      <c r="I53" s="23"/>
      <c r="J53" s="22"/>
      <c r="K53" s="22"/>
      <c r="L53" s="23"/>
      <c r="M53" s="22"/>
      <c r="N53" s="22"/>
      <c r="O53" s="23"/>
      <c r="P53" s="22"/>
      <c r="Q53" s="22"/>
      <c r="R53" s="23"/>
      <c r="S53" s="23"/>
      <c r="T53" s="83"/>
      <c r="U53" s="23"/>
      <c r="V53" s="83"/>
      <c r="W53" s="23"/>
      <c r="X53" s="83"/>
      <c r="Y53" s="23"/>
      <c r="Z53" s="83"/>
      <c r="AA53" s="23"/>
      <c r="AB53" s="23"/>
      <c r="AC53" s="7"/>
      <c r="AD53" s="7"/>
      <c r="AE53" s="62" t="str">
        <f aca="false">IF(Tasks[[#This Row],[Task Name]]="","",IF(Tasks[[#This Row],[_IsSummary]],MIN(INDEX(Tasks[_ShownFcstStart],Tasks[[#This Row],[_Row]]+1):INDEX(Tasks[_ShownFcstStart],Tasks[[#This Row],[_Row]]+Tasks[[#This Row],[_Descendants]])),Tasks[[#This Row],[_ShownFcstStart]]))</f>
        <v/>
      </c>
      <c r="AF53" s="62" t="str">
        <f aca="false">IF(Tasks[[#This Row],[Task Name]]="","",IF(Tasks[[#This Row],[_IsSummary]],MAX(INDEX(Tasks[_ShownFcstFinish],Tasks[[#This Row],[_Row]]+1):INDEX(Tasks[_ShownFcstFinish],Tasks[[#This Row],[_Row]]+Tasks[[#This Row],[_Descendants]])),Tasks[[#This Row],[_ShownFcstFinish]]))</f>
        <v/>
      </c>
      <c r="AG53" s="21" t="str">
        <f aca="false">""</f>
        <v/>
      </c>
      <c r="AH53" s="23"/>
      <c r="AI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3" s="7"/>
      <c r="AK53" s="22"/>
      <c r="AL53" s="23"/>
      <c r="AM53" s="7"/>
      <c r="AN53" s="46" t="str">
        <f aca="false">IF(Tasks[[#This Row],[Task Name]]="","",IF(Tasks[[#This Row],[Finish]]&gt;=Tasks[[#This Row],[Planned Finish]],NETWORKDAYS.INTL(Tasks[[#This Row],[Planned Finish]],Tasks[[#This Row],[Finish]],WorkWeek,Holidays)-1,1-NETWORKDAYS.INTL(Tasks[[#This Row],[Finish]],Tasks[[#This Row],[Planned Finish]],WorkWeek,Holidays)))</f>
        <v/>
      </c>
      <c r="AO53" s="21" t="str">
        <f aca="false">IF(Tasks[[#This Row],[Task Name]]="","",IF(Tasks[[#This Row],[Progress]]&gt;=1,"Complete",IF(OR(N(Tasks[[#This Row],[Actual Start]])&gt;0,Tasks[[#This Row],[Progress]]&gt;0),IF(Tasks[[#This Row],[Finish Var]]&gt;0,"Behind","In Progress"),IF(Tasks[[#This Row],[Planned Start]]&lt;StatusDate,"Late Start","Not Started"))))</f>
        <v/>
      </c>
      <c r="AP53" s="21" t="str">
        <f aca="false">IF(Tasks[[#This Row],[Task Name]]="","",IF(IF(Tasks[[#This Row],[_IsSummary]],COUNTIF(INDEX(Tasks[_LeafCritical],Tasks[[#This Row],[_Row]]+1):INDEX(Tasks[_LeafCritical],Tasks[[#This Row],[_Row]]+Tasks[[#This Row],[_Descendants]]),TRUE())&gt;0,Tasks[[#This Row],[_LeafCritical]]),"Yes",""))</f>
        <v/>
      </c>
      <c r="AQ53" s="62" t="str">
        <f aca="false">IF(Tasks[[#This Row],[Task Name]]="","",IF(N(Tasks[[#This Row],[Baseline Start]])&gt;0,Tasks[[#This Row],[Baseline Start]],Tasks[[#This Row],[_CalcStart]]))</f>
        <v/>
      </c>
      <c r="AR53" s="62" t="str">
        <f aca="false">IF(Tasks[[#This Row],[Task Name]]="","",IF(N(Tasks[[#This Row],[Baseline Finish]])&gt;0,Tasks[[#This Row],[Baseline Finish]],Tasks[[#This Row],[_CalcFinish]]))</f>
        <v/>
      </c>
      <c r="AS53" s="46" t="str">
        <f aca="false">IF(Tasks[[#This Row],[Task Name]]="","",IF(Tasks[[#This Row],[Start]]&gt;=Tasks[[#This Row],[Planned Start]],NETWORKDAYS.INTL(Tasks[[#This Row],[Planned Start]],Tasks[[#This Row],[Start]],WorkWeek,Holidays)-1,1-NETWORKDAYS.INTL(Tasks[[#This Row],[Start]],Tasks[[#This Row],[Planned Start]],WorkWeek,Holidays)))</f>
        <v/>
      </c>
      <c r="AT53" s="62" t="str">
        <f aca="false">IF(Tasks[[#This Row],[Task Name]]="","",IF(Tasks[[#This Row],[_IsSummary]],MIN(INDEX(Tasks[_LeafLateStart],Tasks[[#This Row],[_Row]]+1):INDEX(Tasks[_LeafLateStart],Tasks[[#This Row],[_Row]]+Tasks[[#This Row],[_Descendants]])),Tasks[[#This Row],[_LeafLateStart]]))</f>
        <v/>
      </c>
      <c r="AU53" s="62" t="str">
        <f aca="false">IF(Tasks[[#This Row],[Task Name]]="","",IF(Tasks[[#This Row],[_IsSummary]],MAX(INDEX(Tasks[_LeafLateFinish],Tasks[[#This Row],[_Row]]+1):INDEX(Tasks[_LeafLateFinish],Tasks[[#This Row],[_Row]]+Tasks[[#This Row],[_Descendants]])),Tasks[[#This Row],[_LeafLateFinish]]))</f>
        <v/>
      </c>
      <c r="AV53" s="46" t="str">
        <f aca="false">IF(Tasks[[#This Row],[Task Name]]="","",IF(Tasks[[#This Row],[_IsSummary]],MIN(INDEX(Tasks[_LeafTotalSlack],Tasks[[#This Row],[_Row]]+1):INDEX(Tasks[_LeafTotalSlack],Tasks[[#This Row],[_Row]]+Tasks[[#This Row],[_Descendants]])),Tasks[[#This Row],[_LeafTotalSlack]]))</f>
        <v/>
      </c>
      <c r="AW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4"/>
      <c r="BA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t="str">
        <f aca="false">IF(Tasks[[#This Row],[Task Name]]="","",IF(Tasks[[#This Row],[_Level]]&lt;=OutlineShowLevel,"Yes","No"))</f>
        <v/>
      </c>
      <c r="BE53" s="85" t="str">
        <f aca="false">IF(Tasks[[#This Row],[Task Name]]="","",IF(Tasks[[#This Row],[_IsSummary]],SUM(INDEX(Tasks[_LeafTotalWork],Tasks[[#This Row],[_Row]]+1):INDEX(Tasks[_LeafTotalWork],Tasks[[#This Row],[_Row]]+Tasks[[#This Row],[_Descendants]])),Tasks[[#This Row],[_LeafTotalWork]]))</f>
        <v/>
      </c>
      <c r="BF53" s="23"/>
      <c r="BG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t="str">
        <f aca="false">""</f>
        <v/>
      </c>
      <c r="BI53" s="86"/>
      <c r="BJ53" s="22"/>
      <c r="BK53" s="46" t="str">
        <f aca="false">IF(OR(Tasks[[#This Row],[Task Name]]="",Tasks[[#This Row],[Baseline Duration]]=""),"",Tasks[[#This Row],[_SpanDays]]-N(Tasks[[#This Row],[Baseline Duration]]))</f>
        <v/>
      </c>
      <c r="BL53" s="85" t="str">
        <f aca="false">IF(OR(Tasks[[#This Row],[Task Name]]="",Tasks[[#This Row],[Baseline Work]]=""),"",Tasks[[#This Row],[Work]]-N(Tasks[[#This Row],[Baseline Work]]))</f>
        <v/>
      </c>
      <c r="BM53" s="62" t="str">
        <f aca="false">IF(Tasks[[#This Row],[Task Name]]="","",IF(OR(TakeBaseline="Yes",N(Tasks[[#This Row],[Baseline Start]])=0),Tasks[[#This Row],[Start]],Tasks[[#This Row],[Baseline Start]]))</f>
        <v/>
      </c>
      <c r="BN53" s="62" t="str">
        <f aca="false">IF(Tasks[[#This Row],[Task Name]]="","",IF(OR(TakeBaseline="Yes",N(Tasks[[#This Row],[Baseline Finish]])=0),Tasks[[#This Row],[Finish]],Tasks[[#This Row],[Baseline Finish]]))</f>
        <v/>
      </c>
      <c r="BO53" s="21" t="str">
        <f aca="false">IF(Tasks[[#This Row],[Task Name]]="","",IF(OR(TakeBaseline="Yes",N(Tasks[[#This Row],[Baseline Duration]])=0),Tasks[[#This Row],[_SpanDays]],Tasks[[#This Row],[Baseline Duration]]))</f>
        <v/>
      </c>
      <c r="BP53" s="85" t="str">
        <f aca="false">IF(Tasks[[#This Row],[Task Name]]="","",IF(OR(TakeBaseline="Yes",N(Tasks[[#This Row],[Baseline Work]])=0),Tasks[[#This Row],[Work]],Tasks[[#This Row],[Baseline Work]]))</f>
        <v/>
      </c>
      <c r="BQ53" s="7"/>
      <c r="BR53" s="7"/>
      <c r="BS53" s="22"/>
      <c r="BT53" s="87"/>
      <c r="BU53" s="42" t="str">
        <f aca="false">IF(Tasks[[#This Row],[Task Name]]="","",MAX(1,N(Tasks[[#This Row],[Level]])))</f>
        <v/>
      </c>
      <c r="BV53" s="42" t="n">
        <f aca="false">ROW()-ROW(Tasks[[#Headers],[ID]])</f>
        <v>48</v>
      </c>
      <c r="BW53" s="42" t="n">
        <f aca="false">IF(OR(Tasks[[#This Row],[Task Name]]="",Tasks[[#This Row],[_Level]]&lt;=1),0,IFERROR(LOOKUP(2,1/(Tasks[[#Headers],[_Level]]:Tasks[[#This Row],[_Level]]=Tasks[[#This Row],[_Level]]-1),ROW(Tasks[[#Headers],[_Level]]:Tasks[[#This Row],[_Level]])),0))</f>
        <v>0</v>
      </c>
      <c r="BX53" s="42" t="n">
        <f aca="false">IFERROR(N(INDEX(Tasks[_Level],Tasks[[#This Row],[_Row]]+1)),0)</f>
        <v>0</v>
      </c>
      <c r="BY53" s="88" t="b">
        <f aca="false">AND(Tasks[[#This Row],[Task Name]]&lt;&gt;"",Tasks[[#This Row],[_NextLevel]]&gt;Tasks[[#This Row],[_Level]])</f>
        <v>0</v>
      </c>
      <c r="BZ53" s="42" t="n">
        <f aca="false">IF(Tasks[[#This Row],[_IsSummary]],COUNTIF(Tasks[WBS],Tasks[[#This Row],[WBS]]&amp;".*"),0)</f>
        <v>0</v>
      </c>
      <c r="CA53" s="42" t="n">
        <f aca="false">IF(AND(Tasks[[#This Row],[Task Name]]&lt;&gt;"",NOT(Tasks[[#This Row],[_IsSummary]])),1,0)</f>
        <v>0</v>
      </c>
      <c r="CB53" s="42" t="n">
        <f aca="false">IF(N(Tasks[[#This Row],[_Pred1UID]])=0,0,IFERROR(MATCH(Tasks[[#This Row],[_Pred1UID]],Tasks[UID],0),-1))</f>
        <v>0</v>
      </c>
      <c r="CC53" s="42" t="n">
        <f aca="false">IF(N(Tasks[[#This Row],[_Pred2UID]])=0,0,IFERROR(MATCH(Tasks[[#This Row],[_Pred2UID]],Tasks[UID],0),-1))</f>
        <v>0</v>
      </c>
      <c r="CD53" s="42" t="n">
        <f aca="false">IF(N(Tasks[[#This Row],[_Pred3UID]])=0,0,IFERROR(MATCH(Tasks[[#This Row],[_Pred3UID]],Tasks[UID],0),-1))</f>
        <v>0</v>
      </c>
      <c r="CE53" s="42" t="n">
        <f aca="false">IF(N(Tasks[[#This Row],[_Pred4UID]])=0,0,IFERROR(MATCH(Tasks[[#This Row],[_Pred4UID]],Tasks[UID],0),-1))</f>
        <v>0</v>
      </c>
      <c r="CF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3" s="89" t="n">
        <f aca="false">IF(OR(Tasks[[#This Row],[_ConstraintCode]]=2,Tasks[[#This Row],[_ConstraintCode]]=3,Tasks[[#This Row],[_ConstraintCode]]=4,Tasks[[#This Row],[_ConstraintCode]]=6),Tasks[[#This Row],[_ConstraintStart]],0)</f>
        <v>0</v>
      </c>
      <c r="CI53" s="89" t="n">
        <f aca="false">IF(OR(Tasks[[#This Row],[_ConstraintCode]]=2,Tasks[[#This Row],[_ConstraintCode]]=3,Tasks[[#This Row],[_ConstraintCode]]=5,Tasks[[#This Row],[_ConstraintCode]]=7),Tasks[[#This Row],[_ConstraintStart]],2958465)</f>
        <v>2958465</v>
      </c>
      <c r="CJ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3" s="89" t="str">
        <f aca="false">IF(NOT(Tasks[[#This Row],[_IsLeaf]]=1),"",IF(N(Tasks[[#This Row],[_Days]])&lt;=0,Tasks[[#This Row],[_LeafCalcStart]],WORKDAY.INTL(Tasks[[#This Row],[_LeafCalcStart]],Tasks[[#This Row],[_Days]]-1,WorkWeek,Holidays)))</f>
        <v/>
      </c>
      <c r="CL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3" s="42" t="str">
        <f aca="false">IF(Tasks[[#This Row],[_Predecessors]]="","",TRIM(MID(SUBSTITUTE(SUBSTITUTE(SUBSTITUTE(UPPER(Tasks[[#This Row],[_Predecessors]]),";",",")," ",""),",",REPT(" ",99)),1,99)))</f>
        <v/>
      </c>
      <c r="CO53" s="42" t="str">
        <f aca="false">IF(Tasks[[#This Row],[_Pred1Text]]="","",IFERROR(VALUE(LEFT(Tasks[[#This Row],[_Pred1Text]],MIN(FIND("F",Tasks[[#This Row],[_Pred1Text]]&amp;"F"),FIND("S",Tasks[[#This Row],[_Pred1Text]]&amp;"S"),FIND("+",Tasks[[#This Row],[_Pred1Text]]&amp;"+"),FIND("-",Tasks[[#This Row],[_Pred1Text]]&amp;"-"))-1)),""))</f>
        <v/>
      </c>
      <c r="CP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3" s="42" t="str">
        <f aca="false">IF(Tasks[[#This Row],[_Pred1Text]]="","",TRIM(MID(SUBSTITUTE(SUBSTITUTE(SUBSTITUTE(UPPER(Tasks[[#This Row],[_Predecessors]]),";",",")," ",""),",",REPT(" ",99)),100,99)))</f>
        <v/>
      </c>
      <c r="CS53" s="42" t="str">
        <f aca="false">IF(Tasks[[#This Row],[_Pred2Text]]="","",IFERROR(VALUE(LEFT(Tasks[[#This Row],[_Pred2Text]],MIN(FIND("F",Tasks[[#This Row],[_Pred2Text]]&amp;"F"),FIND("S",Tasks[[#This Row],[_Pred2Text]]&amp;"S"),FIND("+",Tasks[[#This Row],[_Pred2Text]]&amp;"+"),FIND("-",Tasks[[#This Row],[_Pred2Text]]&amp;"-"))-1)),""))</f>
        <v/>
      </c>
      <c r="CT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3" s="42" t="str">
        <f aca="false">IF(Tasks[[#This Row],[_Pred2Text]]="","",TRIM(MID(SUBSTITUTE(SUBSTITUTE(SUBSTITUTE(UPPER(Tasks[[#This Row],[_Predecessors]]),";",",")," ",""),",",REPT(" ",99)),199,99)))</f>
        <v/>
      </c>
      <c r="CW53" s="42" t="str">
        <f aca="false">IF(Tasks[[#This Row],[_Pred3Text]]="","",IFERROR(VALUE(LEFT(Tasks[[#This Row],[_Pred3Text]],MIN(FIND("F",Tasks[[#This Row],[_Pred3Text]]&amp;"F"),FIND("S",Tasks[[#This Row],[_Pred3Text]]&amp;"S"),FIND("+",Tasks[[#This Row],[_Pred3Text]]&amp;"+"),FIND("-",Tasks[[#This Row],[_Pred3Text]]&amp;"-"))-1)),""))</f>
        <v/>
      </c>
      <c r="CX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3" s="42" t="str">
        <f aca="false">IF(Tasks[[#This Row],[_Pred3Text]]="","",TRIM(MID(SUBSTITUTE(SUBSTITUTE(SUBSTITUTE(UPPER(Tasks[[#This Row],[_Predecessors]]),";",",")," ",""),",",REPT(" ",99)),298,99)))</f>
        <v/>
      </c>
      <c r="DA53" s="42" t="str">
        <f aca="false">IF(Tasks[[#This Row],[_Pred4Text]]="","",IFERROR(VALUE(LEFT(Tasks[[#This Row],[_Pred4Text]],MIN(FIND("F",Tasks[[#This Row],[_Pred4Text]]&amp;"F"),FIND("S",Tasks[[#This Row],[_Pred4Text]]&amp;"S"),FIND("+",Tasks[[#This Row],[_Pred4Text]]&amp;"+"),FIND("-",Tasks[[#This Row],[_Pred4Text]]&amp;"-"))-1)),""))</f>
        <v/>
      </c>
      <c r="DB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3" s="42" t="str">
        <f aca="false">IF(OR(Tasks[[#This Row],[Task Name]]="",Tasks[[#This Row],[_Resources]]=""),"",TRIM(MID(SUBSTITUTE(Tasks[[#This Row],[_Resources]],",",REPT(" ",99)),1,99)))</f>
        <v/>
      </c>
      <c r="DE53" s="42" t="str">
        <f aca="false">IF(Tasks[[#This Row],[_Res1Text]]="","",TRIM(MID(SUBSTITUTE(Tasks[[#This Row],[_Resources]],",",REPT(" ",99)),100,99)))</f>
        <v/>
      </c>
      <c r="DF53" s="42" t="str">
        <f aca="false">IF(Tasks[[#This Row],[_Res2Text]]="","",TRIM(MID(SUBSTITUTE(Tasks[[#This Row],[_Resources]],",",REPT(" ",99)),199,99)))</f>
        <v/>
      </c>
      <c r="DG53" s="42" t="str">
        <f aca="false">IF(Tasks[[#This Row],[_Res3Text]]="","",TRIM(MID(SUBSTITUTE(Tasks[[#This Row],[_Resources]],",",REPT(" ",99)),298,99)))</f>
        <v/>
      </c>
      <c r="DH53" s="42" t="n">
        <f aca="false">IF(Tasks[[#This Row],[_Res1Text]]="",0,IFERROR(MATCH(TRIM(LEFT(Tasks[[#This Row],[_Res1Text]],FIND("[",Tasks[[#This Row],[_Res1Text]]&amp;"[")-1)),res_Name,0),IFERROR(MATCH(TRIM(LEFT(Tasks[[#This Row],[_Res1Text]],FIND("[",Tasks[[#This Row],[_Res1Text]]&amp;"[")-1)),res_Initials,0),0)))</f>
        <v>0</v>
      </c>
      <c r="DI53" s="42" t="n">
        <f aca="false">IF(Tasks[[#This Row],[_Res2Text]]="",0,IFERROR(MATCH(TRIM(LEFT(Tasks[[#This Row],[_Res2Text]],FIND("[",Tasks[[#This Row],[_Res2Text]]&amp;"[")-1)),res_Name,0),IFERROR(MATCH(TRIM(LEFT(Tasks[[#This Row],[_Res2Text]],FIND("[",Tasks[[#This Row],[_Res2Text]]&amp;"[")-1)),res_Initials,0),0)))</f>
        <v>0</v>
      </c>
      <c r="DJ53" s="42" t="n">
        <f aca="false">IF(Tasks[[#This Row],[_Res3Text]]="",0,IFERROR(MATCH(TRIM(LEFT(Tasks[[#This Row],[_Res3Text]],FIND("[",Tasks[[#This Row],[_Res3Text]]&amp;"[")-1)),res_Name,0),IFERROR(MATCH(TRIM(LEFT(Tasks[[#This Row],[_Res3Text]],FIND("[",Tasks[[#This Row],[_Res3Text]]&amp;"[")-1)),res_Initials,0),0)))</f>
        <v>0</v>
      </c>
      <c r="DK53" s="42" t="n">
        <f aca="false">IF(Tasks[[#This Row],[_Res4Text]]="",0,IFERROR(MATCH(TRIM(LEFT(Tasks[[#This Row],[_Res4Text]],FIND("[",Tasks[[#This Row],[_Res4Text]]&amp;"[")-1)),res_Name,0),IFERROR(MATCH(TRIM(LEFT(Tasks[[#This Row],[_Res4Text]],FIND("[",Tasks[[#This Row],[_Res4Text]]&amp;"[")-1)),res_Initials,0),0)))</f>
        <v>0</v>
      </c>
      <c r="DL53" s="42" t="str">
        <f aca="false">IF(Tasks[[#This Row],[_Res1Text]]="","",IF(Tasks[[#This Row],[_Res1Row]]&gt;0,INDEX(res_Name,Tasks[[#This Row],[_Res1Row]]),TRIM(LEFT(Tasks[[#This Row],[_Res1Text]],FIND("[",Tasks[[#This Row],[_Res1Text]]&amp;"[")-1))))</f>
        <v/>
      </c>
      <c r="DM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3" s="42" t="n">
        <f aca="false">IF(NOT(Tasks[[#This Row],[_IsLeaf]]=1),0,(Tasks[[#This Row],[_Resource1]]&lt;&gt;"")+(Tasks[[#This Row],[_Res2]]&lt;&gt;"")+(Tasks[[#This Row],[_Res3]]&lt;&gt;"")+(Tasks[[#This Row],[_Res4]]&lt;&gt;""))</f>
        <v>0</v>
      </c>
      <c r="DO53" s="42" t="str">
        <f aca="false">IF(Tasks[[#This Row],[_Res2Text]]="","",IF(Tasks[[#This Row],[_Res2Row]]&gt;0,INDEX(res_Name,Tasks[[#This Row],[_Res2Row]]),TRIM(LEFT(Tasks[[#This Row],[_Res2Text]],FIND("[",Tasks[[#This Row],[_Res2Text]]&amp;"[")-1))))</f>
        <v/>
      </c>
      <c r="DP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3" s="42" t="n">
        <f aca="false">IF(OR(NOT(Tasks[[#This Row],[_IsLeaf]]=1),Tasks[[#This Row],[_Res2Row]]=0),0,N(Tasks[[#This Row],[_Days]])*HoursPerDay*IF(Tasks[[#This Row],[_Res2Units]]="",DefaultUnits,Tasks[[#This Row],[_Res2Units]]))</f>
        <v>0</v>
      </c>
      <c r="DR53" s="42" t="n">
        <f aca="false">IF(AND(AND(Tasks[[#This Row],[_IsLeaf]]=1,Tasks[[#This Row],[_LeafTotalWork]]&gt;0),Tasks[[#This Row],[_Res2Work]]&gt;0),Tasks[[#This Row],[_Res2Work]]/(Tasks[[#This Row],[_FinishWorkday]]-Tasks[[#This Row],[_StartWorkday]]+1),0)</f>
        <v>0</v>
      </c>
      <c r="DS53" s="42" t="n">
        <f aca="false">Tasks[[#This Row],[_Res2WorkPerWD]]*MAX(0,Tasks[[#This Row],[_StartWorkday]]-1)</f>
        <v>0</v>
      </c>
      <c r="DT53" s="42" t="n">
        <f aca="false">Tasks[[#This Row],[_Res2Work]]*Tasks[[#This Row],[_LeafProgress]]</f>
        <v>0</v>
      </c>
      <c r="DU53" s="42" t="str">
        <f aca="false">IF(Tasks[[#This Row],[_Res3Text]]="","",IF(Tasks[[#This Row],[_Res3Row]]&gt;0,INDEX(res_Name,Tasks[[#This Row],[_Res3Row]]),TRIM(LEFT(Tasks[[#This Row],[_Res3Text]],FIND("[",Tasks[[#This Row],[_Res3Text]]&amp;"[")-1))))</f>
        <v/>
      </c>
      <c r="DV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3" s="42" t="n">
        <f aca="false">IF(OR(NOT(Tasks[[#This Row],[_IsLeaf]]=1),Tasks[[#This Row],[_Res3Row]]=0),0,N(Tasks[[#This Row],[_Days]])*HoursPerDay*IF(Tasks[[#This Row],[_Res3Units]]="",DefaultUnits,Tasks[[#This Row],[_Res3Units]]))</f>
        <v>0</v>
      </c>
      <c r="DX53" s="42" t="n">
        <f aca="false">IF(AND(AND(Tasks[[#This Row],[_IsLeaf]]=1,Tasks[[#This Row],[_LeafTotalWork]]&gt;0),Tasks[[#This Row],[_Res3Work]]&gt;0),Tasks[[#This Row],[_Res3Work]]/(Tasks[[#This Row],[_FinishWorkday]]-Tasks[[#This Row],[_StartWorkday]]+1),0)</f>
        <v>0</v>
      </c>
      <c r="DY53" s="42" t="n">
        <f aca="false">Tasks[[#This Row],[_Res3WorkPerWD]]*MAX(0,Tasks[[#This Row],[_StartWorkday]]-1)</f>
        <v>0</v>
      </c>
      <c r="DZ53" s="42" t="n">
        <f aca="false">Tasks[[#This Row],[_Res3Work]]*Tasks[[#This Row],[_LeafProgress]]</f>
        <v>0</v>
      </c>
      <c r="EA53" s="42" t="str">
        <f aca="false">IF(Tasks[[#This Row],[_Res4Text]]="","",IF(Tasks[[#This Row],[_Res4Row]]&gt;0,INDEX(res_Name,Tasks[[#This Row],[_Res4Row]]),TRIM(LEFT(Tasks[[#This Row],[_Res4Text]],FIND("[",Tasks[[#This Row],[_Res4Text]]&amp;"[")-1))))</f>
        <v/>
      </c>
      <c r="EB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3" s="42" t="n">
        <f aca="false">IF(OR(NOT(Tasks[[#This Row],[_IsLeaf]]=1),Tasks[[#This Row],[_Res4Row]]=0),0,N(Tasks[[#This Row],[_Days]])*HoursPerDay*IF(Tasks[[#This Row],[_Res4Units]]="",DefaultUnits,Tasks[[#This Row],[_Res4Units]]))</f>
        <v>0</v>
      </c>
      <c r="ED53" s="42" t="n">
        <f aca="false">IF(AND(AND(Tasks[[#This Row],[_IsLeaf]]=1,Tasks[[#This Row],[_LeafTotalWork]]&gt;0),Tasks[[#This Row],[_Res4Work]]&gt;0),Tasks[[#This Row],[_Res4Work]]/(Tasks[[#This Row],[_FinishWorkday]]-Tasks[[#This Row],[_StartWorkday]]+1),0)</f>
        <v>0</v>
      </c>
      <c r="EE53" s="42" t="n">
        <f aca="false">Tasks[[#This Row],[_Res4WorkPerWD]]*MAX(0,Tasks[[#This Row],[_StartWorkday]]-1)</f>
        <v>0</v>
      </c>
      <c r="EF53" s="42" t="n">
        <f aca="false">Tasks[[#This Row],[_Res4Work]]*Tasks[[#This Row],[_LeafProgress]]</f>
        <v>0</v>
      </c>
      <c r="EG53" s="42" t="n">
        <f aca="false">IF(ISNUMBER(Tasks[[#This Row],[% Complete]]),Tasks[[#This Row],[% Complete]],IF(Tasks[[#This Row],[Stage]]="",0,IFERROR(INDEX(stg_Pct,MATCH(Tasks[[#This Row],[Stage]],stg_Name,0)),0)))</f>
        <v>0</v>
      </c>
      <c r="EH53" s="42" t="n">
        <f aca="false">IF(NOT(Tasks[[#This Row],[_IsLeaf]]=1),0,IF(N(Tasks[[#This Row],[Actual Finish]])&gt;0,1,MIN(1,Tasks[[#This Row],[_Pct]])))</f>
        <v>0</v>
      </c>
      <c r="EI53" s="42" t="n">
        <f aca="false">IF(OR(NOT(Tasks[[#This Row],[_IsLeaf]]=1),Tasks[[#This Row],[_Res1Row]]=0),0,N(Tasks[[#This Row],[_Days]])*HoursPerDay*IF(Tasks[[#This Row],[_Units1]]="",DefaultUnits,Tasks[[#This Row],[_Units1]]))</f>
        <v>0</v>
      </c>
      <c r="EJ53" s="42" t="n">
        <f aca="false">Tasks[[#This Row],[_LeafWork]]+Tasks[[#This Row],[_Res2Work]]+Tasks[[#This Row],[_Res3Work]]+Tasks[[#This Row],[_Res4Work]]</f>
        <v>0</v>
      </c>
      <c r="EK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3" s="42" t="n">
        <f aca="false">IF(NOT(Tasks[[#This Row],[_IsLeaf]]=1),0,MAX(_xlfn.MAXIFS(Tasks[_Row],Tasks[_Pred1UID],Tasks[[#This Row],[UID]]),_xlfn.MAXIFS(Tasks[_Row],Tasks[_Pred2UID],Tasks[[#This Row],[UID]]),_xlfn.MAXIFS(Tasks[_Row],Tasks[_Pred3UID],Tasks[[#This Row],[UID]]),_xlfn.MAXIFS(Tasks[_Row],Tasks[_Pred4UID],Tasks[[#This Row],[UID]])))</f>
        <v>0</v>
      </c>
      <c r="ET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3" s="89" t="str">
        <f aca="false">IF(NOT(Tasks[[#This Row],[_IsLeaf]]=1),"",IF(N(Tasks[[#This Row],[_Days]])&lt;=0,Tasks[[#This Row],[_LeafLateFinish]],WORKDAY.INTL(Tasks[[#This Row],[_LeafLateFinish]],-(Tasks[[#This Row],[_Days]]-1),WorkWeek,Holidays)))</f>
        <v/>
      </c>
      <c r="EW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3" s="88" t="b">
        <f aca="false">AND(Tasks[[#This Row],[_IsLeaf]]=1,Tasks[[#This Row],[_LeafProgress]]&lt;1,N(Tasks[[#This Row],[_LeafTotalSlack]])&lt;=CriticalSlackDays)</f>
        <v>0</v>
      </c>
      <c r="EY53" s="42" t="n">
        <f aca="false">IF(AND(Tasks[[#This Row],[_IsLeaf]]=1,Tasks[[#This Row],[_ConstraintCode]]=1,Tasks[[#This Row],[Mode]]&lt;&gt;"Manual",N(Tasks[[#This Row],[Actual Start]])=0),MAX(0,N(Tasks[[#This Row],[Free Slack]])),0)</f>
        <v>0</v>
      </c>
      <c r="EZ53" s="89" t="str">
        <f aca="false">IF(NOT(Tasks[[#This Row],[_IsLeaf]]=1),"",IF(Tasks[[#This Row],[_AlapShift]]=0,Tasks[[#This Row],[_LeafCalcStart]],WORKDAY.INTL(Tasks[[#This Row],[_LeafCalcStart]],Tasks[[#This Row],[_AlapShift]],WorkWeek,Holidays)))</f>
        <v/>
      </c>
      <c r="FA53" s="89" t="str">
        <f aca="false">IF(NOT(Tasks[[#This Row],[_IsLeaf]]=1),"",IF(Tasks[[#This Row],[_AlapShift]]=0,Tasks[[#This Row],[_LeafCalcFinish]],WORKDAY.INTL(Tasks[[#This Row],[_LeafCalcFinish]],Tasks[[#This Row],[_AlapShift]],WorkWeek,Holidays)))</f>
        <v/>
      </c>
      <c r="FB53" s="89" t="str">
        <f aca="false">IF(NOT(Tasks[[#This Row],[_IsLeaf]]=1),"",IF(Tasks[[#This Row],[_AlapShift]]=0,Tasks[[#This Row],[_LeafFcstStart]],WORKDAY.INTL(Tasks[[#This Row],[_LeafFcstStart]],Tasks[[#This Row],[_AlapShift]],WorkWeek,Holidays)))</f>
        <v/>
      </c>
      <c r="FC53" s="89" t="str">
        <f aca="false">IF(NOT(Tasks[[#This Row],[_IsLeaf]]=1),"",IF(Tasks[[#This Row],[_AlapShift]]=0,Tasks[[#This Row],[_LeafFcstFinish]],WORKDAY.INTL(Tasks[[#This Row],[_LeafFcstFinish]],Tasks[[#This Row],[_AlapShift]],WorkWeek,Holidays)))</f>
        <v/>
      </c>
      <c r="FD53" s="89" t="str">
        <f aca="false">IF(Tasks[[#This Row],[Task Name]]="","",IF(Tasks[[#This Row],[_IsSummary]],MIN(INDEX(Tasks[_ShownCalcStart],Tasks[[#This Row],[_Row]]+1):INDEX(Tasks[_ShownCalcStart],Tasks[[#This Row],[_Row]]+Tasks[[#This Row],[_Descendants]])),Tasks[[#This Row],[_ShownCalcStart]]))</f>
        <v/>
      </c>
      <c r="FE53" s="89" t="str">
        <f aca="false">IF(Tasks[[#This Row],[Task Name]]="","",IF(Tasks[[#This Row],[_IsSummary]],MAX(INDEX(Tasks[_ShownCalcFinish],Tasks[[#This Row],[_Row]]+1):INDEX(Tasks[_ShownCalcFinish],Tasks[[#This Row],[_Row]]+Tasks[[#This Row],[_Descendants]])),Tasks[[#This Row],[_ShownCalcFinish]]))</f>
        <v/>
      </c>
      <c r="FF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3" s="42" t="n">
        <f aca="false">IF(AND(Tasks[[#This Row],[_IsLeaf]]=1,Tasks[[#This Row],[_LeafTotalWork]]&gt;0),NETWORKDAYS.INTL(ProjectStart,Tasks[[#This Row],[_ShownFcstStart]],WorkWeek,Holidays),0)</f>
        <v>0</v>
      </c>
      <c r="FS53" s="42" t="n">
        <f aca="false">IF(AND(Tasks[[#This Row],[_IsLeaf]]=1,Tasks[[#This Row],[_LeafTotalWork]]&gt;0),MAX(Tasks[[#This Row],[_StartWorkday]],NETWORKDAYS.INTL(ProjectStart,Tasks[[#This Row],[_ShownFcstFinish]],WorkWeek,Holidays)),0)</f>
        <v>0</v>
      </c>
      <c r="FT53" s="42" t="n">
        <f aca="false">IF(AND(Tasks[[#This Row],[_IsLeaf]]=1,Tasks[[#This Row],[_LeafTotalWork]]&gt;0),Tasks[[#This Row],[_LeafWork]]/(Tasks[[#This Row],[_FinishWorkday]]-Tasks[[#This Row],[_StartWorkday]]+1),0)</f>
        <v>0</v>
      </c>
      <c r="FU53" s="42" t="n">
        <f aca="false">Tasks[[#This Row],[_WorkPerWorkday]]*(Tasks[[#This Row],[_StartWorkday]]-1)</f>
        <v>-0</v>
      </c>
      <c r="FV53" s="42" t="n">
        <f aca="false">IF(Tasks[[#This Row],[_IsLeaf]]=1,MAX(N(Tasks[[#This Row],[_Days]]),0.1),0)</f>
        <v>0</v>
      </c>
      <c r="FW53" s="42" t="n">
        <f aca="false">Tasks[[#This Row],[_WeightDur]]*Tasks[[#This Row],[_LeafProgress]]</f>
        <v>0</v>
      </c>
      <c r="FX53" s="42" t="n">
        <f aca="false">Tasks[[#This Row],[_WeightDur]]*Tasks[[#This Row],[_PlannedPct]]</f>
        <v>0</v>
      </c>
      <c r="FY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3" s="42" t="str">
        <f aca="false">IF(AND(Tasks[[#This Row],[_IsLeaf]]=1,N(Tasks[[#This Row],[_Days]])=0,Tasks[[#This Row],[_LeafProgress]]&lt;1),Tasks[[#This Row],[_ShownFcstFinish]]+Tasks[[#This Row],[_Row]]/100000,"")</f>
        <v/>
      </c>
      <c r="GA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3" s="42" t="str">
        <f aca="false">IF(Tasks[[#This Row],[Task Name]]="","",LEFT(Tasks[[#This Row],[WBS]],FIND(".",Tasks[[#This Row],[WBS]]&amp;".")-1))</f>
        <v/>
      </c>
      <c r="GC53" s="42" t="str">
        <f aca="false">IF(AND(Tasks[[#This Row],[Task Name]]&lt;&gt;"",Tasks[[#This Row],[_Level]]=1),Tasks[[#This Row],[_Row]],"")</f>
        <v/>
      </c>
      <c r="GD53" s="42" t="str">
        <f aca="false">IF(AND(Tasks[[#This Row],[_IsLeaf]]=1,N(Tasks[[#This Row],[_Days]])=0),Tasks[[#This Row],[Planned Finish]]+Tasks[[#This Row],[_Row]]/100000,"")</f>
        <v/>
      </c>
      <c r="GE53" s="42" t="str">
        <f aca="false">IF(AND(Tasks[[#This Row],[_IsLeaf]]=1,Tasks[[#This Row],[_LeafProgress]]&lt;1,OR(N(Tasks[[#This Row],[Finish Var]])&gt;0,Tasks[[#This Row],[Status]]="Late Start")),MAX(0,Tasks[[#This Row],[Finish Var]])+1-Tasks[[#This Row],[_Row]]/1000000,"")</f>
        <v/>
      </c>
      <c r="GF53" s="42" t="str">
        <f aca="false">IF(AND(Tasks[[#This Row],[_IsLeaf]]=1,N(Tasks[[#This Row],[Actual Start]])=0,Tasks[[#This Row],[_ShownFcstStart]]&gt;=StatusDate,Tasks[[#This Row],[_ShownFcstStart]]&lt;=LookaheadEnd),Tasks[[#This Row],[_ShownFcstStart]]+Tasks[[#This Row],[_Row]]/100000,"")</f>
        <v/>
      </c>
      <c r="GG53" s="42" t="str">
        <f aca="false">IF(AND(Tasks[[#This Row],[_IsLeaf]]=1,Tasks[[#This Row],[_LeafProgress]]&lt;1,Tasks[[#This Row],[_ShownFcstFinish]]&gt;=StatusDate,Tasks[[#This Row],[_ShownFcstFinish]]&lt;=LookaheadEnd),Tasks[[#This Row],[_ShownFcstFinish]]+Tasks[[#This Row],[_Row]]/100000,"")</f>
        <v/>
      </c>
      <c r="GH53" s="42" t="str">
        <f aca="false">IF(Tasks[[#This Row],[_LeafCritical]],Tasks[[#This Row],[_ShownFcstStart]]+Tasks[[#This Row],[_Row]]/100000,"")</f>
        <v/>
      </c>
      <c r="GI53" s="42" t="n">
        <f aca="false">Tasks[[#This Row],[_LeafWork]]*Tasks[[#This Row],[_LeafProgress]]</f>
        <v>0</v>
      </c>
      <c r="GJ53" s="89" t="str">
        <f aca="false">IF(AND(Tasks[[#This Row],[_IsLeaf]]=1,Tasks[[#This Row],[_LeafProgress]]&gt;=1),IF(N(Tasks[[#This Row],[Actual Finish]])&gt;0,Tasks[[#This Row],[Actual Finish]],Tasks[[#This Row],[_ShownFcstFinish]]),"")</f>
        <v/>
      </c>
      <c r="GK53" s="42" t="n">
        <f aca="false">IF(Tasks[[#This Row],[_IsLeaf]]=1,N(Tasks[[#This Row],[Story Points]]),0)</f>
        <v>0</v>
      </c>
      <c r="GL53" s="42" t="str">
        <f aca="false">""</f>
        <v/>
      </c>
      <c r="GM53" s="88" t="b">
        <f aca="false">IF(Tasks[[#This Row],[Task Name]]="",FALSE(),AND(Tasks[[#This Row],[_IsLeaf]]=1,N(Tasks[[#This Row],[_Days]])=0))</f>
        <v>0</v>
      </c>
      <c r="GN53" s="89" t="n">
        <f aca="false">IF(Tasks[[#This Row],[Task Name]]="",0,IF(AND(Tasks[[#This Row],[_IsLeaf]]=1,NOT(Tasks[[#This Row],[_IsMilestone]]),N(Tasks[[#This Row],[Progress]])&gt;0),Tasks[[#This Row],[Start]],0))</f>
        <v>0</v>
      </c>
      <c r="GO53" s="89" t="n">
        <f aca="false">IF(Tasks[[#This Row],[_DoneFrom]]=0,0,IF(Tasks[[#This Row],[Progress]]&gt;=1,Tasks[[#This Row],[Finish]],MAX(Tasks[[#This Row],[_DoneFrom]],Tasks[[#This Row],[Start]]+ROUND((Tasks[[#This Row],[Finish]]-Tasks[[#This Row],[Start]]+1)*Tasks[[#This Row],[Progress]],0)-1)))</f>
        <v>0</v>
      </c>
      <c r="GP53" s="89" t="n">
        <f aca="false">IF(Tasks[[#This Row],[Task Name]]="",0,IF(OR(NOT(Tasks[[#This Row],[_IsLeaf]]=1),Tasks[[#This Row],[_IsMilestone]],N(Tasks[[#This Row],[Progress]])&gt;=1),0,IF(Tasks[[#This Row],[_DoneTo]]&gt;0,Tasks[[#This Row],[_DoneTo]]+1,Tasks[[#This Row],[Start]])))</f>
        <v>0</v>
      </c>
      <c r="GQ53" s="89" t="n">
        <f aca="false">IF(Tasks[[#This Row],[_RemFrom]]=0,0,Tasks[[#This Row],[Finish]])</f>
        <v>0</v>
      </c>
      <c r="GR53" s="88" t="b">
        <f aca="false">IF(Tasks[[#This Row],[Task Name]]="",FALSE(),OR(NOT(BaselineSet),N(Tasks[[#This Row],[Baseline Start]])&gt;0))</f>
        <v>0</v>
      </c>
      <c r="GS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3" s="90" t="str">
        <f aca="false">IF(Tasks[[#This Row],[_IsLeaf]]=1,Tasks[[#This Row],[_Row]],"")</f>
        <v/>
      </c>
      <c r="GW53" s="90" t="str">
        <f aca="false">IFERROR(INDEX(Tasks[UID],SMALL(Tasks[_PickKey],Tasks[[#This Row],[_Row]]))&amp;" "&amp;INDEX(Tasks[Task Name],SMALL(Tasks[_PickKey],Tasks[[#This Row],[_Row]])),"")</f>
        <v/>
      </c>
      <c r="GX53" s="42" t="str">
        <f aca="false">IF(Tasks[[#This Row],[Task Name]]="","",IF(Tasks[[#This Row],[_IsSummary]],NETWORKDAYS.INTL(Tasks[[#This Row],[Start]],Tasks[[#This Row],[Finish]],WorkWeek,Holidays),N(Tasks[[#This Row],[_Days]])))</f>
        <v/>
      </c>
    </row>
    <row r="54" customFormat="false" ht="15" hidden="false" customHeight="false" outlineLevel="0" collapsed="false">
      <c r="A54" s="21" t="str">
        <f aca="false">IF(Tasks[[#This Row],[Task Name]]="","",COUNTA(Tasks[[#Headers],[Task Name]]:Tasks[[#This Row],[Task Name]])-1)</f>
        <v/>
      </c>
      <c r="B54" s="22" t="n">
        <v>62</v>
      </c>
      <c r="C54" s="22"/>
      <c r="D54" s="23"/>
      <c r="E54" s="22"/>
      <c r="F54" s="23"/>
      <c r="G54" s="22"/>
      <c r="H54" s="22"/>
      <c r="I54" s="23"/>
      <c r="J54" s="22"/>
      <c r="K54" s="22"/>
      <c r="L54" s="23"/>
      <c r="M54" s="22"/>
      <c r="N54" s="22"/>
      <c r="O54" s="23"/>
      <c r="P54" s="22"/>
      <c r="Q54" s="22"/>
      <c r="R54" s="23"/>
      <c r="S54" s="23"/>
      <c r="T54" s="83"/>
      <c r="U54" s="23"/>
      <c r="V54" s="83"/>
      <c r="W54" s="23"/>
      <c r="X54" s="83"/>
      <c r="Y54" s="23"/>
      <c r="Z54" s="83"/>
      <c r="AA54" s="23"/>
      <c r="AB54" s="23"/>
      <c r="AC54" s="7"/>
      <c r="AD54" s="7"/>
      <c r="AE54" s="62" t="str">
        <f aca="false">IF(Tasks[[#This Row],[Task Name]]="","",IF(Tasks[[#This Row],[_IsSummary]],MIN(INDEX(Tasks[_ShownFcstStart],Tasks[[#This Row],[_Row]]+1):INDEX(Tasks[_ShownFcstStart],Tasks[[#This Row],[_Row]]+Tasks[[#This Row],[_Descendants]])),Tasks[[#This Row],[_ShownFcstStart]]))</f>
        <v/>
      </c>
      <c r="AF54" s="62" t="str">
        <f aca="false">IF(Tasks[[#This Row],[Task Name]]="","",IF(Tasks[[#This Row],[_IsSummary]],MAX(INDEX(Tasks[_ShownFcstFinish],Tasks[[#This Row],[_Row]]+1):INDEX(Tasks[_ShownFcstFinish],Tasks[[#This Row],[_Row]]+Tasks[[#This Row],[_Descendants]])),Tasks[[#This Row],[_ShownFcstFinish]]))</f>
        <v/>
      </c>
      <c r="AG54" s="21" t="str">
        <f aca="false">""</f>
        <v/>
      </c>
      <c r="AH54" s="23"/>
      <c r="AI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4" s="7"/>
      <c r="AK54" s="22"/>
      <c r="AL54" s="23"/>
      <c r="AM54" s="7"/>
      <c r="AN54" s="46" t="str">
        <f aca="false">IF(Tasks[[#This Row],[Task Name]]="","",IF(Tasks[[#This Row],[Finish]]&gt;=Tasks[[#This Row],[Planned Finish]],NETWORKDAYS.INTL(Tasks[[#This Row],[Planned Finish]],Tasks[[#This Row],[Finish]],WorkWeek,Holidays)-1,1-NETWORKDAYS.INTL(Tasks[[#This Row],[Finish]],Tasks[[#This Row],[Planned Finish]],WorkWeek,Holidays)))</f>
        <v/>
      </c>
      <c r="AO54" s="21" t="str">
        <f aca="false">IF(Tasks[[#This Row],[Task Name]]="","",IF(Tasks[[#This Row],[Progress]]&gt;=1,"Complete",IF(OR(N(Tasks[[#This Row],[Actual Start]])&gt;0,Tasks[[#This Row],[Progress]]&gt;0),IF(Tasks[[#This Row],[Finish Var]]&gt;0,"Behind","In Progress"),IF(Tasks[[#This Row],[Planned Start]]&lt;StatusDate,"Late Start","Not Started"))))</f>
        <v/>
      </c>
      <c r="AP54" s="21" t="str">
        <f aca="false">IF(Tasks[[#This Row],[Task Name]]="","",IF(IF(Tasks[[#This Row],[_IsSummary]],COUNTIF(INDEX(Tasks[_LeafCritical],Tasks[[#This Row],[_Row]]+1):INDEX(Tasks[_LeafCritical],Tasks[[#This Row],[_Row]]+Tasks[[#This Row],[_Descendants]]),TRUE())&gt;0,Tasks[[#This Row],[_LeafCritical]]),"Yes",""))</f>
        <v/>
      </c>
      <c r="AQ54" s="62" t="str">
        <f aca="false">IF(Tasks[[#This Row],[Task Name]]="","",IF(N(Tasks[[#This Row],[Baseline Start]])&gt;0,Tasks[[#This Row],[Baseline Start]],Tasks[[#This Row],[_CalcStart]]))</f>
        <v/>
      </c>
      <c r="AR54" s="62" t="str">
        <f aca="false">IF(Tasks[[#This Row],[Task Name]]="","",IF(N(Tasks[[#This Row],[Baseline Finish]])&gt;0,Tasks[[#This Row],[Baseline Finish]],Tasks[[#This Row],[_CalcFinish]]))</f>
        <v/>
      </c>
      <c r="AS54" s="46" t="str">
        <f aca="false">IF(Tasks[[#This Row],[Task Name]]="","",IF(Tasks[[#This Row],[Start]]&gt;=Tasks[[#This Row],[Planned Start]],NETWORKDAYS.INTL(Tasks[[#This Row],[Planned Start]],Tasks[[#This Row],[Start]],WorkWeek,Holidays)-1,1-NETWORKDAYS.INTL(Tasks[[#This Row],[Start]],Tasks[[#This Row],[Planned Start]],WorkWeek,Holidays)))</f>
        <v/>
      </c>
      <c r="AT54" s="62" t="str">
        <f aca="false">IF(Tasks[[#This Row],[Task Name]]="","",IF(Tasks[[#This Row],[_IsSummary]],MIN(INDEX(Tasks[_LeafLateStart],Tasks[[#This Row],[_Row]]+1):INDEX(Tasks[_LeafLateStart],Tasks[[#This Row],[_Row]]+Tasks[[#This Row],[_Descendants]])),Tasks[[#This Row],[_LeafLateStart]]))</f>
        <v/>
      </c>
      <c r="AU54" s="62" t="str">
        <f aca="false">IF(Tasks[[#This Row],[Task Name]]="","",IF(Tasks[[#This Row],[_IsSummary]],MAX(INDEX(Tasks[_LeafLateFinish],Tasks[[#This Row],[_Row]]+1):INDEX(Tasks[_LeafLateFinish],Tasks[[#This Row],[_Row]]+Tasks[[#This Row],[_Descendants]])),Tasks[[#This Row],[_LeafLateFinish]]))</f>
        <v/>
      </c>
      <c r="AV54" s="46" t="str">
        <f aca="false">IF(Tasks[[#This Row],[Task Name]]="","",IF(Tasks[[#This Row],[_IsSummary]],MIN(INDEX(Tasks[_LeafTotalSlack],Tasks[[#This Row],[_Row]]+1):INDEX(Tasks[_LeafTotalSlack],Tasks[[#This Row],[_Row]]+Tasks[[#This Row],[_Descendants]])),Tasks[[#This Row],[_LeafTotalSlack]]))</f>
        <v/>
      </c>
      <c r="AW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4"/>
      <c r="BA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t="str">
        <f aca="false">IF(Tasks[[#This Row],[Task Name]]="","",IF(Tasks[[#This Row],[_Level]]&lt;=OutlineShowLevel,"Yes","No"))</f>
        <v/>
      </c>
      <c r="BE54" s="85" t="str">
        <f aca="false">IF(Tasks[[#This Row],[Task Name]]="","",IF(Tasks[[#This Row],[_IsSummary]],SUM(INDEX(Tasks[_LeafTotalWork],Tasks[[#This Row],[_Row]]+1):INDEX(Tasks[_LeafTotalWork],Tasks[[#This Row],[_Row]]+Tasks[[#This Row],[_Descendants]])),Tasks[[#This Row],[_LeafTotalWork]]))</f>
        <v/>
      </c>
      <c r="BF54" s="23"/>
      <c r="BG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t="str">
        <f aca="false">""</f>
        <v/>
      </c>
      <c r="BI54" s="86"/>
      <c r="BJ54" s="22"/>
      <c r="BK54" s="46" t="str">
        <f aca="false">IF(OR(Tasks[[#This Row],[Task Name]]="",Tasks[[#This Row],[Baseline Duration]]=""),"",Tasks[[#This Row],[_SpanDays]]-N(Tasks[[#This Row],[Baseline Duration]]))</f>
        <v/>
      </c>
      <c r="BL54" s="85" t="str">
        <f aca="false">IF(OR(Tasks[[#This Row],[Task Name]]="",Tasks[[#This Row],[Baseline Work]]=""),"",Tasks[[#This Row],[Work]]-N(Tasks[[#This Row],[Baseline Work]]))</f>
        <v/>
      </c>
      <c r="BM54" s="62" t="str">
        <f aca="false">IF(Tasks[[#This Row],[Task Name]]="","",IF(OR(TakeBaseline="Yes",N(Tasks[[#This Row],[Baseline Start]])=0),Tasks[[#This Row],[Start]],Tasks[[#This Row],[Baseline Start]]))</f>
        <v/>
      </c>
      <c r="BN54" s="62" t="str">
        <f aca="false">IF(Tasks[[#This Row],[Task Name]]="","",IF(OR(TakeBaseline="Yes",N(Tasks[[#This Row],[Baseline Finish]])=0),Tasks[[#This Row],[Finish]],Tasks[[#This Row],[Baseline Finish]]))</f>
        <v/>
      </c>
      <c r="BO54" s="21" t="str">
        <f aca="false">IF(Tasks[[#This Row],[Task Name]]="","",IF(OR(TakeBaseline="Yes",N(Tasks[[#This Row],[Baseline Duration]])=0),Tasks[[#This Row],[_SpanDays]],Tasks[[#This Row],[Baseline Duration]]))</f>
        <v/>
      </c>
      <c r="BP54" s="85" t="str">
        <f aca="false">IF(Tasks[[#This Row],[Task Name]]="","",IF(OR(TakeBaseline="Yes",N(Tasks[[#This Row],[Baseline Work]])=0),Tasks[[#This Row],[Work]],Tasks[[#This Row],[Baseline Work]]))</f>
        <v/>
      </c>
      <c r="BQ54" s="7"/>
      <c r="BR54" s="7"/>
      <c r="BS54" s="22"/>
      <c r="BT54" s="87"/>
      <c r="BU54" s="42" t="str">
        <f aca="false">IF(Tasks[[#This Row],[Task Name]]="","",MAX(1,N(Tasks[[#This Row],[Level]])))</f>
        <v/>
      </c>
      <c r="BV54" s="42" t="n">
        <f aca="false">ROW()-ROW(Tasks[[#Headers],[ID]])</f>
        <v>49</v>
      </c>
      <c r="BW54" s="42" t="n">
        <f aca="false">IF(OR(Tasks[[#This Row],[Task Name]]="",Tasks[[#This Row],[_Level]]&lt;=1),0,IFERROR(LOOKUP(2,1/(Tasks[[#Headers],[_Level]]:Tasks[[#This Row],[_Level]]=Tasks[[#This Row],[_Level]]-1),ROW(Tasks[[#Headers],[_Level]]:Tasks[[#This Row],[_Level]])),0))</f>
        <v>0</v>
      </c>
      <c r="BX54" s="42" t="n">
        <f aca="false">IFERROR(N(INDEX(Tasks[_Level],Tasks[[#This Row],[_Row]]+1)),0)</f>
        <v>0</v>
      </c>
      <c r="BY54" s="88" t="b">
        <f aca="false">AND(Tasks[[#This Row],[Task Name]]&lt;&gt;"",Tasks[[#This Row],[_NextLevel]]&gt;Tasks[[#This Row],[_Level]])</f>
        <v>0</v>
      </c>
      <c r="BZ54" s="42" t="n">
        <f aca="false">IF(Tasks[[#This Row],[_IsSummary]],COUNTIF(Tasks[WBS],Tasks[[#This Row],[WBS]]&amp;".*"),0)</f>
        <v>0</v>
      </c>
      <c r="CA54" s="42" t="n">
        <f aca="false">IF(AND(Tasks[[#This Row],[Task Name]]&lt;&gt;"",NOT(Tasks[[#This Row],[_IsSummary]])),1,0)</f>
        <v>0</v>
      </c>
      <c r="CB54" s="42" t="n">
        <f aca="false">IF(N(Tasks[[#This Row],[_Pred1UID]])=0,0,IFERROR(MATCH(Tasks[[#This Row],[_Pred1UID]],Tasks[UID],0),-1))</f>
        <v>0</v>
      </c>
      <c r="CC54" s="42" t="n">
        <f aca="false">IF(N(Tasks[[#This Row],[_Pred2UID]])=0,0,IFERROR(MATCH(Tasks[[#This Row],[_Pred2UID]],Tasks[UID],0),-1))</f>
        <v>0</v>
      </c>
      <c r="CD54" s="42" t="n">
        <f aca="false">IF(N(Tasks[[#This Row],[_Pred3UID]])=0,0,IFERROR(MATCH(Tasks[[#This Row],[_Pred3UID]],Tasks[UID],0),-1))</f>
        <v>0</v>
      </c>
      <c r="CE54" s="42" t="n">
        <f aca="false">IF(N(Tasks[[#This Row],[_Pred4UID]])=0,0,IFERROR(MATCH(Tasks[[#This Row],[_Pred4UID]],Tasks[UID],0),-1))</f>
        <v>0</v>
      </c>
      <c r="CF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4" s="89" t="n">
        <f aca="false">IF(OR(Tasks[[#This Row],[_ConstraintCode]]=2,Tasks[[#This Row],[_ConstraintCode]]=3,Tasks[[#This Row],[_ConstraintCode]]=4,Tasks[[#This Row],[_ConstraintCode]]=6),Tasks[[#This Row],[_ConstraintStart]],0)</f>
        <v>0</v>
      </c>
      <c r="CI54" s="89" t="n">
        <f aca="false">IF(OR(Tasks[[#This Row],[_ConstraintCode]]=2,Tasks[[#This Row],[_ConstraintCode]]=3,Tasks[[#This Row],[_ConstraintCode]]=5,Tasks[[#This Row],[_ConstraintCode]]=7),Tasks[[#This Row],[_ConstraintStart]],2958465)</f>
        <v>2958465</v>
      </c>
      <c r="CJ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4" s="89" t="str">
        <f aca="false">IF(NOT(Tasks[[#This Row],[_IsLeaf]]=1),"",IF(N(Tasks[[#This Row],[_Days]])&lt;=0,Tasks[[#This Row],[_LeafCalcStart]],WORKDAY.INTL(Tasks[[#This Row],[_LeafCalcStart]],Tasks[[#This Row],[_Days]]-1,WorkWeek,Holidays)))</f>
        <v/>
      </c>
      <c r="CL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4" s="42" t="str">
        <f aca="false">IF(Tasks[[#This Row],[_Predecessors]]="","",TRIM(MID(SUBSTITUTE(SUBSTITUTE(SUBSTITUTE(UPPER(Tasks[[#This Row],[_Predecessors]]),";",",")," ",""),",",REPT(" ",99)),1,99)))</f>
        <v/>
      </c>
      <c r="CO54" s="42" t="str">
        <f aca="false">IF(Tasks[[#This Row],[_Pred1Text]]="","",IFERROR(VALUE(LEFT(Tasks[[#This Row],[_Pred1Text]],MIN(FIND("F",Tasks[[#This Row],[_Pred1Text]]&amp;"F"),FIND("S",Tasks[[#This Row],[_Pred1Text]]&amp;"S"),FIND("+",Tasks[[#This Row],[_Pred1Text]]&amp;"+"),FIND("-",Tasks[[#This Row],[_Pred1Text]]&amp;"-"))-1)),""))</f>
        <v/>
      </c>
      <c r="CP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4" s="42" t="str">
        <f aca="false">IF(Tasks[[#This Row],[_Pred1Text]]="","",TRIM(MID(SUBSTITUTE(SUBSTITUTE(SUBSTITUTE(UPPER(Tasks[[#This Row],[_Predecessors]]),";",",")," ",""),",",REPT(" ",99)),100,99)))</f>
        <v/>
      </c>
      <c r="CS54" s="42" t="str">
        <f aca="false">IF(Tasks[[#This Row],[_Pred2Text]]="","",IFERROR(VALUE(LEFT(Tasks[[#This Row],[_Pred2Text]],MIN(FIND("F",Tasks[[#This Row],[_Pred2Text]]&amp;"F"),FIND("S",Tasks[[#This Row],[_Pred2Text]]&amp;"S"),FIND("+",Tasks[[#This Row],[_Pred2Text]]&amp;"+"),FIND("-",Tasks[[#This Row],[_Pred2Text]]&amp;"-"))-1)),""))</f>
        <v/>
      </c>
      <c r="CT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4" s="42" t="str">
        <f aca="false">IF(Tasks[[#This Row],[_Pred2Text]]="","",TRIM(MID(SUBSTITUTE(SUBSTITUTE(SUBSTITUTE(UPPER(Tasks[[#This Row],[_Predecessors]]),";",",")," ",""),",",REPT(" ",99)),199,99)))</f>
        <v/>
      </c>
      <c r="CW54" s="42" t="str">
        <f aca="false">IF(Tasks[[#This Row],[_Pred3Text]]="","",IFERROR(VALUE(LEFT(Tasks[[#This Row],[_Pred3Text]],MIN(FIND("F",Tasks[[#This Row],[_Pred3Text]]&amp;"F"),FIND("S",Tasks[[#This Row],[_Pred3Text]]&amp;"S"),FIND("+",Tasks[[#This Row],[_Pred3Text]]&amp;"+"),FIND("-",Tasks[[#This Row],[_Pred3Text]]&amp;"-"))-1)),""))</f>
        <v/>
      </c>
      <c r="CX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4" s="42" t="str">
        <f aca="false">IF(Tasks[[#This Row],[_Pred3Text]]="","",TRIM(MID(SUBSTITUTE(SUBSTITUTE(SUBSTITUTE(UPPER(Tasks[[#This Row],[_Predecessors]]),";",",")," ",""),",",REPT(" ",99)),298,99)))</f>
        <v/>
      </c>
      <c r="DA54" s="42" t="str">
        <f aca="false">IF(Tasks[[#This Row],[_Pred4Text]]="","",IFERROR(VALUE(LEFT(Tasks[[#This Row],[_Pred4Text]],MIN(FIND("F",Tasks[[#This Row],[_Pred4Text]]&amp;"F"),FIND("S",Tasks[[#This Row],[_Pred4Text]]&amp;"S"),FIND("+",Tasks[[#This Row],[_Pred4Text]]&amp;"+"),FIND("-",Tasks[[#This Row],[_Pred4Text]]&amp;"-"))-1)),""))</f>
        <v/>
      </c>
      <c r="DB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4" s="42" t="str">
        <f aca="false">IF(OR(Tasks[[#This Row],[Task Name]]="",Tasks[[#This Row],[_Resources]]=""),"",TRIM(MID(SUBSTITUTE(Tasks[[#This Row],[_Resources]],",",REPT(" ",99)),1,99)))</f>
        <v/>
      </c>
      <c r="DE54" s="42" t="str">
        <f aca="false">IF(Tasks[[#This Row],[_Res1Text]]="","",TRIM(MID(SUBSTITUTE(Tasks[[#This Row],[_Resources]],",",REPT(" ",99)),100,99)))</f>
        <v/>
      </c>
      <c r="DF54" s="42" t="str">
        <f aca="false">IF(Tasks[[#This Row],[_Res2Text]]="","",TRIM(MID(SUBSTITUTE(Tasks[[#This Row],[_Resources]],",",REPT(" ",99)),199,99)))</f>
        <v/>
      </c>
      <c r="DG54" s="42" t="str">
        <f aca="false">IF(Tasks[[#This Row],[_Res3Text]]="","",TRIM(MID(SUBSTITUTE(Tasks[[#This Row],[_Resources]],",",REPT(" ",99)),298,99)))</f>
        <v/>
      </c>
      <c r="DH54" s="42" t="n">
        <f aca="false">IF(Tasks[[#This Row],[_Res1Text]]="",0,IFERROR(MATCH(TRIM(LEFT(Tasks[[#This Row],[_Res1Text]],FIND("[",Tasks[[#This Row],[_Res1Text]]&amp;"[")-1)),res_Name,0),IFERROR(MATCH(TRIM(LEFT(Tasks[[#This Row],[_Res1Text]],FIND("[",Tasks[[#This Row],[_Res1Text]]&amp;"[")-1)),res_Initials,0),0)))</f>
        <v>0</v>
      </c>
      <c r="DI54" s="42" t="n">
        <f aca="false">IF(Tasks[[#This Row],[_Res2Text]]="",0,IFERROR(MATCH(TRIM(LEFT(Tasks[[#This Row],[_Res2Text]],FIND("[",Tasks[[#This Row],[_Res2Text]]&amp;"[")-1)),res_Name,0),IFERROR(MATCH(TRIM(LEFT(Tasks[[#This Row],[_Res2Text]],FIND("[",Tasks[[#This Row],[_Res2Text]]&amp;"[")-1)),res_Initials,0),0)))</f>
        <v>0</v>
      </c>
      <c r="DJ54" s="42" t="n">
        <f aca="false">IF(Tasks[[#This Row],[_Res3Text]]="",0,IFERROR(MATCH(TRIM(LEFT(Tasks[[#This Row],[_Res3Text]],FIND("[",Tasks[[#This Row],[_Res3Text]]&amp;"[")-1)),res_Name,0),IFERROR(MATCH(TRIM(LEFT(Tasks[[#This Row],[_Res3Text]],FIND("[",Tasks[[#This Row],[_Res3Text]]&amp;"[")-1)),res_Initials,0),0)))</f>
        <v>0</v>
      </c>
      <c r="DK54" s="42" t="n">
        <f aca="false">IF(Tasks[[#This Row],[_Res4Text]]="",0,IFERROR(MATCH(TRIM(LEFT(Tasks[[#This Row],[_Res4Text]],FIND("[",Tasks[[#This Row],[_Res4Text]]&amp;"[")-1)),res_Name,0),IFERROR(MATCH(TRIM(LEFT(Tasks[[#This Row],[_Res4Text]],FIND("[",Tasks[[#This Row],[_Res4Text]]&amp;"[")-1)),res_Initials,0),0)))</f>
        <v>0</v>
      </c>
      <c r="DL54" s="42" t="str">
        <f aca="false">IF(Tasks[[#This Row],[_Res1Text]]="","",IF(Tasks[[#This Row],[_Res1Row]]&gt;0,INDEX(res_Name,Tasks[[#This Row],[_Res1Row]]),TRIM(LEFT(Tasks[[#This Row],[_Res1Text]],FIND("[",Tasks[[#This Row],[_Res1Text]]&amp;"[")-1))))</f>
        <v/>
      </c>
      <c r="DM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4" s="42" t="n">
        <f aca="false">IF(NOT(Tasks[[#This Row],[_IsLeaf]]=1),0,(Tasks[[#This Row],[_Resource1]]&lt;&gt;"")+(Tasks[[#This Row],[_Res2]]&lt;&gt;"")+(Tasks[[#This Row],[_Res3]]&lt;&gt;"")+(Tasks[[#This Row],[_Res4]]&lt;&gt;""))</f>
        <v>0</v>
      </c>
      <c r="DO54" s="42" t="str">
        <f aca="false">IF(Tasks[[#This Row],[_Res2Text]]="","",IF(Tasks[[#This Row],[_Res2Row]]&gt;0,INDEX(res_Name,Tasks[[#This Row],[_Res2Row]]),TRIM(LEFT(Tasks[[#This Row],[_Res2Text]],FIND("[",Tasks[[#This Row],[_Res2Text]]&amp;"[")-1))))</f>
        <v/>
      </c>
      <c r="DP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4" s="42" t="n">
        <f aca="false">IF(OR(NOT(Tasks[[#This Row],[_IsLeaf]]=1),Tasks[[#This Row],[_Res2Row]]=0),0,N(Tasks[[#This Row],[_Days]])*HoursPerDay*IF(Tasks[[#This Row],[_Res2Units]]="",DefaultUnits,Tasks[[#This Row],[_Res2Units]]))</f>
        <v>0</v>
      </c>
      <c r="DR54" s="42" t="n">
        <f aca="false">IF(AND(AND(Tasks[[#This Row],[_IsLeaf]]=1,Tasks[[#This Row],[_LeafTotalWork]]&gt;0),Tasks[[#This Row],[_Res2Work]]&gt;0),Tasks[[#This Row],[_Res2Work]]/(Tasks[[#This Row],[_FinishWorkday]]-Tasks[[#This Row],[_StartWorkday]]+1),0)</f>
        <v>0</v>
      </c>
      <c r="DS54" s="42" t="n">
        <f aca="false">Tasks[[#This Row],[_Res2WorkPerWD]]*MAX(0,Tasks[[#This Row],[_StartWorkday]]-1)</f>
        <v>0</v>
      </c>
      <c r="DT54" s="42" t="n">
        <f aca="false">Tasks[[#This Row],[_Res2Work]]*Tasks[[#This Row],[_LeafProgress]]</f>
        <v>0</v>
      </c>
      <c r="DU54" s="42" t="str">
        <f aca="false">IF(Tasks[[#This Row],[_Res3Text]]="","",IF(Tasks[[#This Row],[_Res3Row]]&gt;0,INDEX(res_Name,Tasks[[#This Row],[_Res3Row]]),TRIM(LEFT(Tasks[[#This Row],[_Res3Text]],FIND("[",Tasks[[#This Row],[_Res3Text]]&amp;"[")-1))))</f>
        <v/>
      </c>
      <c r="DV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4" s="42" t="n">
        <f aca="false">IF(OR(NOT(Tasks[[#This Row],[_IsLeaf]]=1),Tasks[[#This Row],[_Res3Row]]=0),0,N(Tasks[[#This Row],[_Days]])*HoursPerDay*IF(Tasks[[#This Row],[_Res3Units]]="",DefaultUnits,Tasks[[#This Row],[_Res3Units]]))</f>
        <v>0</v>
      </c>
      <c r="DX54" s="42" t="n">
        <f aca="false">IF(AND(AND(Tasks[[#This Row],[_IsLeaf]]=1,Tasks[[#This Row],[_LeafTotalWork]]&gt;0),Tasks[[#This Row],[_Res3Work]]&gt;0),Tasks[[#This Row],[_Res3Work]]/(Tasks[[#This Row],[_FinishWorkday]]-Tasks[[#This Row],[_StartWorkday]]+1),0)</f>
        <v>0</v>
      </c>
      <c r="DY54" s="42" t="n">
        <f aca="false">Tasks[[#This Row],[_Res3WorkPerWD]]*MAX(0,Tasks[[#This Row],[_StartWorkday]]-1)</f>
        <v>0</v>
      </c>
      <c r="DZ54" s="42" t="n">
        <f aca="false">Tasks[[#This Row],[_Res3Work]]*Tasks[[#This Row],[_LeafProgress]]</f>
        <v>0</v>
      </c>
      <c r="EA54" s="42" t="str">
        <f aca="false">IF(Tasks[[#This Row],[_Res4Text]]="","",IF(Tasks[[#This Row],[_Res4Row]]&gt;0,INDEX(res_Name,Tasks[[#This Row],[_Res4Row]]),TRIM(LEFT(Tasks[[#This Row],[_Res4Text]],FIND("[",Tasks[[#This Row],[_Res4Text]]&amp;"[")-1))))</f>
        <v/>
      </c>
      <c r="EB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4" s="42" t="n">
        <f aca="false">IF(OR(NOT(Tasks[[#This Row],[_IsLeaf]]=1),Tasks[[#This Row],[_Res4Row]]=0),0,N(Tasks[[#This Row],[_Days]])*HoursPerDay*IF(Tasks[[#This Row],[_Res4Units]]="",DefaultUnits,Tasks[[#This Row],[_Res4Units]]))</f>
        <v>0</v>
      </c>
      <c r="ED54" s="42" t="n">
        <f aca="false">IF(AND(AND(Tasks[[#This Row],[_IsLeaf]]=1,Tasks[[#This Row],[_LeafTotalWork]]&gt;0),Tasks[[#This Row],[_Res4Work]]&gt;0),Tasks[[#This Row],[_Res4Work]]/(Tasks[[#This Row],[_FinishWorkday]]-Tasks[[#This Row],[_StartWorkday]]+1),0)</f>
        <v>0</v>
      </c>
      <c r="EE54" s="42" t="n">
        <f aca="false">Tasks[[#This Row],[_Res4WorkPerWD]]*MAX(0,Tasks[[#This Row],[_StartWorkday]]-1)</f>
        <v>0</v>
      </c>
      <c r="EF54" s="42" t="n">
        <f aca="false">Tasks[[#This Row],[_Res4Work]]*Tasks[[#This Row],[_LeafProgress]]</f>
        <v>0</v>
      </c>
      <c r="EG54" s="42" t="n">
        <f aca="false">IF(ISNUMBER(Tasks[[#This Row],[% Complete]]),Tasks[[#This Row],[% Complete]],IF(Tasks[[#This Row],[Stage]]="",0,IFERROR(INDEX(stg_Pct,MATCH(Tasks[[#This Row],[Stage]],stg_Name,0)),0)))</f>
        <v>0</v>
      </c>
      <c r="EH54" s="42" t="n">
        <f aca="false">IF(NOT(Tasks[[#This Row],[_IsLeaf]]=1),0,IF(N(Tasks[[#This Row],[Actual Finish]])&gt;0,1,MIN(1,Tasks[[#This Row],[_Pct]])))</f>
        <v>0</v>
      </c>
      <c r="EI54" s="42" t="n">
        <f aca="false">IF(OR(NOT(Tasks[[#This Row],[_IsLeaf]]=1),Tasks[[#This Row],[_Res1Row]]=0),0,N(Tasks[[#This Row],[_Days]])*HoursPerDay*IF(Tasks[[#This Row],[_Units1]]="",DefaultUnits,Tasks[[#This Row],[_Units1]]))</f>
        <v>0</v>
      </c>
      <c r="EJ54" s="42" t="n">
        <f aca="false">Tasks[[#This Row],[_LeafWork]]+Tasks[[#This Row],[_Res2Work]]+Tasks[[#This Row],[_Res3Work]]+Tasks[[#This Row],[_Res4Work]]</f>
        <v>0</v>
      </c>
      <c r="EK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4" s="42" t="n">
        <f aca="false">IF(NOT(Tasks[[#This Row],[_IsLeaf]]=1),0,MAX(_xlfn.MAXIFS(Tasks[_Row],Tasks[_Pred1UID],Tasks[[#This Row],[UID]]),_xlfn.MAXIFS(Tasks[_Row],Tasks[_Pred2UID],Tasks[[#This Row],[UID]]),_xlfn.MAXIFS(Tasks[_Row],Tasks[_Pred3UID],Tasks[[#This Row],[UID]]),_xlfn.MAXIFS(Tasks[_Row],Tasks[_Pred4UID],Tasks[[#This Row],[UID]])))</f>
        <v>0</v>
      </c>
      <c r="ET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4" s="89" t="str">
        <f aca="false">IF(NOT(Tasks[[#This Row],[_IsLeaf]]=1),"",IF(N(Tasks[[#This Row],[_Days]])&lt;=0,Tasks[[#This Row],[_LeafLateFinish]],WORKDAY.INTL(Tasks[[#This Row],[_LeafLateFinish]],-(Tasks[[#This Row],[_Days]]-1),WorkWeek,Holidays)))</f>
        <v/>
      </c>
      <c r="EW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4" s="88" t="b">
        <f aca="false">AND(Tasks[[#This Row],[_IsLeaf]]=1,Tasks[[#This Row],[_LeafProgress]]&lt;1,N(Tasks[[#This Row],[_LeafTotalSlack]])&lt;=CriticalSlackDays)</f>
        <v>0</v>
      </c>
      <c r="EY54" s="42" t="n">
        <f aca="false">IF(AND(Tasks[[#This Row],[_IsLeaf]]=1,Tasks[[#This Row],[_ConstraintCode]]=1,Tasks[[#This Row],[Mode]]&lt;&gt;"Manual",N(Tasks[[#This Row],[Actual Start]])=0),MAX(0,N(Tasks[[#This Row],[Free Slack]])),0)</f>
        <v>0</v>
      </c>
      <c r="EZ54" s="89" t="str">
        <f aca="false">IF(NOT(Tasks[[#This Row],[_IsLeaf]]=1),"",IF(Tasks[[#This Row],[_AlapShift]]=0,Tasks[[#This Row],[_LeafCalcStart]],WORKDAY.INTL(Tasks[[#This Row],[_LeafCalcStart]],Tasks[[#This Row],[_AlapShift]],WorkWeek,Holidays)))</f>
        <v/>
      </c>
      <c r="FA54" s="89" t="str">
        <f aca="false">IF(NOT(Tasks[[#This Row],[_IsLeaf]]=1),"",IF(Tasks[[#This Row],[_AlapShift]]=0,Tasks[[#This Row],[_LeafCalcFinish]],WORKDAY.INTL(Tasks[[#This Row],[_LeafCalcFinish]],Tasks[[#This Row],[_AlapShift]],WorkWeek,Holidays)))</f>
        <v/>
      </c>
      <c r="FB54" s="89" t="str">
        <f aca="false">IF(NOT(Tasks[[#This Row],[_IsLeaf]]=1),"",IF(Tasks[[#This Row],[_AlapShift]]=0,Tasks[[#This Row],[_LeafFcstStart]],WORKDAY.INTL(Tasks[[#This Row],[_LeafFcstStart]],Tasks[[#This Row],[_AlapShift]],WorkWeek,Holidays)))</f>
        <v/>
      </c>
      <c r="FC54" s="89" t="str">
        <f aca="false">IF(NOT(Tasks[[#This Row],[_IsLeaf]]=1),"",IF(Tasks[[#This Row],[_AlapShift]]=0,Tasks[[#This Row],[_LeafFcstFinish]],WORKDAY.INTL(Tasks[[#This Row],[_LeafFcstFinish]],Tasks[[#This Row],[_AlapShift]],WorkWeek,Holidays)))</f>
        <v/>
      </c>
      <c r="FD54" s="89" t="str">
        <f aca="false">IF(Tasks[[#This Row],[Task Name]]="","",IF(Tasks[[#This Row],[_IsSummary]],MIN(INDEX(Tasks[_ShownCalcStart],Tasks[[#This Row],[_Row]]+1):INDEX(Tasks[_ShownCalcStart],Tasks[[#This Row],[_Row]]+Tasks[[#This Row],[_Descendants]])),Tasks[[#This Row],[_ShownCalcStart]]))</f>
        <v/>
      </c>
      <c r="FE54" s="89" t="str">
        <f aca="false">IF(Tasks[[#This Row],[Task Name]]="","",IF(Tasks[[#This Row],[_IsSummary]],MAX(INDEX(Tasks[_ShownCalcFinish],Tasks[[#This Row],[_Row]]+1):INDEX(Tasks[_ShownCalcFinish],Tasks[[#This Row],[_Row]]+Tasks[[#This Row],[_Descendants]])),Tasks[[#This Row],[_ShownCalcFinish]]))</f>
        <v/>
      </c>
      <c r="FF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4" s="42" t="n">
        <f aca="false">IF(AND(Tasks[[#This Row],[_IsLeaf]]=1,Tasks[[#This Row],[_LeafTotalWork]]&gt;0),NETWORKDAYS.INTL(ProjectStart,Tasks[[#This Row],[_ShownFcstStart]],WorkWeek,Holidays),0)</f>
        <v>0</v>
      </c>
      <c r="FS54" s="42" t="n">
        <f aca="false">IF(AND(Tasks[[#This Row],[_IsLeaf]]=1,Tasks[[#This Row],[_LeafTotalWork]]&gt;0),MAX(Tasks[[#This Row],[_StartWorkday]],NETWORKDAYS.INTL(ProjectStart,Tasks[[#This Row],[_ShownFcstFinish]],WorkWeek,Holidays)),0)</f>
        <v>0</v>
      </c>
      <c r="FT54" s="42" t="n">
        <f aca="false">IF(AND(Tasks[[#This Row],[_IsLeaf]]=1,Tasks[[#This Row],[_LeafTotalWork]]&gt;0),Tasks[[#This Row],[_LeafWork]]/(Tasks[[#This Row],[_FinishWorkday]]-Tasks[[#This Row],[_StartWorkday]]+1),0)</f>
        <v>0</v>
      </c>
      <c r="FU54" s="42" t="n">
        <f aca="false">Tasks[[#This Row],[_WorkPerWorkday]]*(Tasks[[#This Row],[_StartWorkday]]-1)</f>
        <v>-0</v>
      </c>
      <c r="FV54" s="42" t="n">
        <f aca="false">IF(Tasks[[#This Row],[_IsLeaf]]=1,MAX(N(Tasks[[#This Row],[_Days]]),0.1),0)</f>
        <v>0</v>
      </c>
      <c r="FW54" s="42" t="n">
        <f aca="false">Tasks[[#This Row],[_WeightDur]]*Tasks[[#This Row],[_LeafProgress]]</f>
        <v>0</v>
      </c>
      <c r="FX54" s="42" t="n">
        <f aca="false">Tasks[[#This Row],[_WeightDur]]*Tasks[[#This Row],[_PlannedPct]]</f>
        <v>0</v>
      </c>
      <c r="FY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4" s="42" t="str">
        <f aca="false">IF(AND(Tasks[[#This Row],[_IsLeaf]]=1,N(Tasks[[#This Row],[_Days]])=0,Tasks[[#This Row],[_LeafProgress]]&lt;1),Tasks[[#This Row],[_ShownFcstFinish]]+Tasks[[#This Row],[_Row]]/100000,"")</f>
        <v/>
      </c>
      <c r="GA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4" s="42" t="str">
        <f aca="false">IF(Tasks[[#This Row],[Task Name]]="","",LEFT(Tasks[[#This Row],[WBS]],FIND(".",Tasks[[#This Row],[WBS]]&amp;".")-1))</f>
        <v/>
      </c>
      <c r="GC54" s="42" t="str">
        <f aca="false">IF(AND(Tasks[[#This Row],[Task Name]]&lt;&gt;"",Tasks[[#This Row],[_Level]]=1),Tasks[[#This Row],[_Row]],"")</f>
        <v/>
      </c>
      <c r="GD54" s="42" t="str">
        <f aca="false">IF(AND(Tasks[[#This Row],[_IsLeaf]]=1,N(Tasks[[#This Row],[_Days]])=0),Tasks[[#This Row],[Planned Finish]]+Tasks[[#This Row],[_Row]]/100000,"")</f>
        <v/>
      </c>
      <c r="GE54" s="42" t="str">
        <f aca="false">IF(AND(Tasks[[#This Row],[_IsLeaf]]=1,Tasks[[#This Row],[_LeafProgress]]&lt;1,OR(N(Tasks[[#This Row],[Finish Var]])&gt;0,Tasks[[#This Row],[Status]]="Late Start")),MAX(0,Tasks[[#This Row],[Finish Var]])+1-Tasks[[#This Row],[_Row]]/1000000,"")</f>
        <v/>
      </c>
      <c r="GF54" s="42" t="str">
        <f aca="false">IF(AND(Tasks[[#This Row],[_IsLeaf]]=1,N(Tasks[[#This Row],[Actual Start]])=0,Tasks[[#This Row],[_ShownFcstStart]]&gt;=StatusDate,Tasks[[#This Row],[_ShownFcstStart]]&lt;=LookaheadEnd),Tasks[[#This Row],[_ShownFcstStart]]+Tasks[[#This Row],[_Row]]/100000,"")</f>
        <v/>
      </c>
      <c r="GG54" s="42" t="str">
        <f aca="false">IF(AND(Tasks[[#This Row],[_IsLeaf]]=1,Tasks[[#This Row],[_LeafProgress]]&lt;1,Tasks[[#This Row],[_ShownFcstFinish]]&gt;=StatusDate,Tasks[[#This Row],[_ShownFcstFinish]]&lt;=LookaheadEnd),Tasks[[#This Row],[_ShownFcstFinish]]+Tasks[[#This Row],[_Row]]/100000,"")</f>
        <v/>
      </c>
      <c r="GH54" s="42" t="str">
        <f aca="false">IF(Tasks[[#This Row],[_LeafCritical]],Tasks[[#This Row],[_ShownFcstStart]]+Tasks[[#This Row],[_Row]]/100000,"")</f>
        <v/>
      </c>
      <c r="GI54" s="42" t="n">
        <f aca="false">Tasks[[#This Row],[_LeafWork]]*Tasks[[#This Row],[_LeafProgress]]</f>
        <v>0</v>
      </c>
      <c r="GJ54" s="89" t="str">
        <f aca="false">IF(AND(Tasks[[#This Row],[_IsLeaf]]=1,Tasks[[#This Row],[_LeafProgress]]&gt;=1),IF(N(Tasks[[#This Row],[Actual Finish]])&gt;0,Tasks[[#This Row],[Actual Finish]],Tasks[[#This Row],[_ShownFcstFinish]]),"")</f>
        <v/>
      </c>
      <c r="GK54" s="42" t="n">
        <f aca="false">IF(Tasks[[#This Row],[_IsLeaf]]=1,N(Tasks[[#This Row],[Story Points]]),0)</f>
        <v>0</v>
      </c>
      <c r="GL54" s="42" t="str">
        <f aca="false">""</f>
        <v/>
      </c>
      <c r="GM54" s="88" t="b">
        <f aca="false">IF(Tasks[[#This Row],[Task Name]]="",FALSE(),AND(Tasks[[#This Row],[_IsLeaf]]=1,N(Tasks[[#This Row],[_Days]])=0))</f>
        <v>0</v>
      </c>
      <c r="GN54" s="89" t="n">
        <f aca="false">IF(Tasks[[#This Row],[Task Name]]="",0,IF(AND(Tasks[[#This Row],[_IsLeaf]]=1,NOT(Tasks[[#This Row],[_IsMilestone]]),N(Tasks[[#This Row],[Progress]])&gt;0),Tasks[[#This Row],[Start]],0))</f>
        <v>0</v>
      </c>
      <c r="GO54" s="89" t="n">
        <f aca="false">IF(Tasks[[#This Row],[_DoneFrom]]=0,0,IF(Tasks[[#This Row],[Progress]]&gt;=1,Tasks[[#This Row],[Finish]],MAX(Tasks[[#This Row],[_DoneFrom]],Tasks[[#This Row],[Start]]+ROUND((Tasks[[#This Row],[Finish]]-Tasks[[#This Row],[Start]]+1)*Tasks[[#This Row],[Progress]],0)-1)))</f>
        <v>0</v>
      </c>
      <c r="GP54" s="89" t="n">
        <f aca="false">IF(Tasks[[#This Row],[Task Name]]="",0,IF(OR(NOT(Tasks[[#This Row],[_IsLeaf]]=1),Tasks[[#This Row],[_IsMilestone]],N(Tasks[[#This Row],[Progress]])&gt;=1),0,IF(Tasks[[#This Row],[_DoneTo]]&gt;0,Tasks[[#This Row],[_DoneTo]]+1,Tasks[[#This Row],[Start]])))</f>
        <v>0</v>
      </c>
      <c r="GQ54" s="89" t="n">
        <f aca="false">IF(Tasks[[#This Row],[_RemFrom]]=0,0,Tasks[[#This Row],[Finish]])</f>
        <v>0</v>
      </c>
      <c r="GR54" s="88" t="b">
        <f aca="false">IF(Tasks[[#This Row],[Task Name]]="",FALSE(),OR(NOT(BaselineSet),N(Tasks[[#This Row],[Baseline Start]])&gt;0))</f>
        <v>0</v>
      </c>
      <c r="GS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4" s="90" t="str">
        <f aca="false">IF(Tasks[[#This Row],[_IsLeaf]]=1,Tasks[[#This Row],[_Row]],"")</f>
        <v/>
      </c>
      <c r="GW54" s="90" t="str">
        <f aca="false">IFERROR(INDEX(Tasks[UID],SMALL(Tasks[_PickKey],Tasks[[#This Row],[_Row]]))&amp;" "&amp;INDEX(Tasks[Task Name],SMALL(Tasks[_PickKey],Tasks[[#This Row],[_Row]])),"")</f>
        <v/>
      </c>
      <c r="GX54" s="42" t="str">
        <f aca="false">IF(Tasks[[#This Row],[Task Name]]="","",IF(Tasks[[#This Row],[_IsSummary]],NETWORKDAYS.INTL(Tasks[[#This Row],[Start]],Tasks[[#This Row],[Finish]],WorkWeek,Holidays),N(Tasks[[#This Row],[_Days]])))</f>
        <v/>
      </c>
    </row>
    <row r="55" customFormat="false" ht="15" hidden="false" customHeight="false" outlineLevel="0" collapsed="false">
      <c r="A55" s="21" t="str">
        <f aca="false">IF(Tasks[[#This Row],[Task Name]]="","",COUNTA(Tasks[[#Headers],[Task Name]]:Tasks[[#This Row],[Task Name]])-1)</f>
        <v/>
      </c>
      <c r="B55" s="22" t="n">
        <v>63</v>
      </c>
      <c r="C55" s="22"/>
      <c r="D55" s="23"/>
      <c r="E55" s="22"/>
      <c r="F55" s="23"/>
      <c r="G55" s="22"/>
      <c r="H55" s="22"/>
      <c r="I55" s="23"/>
      <c r="J55" s="22"/>
      <c r="K55" s="22"/>
      <c r="L55" s="23"/>
      <c r="M55" s="22"/>
      <c r="N55" s="22"/>
      <c r="O55" s="23"/>
      <c r="P55" s="22"/>
      <c r="Q55" s="22"/>
      <c r="R55" s="23"/>
      <c r="S55" s="23"/>
      <c r="T55" s="83"/>
      <c r="U55" s="23"/>
      <c r="V55" s="83"/>
      <c r="W55" s="23"/>
      <c r="X55" s="83"/>
      <c r="Y55" s="23"/>
      <c r="Z55" s="83"/>
      <c r="AA55" s="23"/>
      <c r="AB55" s="23"/>
      <c r="AC55" s="7"/>
      <c r="AD55" s="7"/>
      <c r="AE55" s="62" t="str">
        <f aca="false">IF(Tasks[[#This Row],[Task Name]]="","",IF(Tasks[[#This Row],[_IsSummary]],MIN(INDEX(Tasks[_ShownFcstStart],Tasks[[#This Row],[_Row]]+1):INDEX(Tasks[_ShownFcstStart],Tasks[[#This Row],[_Row]]+Tasks[[#This Row],[_Descendants]])),Tasks[[#This Row],[_ShownFcstStart]]))</f>
        <v/>
      </c>
      <c r="AF55" s="62" t="str">
        <f aca="false">IF(Tasks[[#This Row],[Task Name]]="","",IF(Tasks[[#This Row],[_IsSummary]],MAX(INDEX(Tasks[_ShownFcstFinish],Tasks[[#This Row],[_Row]]+1):INDEX(Tasks[_ShownFcstFinish],Tasks[[#This Row],[_Row]]+Tasks[[#This Row],[_Descendants]])),Tasks[[#This Row],[_ShownFcstFinish]]))</f>
        <v/>
      </c>
      <c r="AG55" s="21" t="str">
        <f aca="false">""</f>
        <v/>
      </c>
      <c r="AH55" s="23"/>
      <c r="AI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5" s="7"/>
      <c r="AK55" s="22"/>
      <c r="AL55" s="23"/>
      <c r="AM55" s="7"/>
      <c r="AN55" s="46" t="str">
        <f aca="false">IF(Tasks[[#This Row],[Task Name]]="","",IF(Tasks[[#This Row],[Finish]]&gt;=Tasks[[#This Row],[Planned Finish]],NETWORKDAYS.INTL(Tasks[[#This Row],[Planned Finish]],Tasks[[#This Row],[Finish]],WorkWeek,Holidays)-1,1-NETWORKDAYS.INTL(Tasks[[#This Row],[Finish]],Tasks[[#This Row],[Planned Finish]],WorkWeek,Holidays)))</f>
        <v/>
      </c>
      <c r="AO55" s="21" t="str">
        <f aca="false">IF(Tasks[[#This Row],[Task Name]]="","",IF(Tasks[[#This Row],[Progress]]&gt;=1,"Complete",IF(OR(N(Tasks[[#This Row],[Actual Start]])&gt;0,Tasks[[#This Row],[Progress]]&gt;0),IF(Tasks[[#This Row],[Finish Var]]&gt;0,"Behind","In Progress"),IF(Tasks[[#This Row],[Planned Start]]&lt;StatusDate,"Late Start","Not Started"))))</f>
        <v/>
      </c>
      <c r="AP55" s="21" t="str">
        <f aca="false">IF(Tasks[[#This Row],[Task Name]]="","",IF(IF(Tasks[[#This Row],[_IsSummary]],COUNTIF(INDEX(Tasks[_LeafCritical],Tasks[[#This Row],[_Row]]+1):INDEX(Tasks[_LeafCritical],Tasks[[#This Row],[_Row]]+Tasks[[#This Row],[_Descendants]]),TRUE())&gt;0,Tasks[[#This Row],[_LeafCritical]]),"Yes",""))</f>
        <v/>
      </c>
      <c r="AQ55" s="62" t="str">
        <f aca="false">IF(Tasks[[#This Row],[Task Name]]="","",IF(N(Tasks[[#This Row],[Baseline Start]])&gt;0,Tasks[[#This Row],[Baseline Start]],Tasks[[#This Row],[_CalcStart]]))</f>
        <v/>
      </c>
      <c r="AR55" s="62" t="str">
        <f aca="false">IF(Tasks[[#This Row],[Task Name]]="","",IF(N(Tasks[[#This Row],[Baseline Finish]])&gt;0,Tasks[[#This Row],[Baseline Finish]],Tasks[[#This Row],[_CalcFinish]]))</f>
        <v/>
      </c>
      <c r="AS55" s="46" t="str">
        <f aca="false">IF(Tasks[[#This Row],[Task Name]]="","",IF(Tasks[[#This Row],[Start]]&gt;=Tasks[[#This Row],[Planned Start]],NETWORKDAYS.INTL(Tasks[[#This Row],[Planned Start]],Tasks[[#This Row],[Start]],WorkWeek,Holidays)-1,1-NETWORKDAYS.INTL(Tasks[[#This Row],[Start]],Tasks[[#This Row],[Planned Start]],WorkWeek,Holidays)))</f>
        <v/>
      </c>
      <c r="AT55" s="62" t="str">
        <f aca="false">IF(Tasks[[#This Row],[Task Name]]="","",IF(Tasks[[#This Row],[_IsSummary]],MIN(INDEX(Tasks[_LeafLateStart],Tasks[[#This Row],[_Row]]+1):INDEX(Tasks[_LeafLateStart],Tasks[[#This Row],[_Row]]+Tasks[[#This Row],[_Descendants]])),Tasks[[#This Row],[_LeafLateStart]]))</f>
        <v/>
      </c>
      <c r="AU55" s="62" t="str">
        <f aca="false">IF(Tasks[[#This Row],[Task Name]]="","",IF(Tasks[[#This Row],[_IsSummary]],MAX(INDEX(Tasks[_LeafLateFinish],Tasks[[#This Row],[_Row]]+1):INDEX(Tasks[_LeafLateFinish],Tasks[[#This Row],[_Row]]+Tasks[[#This Row],[_Descendants]])),Tasks[[#This Row],[_LeafLateFinish]]))</f>
        <v/>
      </c>
      <c r="AV55" s="46" t="str">
        <f aca="false">IF(Tasks[[#This Row],[Task Name]]="","",IF(Tasks[[#This Row],[_IsSummary]],MIN(INDEX(Tasks[_LeafTotalSlack],Tasks[[#This Row],[_Row]]+1):INDEX(Tasks[_LeafTotalSlack],Tasks[[#This Row],[_Row]]+Tasks[[#This Row],[_Descendants]])),Tasks[[#This Row],[_LeafTotalSlack]]))</f>
        <v/>
      </c>
      <c r="AW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4"/>
      <c r="BA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t="str">
        <f aca="false">IF(Tasks[[#This Row],[Task Name]]="","",IF(Tasks[[#This Row],[_Level]]&lt;=OutlineShowLevel,"Yes","No"))</f>
        <v/>
      </c>
      <c r="BE55" s="85" t="str">
        <f aca="false">IF(Tasks[[#This Row],[Task Name]]="","",IF(Tasks[[#This Row],[_IsSummary]],SUM(INDEX(Tasks[_LeafTotalWork],Tasks[[#This Row],[_Row]]+1):INDEX(Tasks[_LeafTotalWork],Tasks[[#This Row],[_Row]]+Tasks[[#This Row],[_Descendants]])),Tasks[[#This Row],[_LeafTotalWork]]))</f>
        <v/>
      </c>
      <c r="BF55" s="23"/>
      <c r="BG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t="str">
        <f aca="false">""</f>
        <v/>
      </c>
      <c r="BI55" s="86"/>
      <c r="BJ55" s="22"/>
      <c r="BK55" s="46" t="str">
        <f aca="false">IF(OR(Tasks[[#This Row],[Task Name]]="",Tasks[[#This Row],[Baseline Duration]]=""),"",Tasks[[#This Row],[_SpanDays]]-N(Tasks[[#This Row],[Baseline Duration]]))</f>
        <v/>
      </c>
      <c r="BL55" s="85" t="str">
        <f aca="false">IF(OR(Tasks[[#This Row],[Task Name]]="",Tasks[[#This Row],[Baseline Work]]=""),"",Tasks[[#This Row],[Work]]-N(Tasks[[#This Row],[Baseline Work]]))</f>
        <v/>
      </c>
      <c r="BM55" s="62" t="str">
        <f aca="false">IF(Tasks[[#This Row],[Task Name]]="","",IF(OR(TakeBaseline="Yes",N(Tasks[[#This Row],[Baseline Start]])=0),Tasks[[#This Row],[Start]],Tasks[[#This Row],[Baseline Start]]))</f>
        <v/>
      </c>
      <c r="BN55" s="62" t="str">
        <f aca="false">IF(Tasks[[#This Row],[Task Name]]="","",IF(OR(TakeBaseline="Yes",N(Tasks[[#This Row],[Baseline Finish]])=0),Tasks[[#This Row],[Finish]],Tasks[[#This Row],[Baseline Finish]]))</f>
        <v/>
      </c>
      <c r="BO55" s="21" t="str">
        <f aca="false">IF(Tasks[[#This Row],[Task Name]]="","",IF(OR(TakeBaseline="Yes",N(Tasks[[#This Row],[Baseline Duration]])=0),Tasks[[#This Row],[_SpanDays]],Tasks[[#This Row],[Baseline Duration]]))</f>
        <v/>
      </c>
      <c r="BP55" s="85" t="str">
        <f aca="false">IF(Tasks[[#This Row],[Task Name]]="","",IF(OR(TakeBaseline="Yes",N(Tasks[[#This Row],[Baseline Work]])=0),Tasks[[#This Row],[Work]],Tasks[[#This Row],[Baseline Work]]))</f>
        <v/>
      </c>
      <c r="BQ55" s="7"/>
      <c r="BR55" s="7"/>
      <c r="BS55" s="22"/>
      <c r="BT55" s="87"/>
      <c r="BU55" s="42" t="str">
        <f aca="false">IF(Tasks[[#This Row],[Task Name]]="","",MAX(1,N(Tasks[[#This Row],[Level]])))</f>
        <v/>
      </c>
      <c r="BV55" s="42" t="n">
        <f aca="false">ROW()-ROW(Tasks[[#Headers],[ID]])</f>
        <v>50</v>
      </c>
      <c r="BW55" s="42" t="n">
        <f aca="false">IF(OR(Tasks[[#This Row],[Task Name]]="",Tasks[[#This Row],[_Level]]&lt;=1),0,IFERROR(LOOKUP(2,1/(Tasks[[#Headers],[_Level]]:Tasks[[#This Row],[_Level]]=Tasks[[#This Row],[_Level]]-1),ROW(Tasks[[#Headers],[_Level]]:Tasks[[#This Row],[_Level]])),0))</f>
        <v>0</v>
      </c>
      <c r="BX55" s="42" t="n">
        <f aca="false">IFERROR(N(INDEX(Tasks[_Level],Tasks[[#This Row],[_Row]]+1)),0)</f>
        <v>0</v>
      </c>
      <c r="BY55" s="88" t="b">
        <f aca="false">AND(Tasks[[#This Row],[Task Name]]&lt;&gt;"",Tasks[[#This Row],[_NextLevel]]&gt;Tasks[[#This Row],[_Level]])</f>
        <v>0</v>
      </c>
      <c r="BZ55" s="42" t="n">
        <f aca="false">IF(Tasks[[#This Row],[_IsSummary]],COUNTIF(Tasks[WBS],Tasks[[#This Row],[WBS]]&amp;".*"),0)</f>
        <v>0</v>
      </c>
      <c r="CA55" s="42" t="n">
        <f aca="false">IF(AND(Tasks[[#This Row],[Task Name]]&lt;&gt;"",NOT(Tasks[[#This Row],[_IsSummary]])),1,0)</f>
        <v>0</v>
      </c>
      <c r="CB55" s="42" t="n">
        <f aca="false">IF(N(Tasks[[#This Row],[_Pred1UID]])=0,0,IFERROR(MATCH(Tasks[[#This Row],[_Pred1UID]],Tasks[UID],0),-1))</f>
        <v>0</v>
      </c>
      <c r="CC55" s="42" t="n">
        <f aca="false">IF(N(Tasks[[#This Row],[_Pred2UID]])=0,0,IFERROR(MATCH(Tasks[[#This Row],[_Pred2UID]],Tasks[UID],0),-1))</f>
        <v>0</v>
      </c>
      <c r="CD55" s="42" t="n">
        <f aca="false">IF(N(Tasks[[#This Row],[_Pred3UID]])=0,0,IFERROR(MATCH(Tasks[[#This Row],[_Pred3UID]],Tasks[UID],0),-1))</f>
        <v>0</v>
      </c>
      <c r="CE55" s="42" t="n">
        <f aca="false">IF(N(Tasks[[#This Row],[_Pred4UID]])=0,0,IFERROR(MATCH(Tasks[[#This Row],[_Pred4UID]],Tasks[UID],0),-1))</f>
        <v>0</v>
      </c>
      <c r="CF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5" s="89" t="n">
        <f aca="false">IF(OR(Tasks[[#This Row],[_ConstraintCode]]=2,Tasks[[#This Row],[_ConstraintCode]]=3,Tasks[[#This Row],[_ConstraintCode]]=4,Tasks[[#This Row],[_ConstraintCode]]=6),Tasks[[#This Row],[_ConstraintStart]],0)</f>
        <v>0</v>
      </c>
      <c r="CI55" s="89" t="n">
        <f aca="false">IF(OR(Tasks[[#This Row],[_ConstraintCode]]=2,Tasks[[#This Row],[_ConstraintCode]]=3,Tasks[[#This Row],[_ConstraintCode]]=5,Tasks[[#This Row],[_ConstraintCode]]=7),Tasks[[#This Row],[_ConstraintStart]],2958465)</f>
        <v>2958465</v>
      </c>
      <c r="CJ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5" s="89" t="str">
        <f aca="false">IF(NOT(Tasks[[#This Row],[_IsLeaf]]=1),"",IF(N(Tasks[[#This Row],[_Days]])&lt;=0,Tasks[[#This Row],[_LeafCalcStart]],WORKDAY.INTL(Tasks[[#This Row],[_LeafCalcStart]],Tasks[[#This Row],[_Days]]-1,WorkWeek,Holidays)))</f>
        <v/>
      </c>
      <c r="CL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5" s="42" t="str">
        <f aca="false">IF(Tasks[[#This Row],[_Predecessors]]="","",TRIM(MID(SUBSTITUTE(SUBSTITUTE(SUBSTITUTE(UPPER(Tasks[[#This Row],[_Predecessors]]),";",",")," ",""),",",REPT(" ",99)),1,99)))</f>
        <v/>
      </c>
      <c r="CO55" s="42" t="str">
        <f aca="false">IF(Tasks[[#This Row],[_Pred1Text]]="","",IFERROR(VALUE(LEFT(Tasks[[#This Row],[_Pred1Text]],MIN(FIND("F",Tasks[[#This Row],[_Pred1Text]]&amp;"F"),FIND("S",Tasks[[#This Row],[_Pred1Text]]&amp;"S"),FIND("+",Tasks[[#This Row],[_Pred1Text]]&amp;"+"),FIND("-",Tasks[[#This Row],[_Pred1Text]]&amp;"-"))-1)),""))</f>
        <v/>
      </c>
      <c r="CP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5" s="42" t="str">
        <f aca="false">IF(Tasks[[#This Row],[_Pred1Text]]="","",TRIM(MID(SUBSTITUTE(SUBSTITUTE(SUBSTITUTE(UPPER(Tasks[[#This Row],[_Predecessors]]),";",",")," ",""),",",REPT(" ",99)),100,99)))</f>
        <v/>
      </c>
      <c r="CS55" s="42" t="str">
        <f aca="false">IF(Tasks[[#This Row],[_Pred2Text]]="","",IFERROR(VALUE(LEFT(Tasks[[#This Row],[_Pred2Text]],MIN(FIND("F",Tasks[[#This Row],[_Pred2Text]]&amp;"F"),FIND("S",Tasks[[#This Row],[_Pred2Text]]&amp;"S"),FIND("+",Tasks[[#This Row],[_Pred2Text]]&amp;"+"),FIND("-",Tasks[[#This Row],[_Pred2Text]]&amp;"-"))-1)),""))</f>
        <v/>
      </c>
      <c r="CT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5" s="42" t="str">
        <f aca="false">IF(Tasks[[#This Row],[_Pred2Text]]="","",TRIM(MID(SUBSTITUTE(SUBSTITUTE(SUBSTITUTE(UPPER(Tasks[[#This Row],[_Predecessors]]),";",",")," ",""),",",REPT(" ",99)),199,99)))</f>
        <v/>
      </c>
      <c r="CW55" s="42" t="str">
        <f aca="false">IF(Tasks[[#This Row],[_Pred3Text]]="","",IFERROR(VALUE(LEFT(Tasks[[#This Row],[_Pred3Text]],MIN(FIND("F",Tasks[[#This Row],[_Pred3Text]]&amp;"F"),FIND("S",Tasks[[#This Row],[_Pred3Text]]&amp;"S"),FIND("+",Tasks[[#This Row],[_Pred3Text]]&amp;"+"),FIND("-",Tasks[[#This Row],[_Pred3Text]]&amp;"-"))-1)),""))</f>
        <v/>
      </c>
      <c r="CX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5" s="42" t="str">
        <f aca="false">IF(Tasks[[#This Row],[_Pred3Text]]="","",TRIM(MID(SUBSTITUTE(SUBSTITUTE(SUBSTITUTE(UPPER(Tasks[[#This Row],[_Predecessors]]),";",",")," ",""),",",REPT(" ",99)),298,99)))</f>
        <v/>
      </c>
      <c r="DA55" s="42" t="str">
        <f aca="false">IF(Tasks[[#This Row],[_Pred4Text]]="","",IFERROR(VALUE(LEFT(Tasks[[#This Row],[_Pred4Text]],MIN(FIND("F",Tasks[[#This Row],[_Pred4Text]]&amp;"F"),FIND("S",Tasks[[#This Row],[_Pred4Text]]&amp;"S"),FIND("+",Tasks[[#This Row],[_Pred4Text]]&amp;"+"),FIND("-",Tasks[[#This Row],[_Pred4Text]]&amp;"-"))-1)),""))</f>
        <v/>
      </c>
      <c r="DB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5" s="42" t="str">
        <f aca="false">IF(OR(Tasks[[#This Row],[Task Name]]="",Tasks[[#This Row],[_Resources]]=""),"",TRIM(MID(SUBSTITUTE(Tasks[[#This Row],[_Resources]],",",REPT(" ",99)),1,99)))</f>
        <v/>
      </c>
      <c r="DE55" s="42" t="str">
        <f aca="false">IF(Tasks[[#This Row],[_Res1Text]]="","",TRIM(MID(SUBSTITUTE(Tasks[[#This Row],[_Resources]],",",REPT(" ",99)),100,99)))</f>
        <v/>
      </c>
      <c r="DF55" s="42" t="str">
        <f aca="false">IF(Tasks[[#This Row],[_Res2Text]]="","",TRIM(MID(SUBSTITUTE(Tasks[[#This Row],[_Resources]],",",REPT(" ",99)),199,99)))</f>
        <v/>
      </c>
      <c r="DG55" s="42" t="str">
        <f aca="false">IF(Tasks[[#This Row],[_Res3Text]]="","",TRIM(MID(SUBSTITUTE(Tasks[[#This Row],[_Resources]],",",REPT(" ",99)),298,99)))</f>
        <v/>
      </c>
      <c r="DH55" s="42" t="n">
        <f aca="false">IF(Tasks[[#This Row],[_Res1Text]]="",0,IFERROR(MATCH(TRIM(LEFT(Tasks[[#This Row],[_Res1Text]],FIND("[",Tasks[[#This Row],[_Res1Text]]&amp;"[")-1)),res_Name,0),IFERROR(MATCH(TRIM(LEFT(Tasks[[#This Row],[_Res1Text]],FIND("[",Tasks[[#This Row],[_Res1Text]]&amp;"[")-1)),res_Initials,0),0)))</f>
        <v>0</v>
      </c>
      <c r="DI55" s="42" t="n">
        <f aca="false">IF(Tasks[[#This Row],[_Res2Text]]="",0,IFERROR(MATCH(TRIM(LEFT(Tasks[[#This Row],[_Res2Text]],FIND("[",Tasks[[#This Row],[_Res2Text]]&amp;"[")-1)),res_Name,0),IFERROR(MATCH(TRIM(LEFT(Tasks[[#This Row],[_Res2Text]],FIND("[",Tasks[[#This Row],[_Res2Text]]&amp;"[")-1)),res_Initials,0),0)))</f>
        <v>0</v>
      </c>
      <c r="DJ55" s="42" t="n">
        <f aca="false">IF(Tasks[[#This Row],[_Res3Text]]="",0,IFERROR(MATCH(TRIM(LEFT(Tasks[[#This Row],[_Res3Text]],FIND("[",Tasks[[#This Row],[_Res3Text]]&amp;"[")-1)),res_Name,0),IFERROR(MATCH(TRIM(LEFT(Tasks[[#This Row],[_Res3Text]],FIND("[",Tasks[[#This Row],[_Res3Text]]&amp;"[")-1)),res_Initials,0),0)))</f>
        <v>0</v>
      </c>
      <c r="DK55" s="42" t="n">
        <f aca="false">IF(Tasks[[#This Row],[_Res4Text]]="",0,IFERROR(MATCH(TRIM(LEFT(Tasks[[#This Row],[_Res4Text]],FIND("[",Tasks[[#This Row],[_Res4Text]]&amp;"[")-1)),res_Name,0),IFERROR(MATCH(TRIM(LEFT(Tasks[[#This Row],[_Res4Text]],FIND("[",Tasks[[#This Row],[_Res4Text]]&amp;"[")-1)),res_Initials,0),0)))</f>
        <v>0</v>
      </c>
      <c r="DL55" s="42" t="str">
        <f aca="false">IF(Tasks[[#This Row],[_Res1Text]]="","",IF(Tasks[[#This Row],[_Res1Row]]&gt;0,INDEX(res_Name,Tasks[[#This Row],[_Res1Row]]),TRIM(LEFT(Tasks[[#This Row],[_Res1Text]],FIND("[",Tasks[[#This Row],[_Res1Text]]&amp;"[")-1))))</f>
        <v/>
      </c>
      <c r="DM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5" s="42" t="n">
        <f aca="false">IF(NOT(Tasks[[#This Row],[_IsLeaf]]=1),0,(Tasks[[#This Row],[_Resource1]]&lt;&gt;"")+(Tasks[[#This Row],[_Res2]]&lt;&gt;"")+(Tasks[[#This Row],[_Res3]]&lt;&gt;"")+(Tasks[[#This Row],[_Res4]]&lt;&gt;""))</f>
        <v>0</v>
      </c>
      <c r="DO55" s="42" t="str">
        <f aca="false">IF(Tasks[[#This Row],[_Res2Text]]="","",IF(Tasks[[#This Row],[_Res2Row]]&gt;0,INDEX(res_Name,Tasks[[#This Row],[_Res2Row]]),TRIM(LEFT(Tasks[[#This Row],[_Res2Text]],FIND("[",Tasks[[#This Row],[_Res2Text]]&amp;"[")-1))))</f>
        <v/>
      </c>
      <c r="DP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5" s="42" t="n">
        <f aca="false">IF(OR(NOT(Tasks[[#This Row],[_IsLeaf]]=1),Tasks[[#This Row],[_Res2Row]]=0),0,N(Tasks[[#This Row],[_Days]])*HoursPerDay*IF(Tasks[[#This Row],[_Res2Units]]="",DefaultUnits,Tasks[[#This Row],[_Res2Units]]))</f>
        <v>0</v>
      </c>
      <c r="DR55" s="42" t="n">
        <f aca="false">IF(AND(AND(Tasks[[#This Row],[_IsLeaf]]=1,Tasks[[#This Row],[_LeafTotalWork]]&gt;0),Tasks[[#This Row],[_Res2Work]]&gt;0),Tasks[[#This Row],[_Res2Work]]/(Tasks[[#This Row],[_FinishWorkday]]-Tasks[[#This Row],[_StartWorkday]]+1),0)</f>
        <v>0</v>
      </c>
      <c r="DS55" s="42" t="n">
        <f aca="false">Tasks[[#This Row],[_Res2WorkPerWD]]*MAX(0,Tasks[[#This Row],[_StartWorkday]]-1)</f>
        <v>0</v>
      </c>
      <c r="DT55" s="42" t="n">
        <f aca="false">Tasks[[#This Row],[_Res2Work]]*Tasks[[#This Row],[_LeafProgress]]</f>
        <v>0</v>
      </c>
      <c r="DU55" s="42" t="str">
        <f aca="false">IF(Tasks[[#This Row],[_Res3Text]]="","",IF(Tasks[[#This Row],[_Res3Row]]&gt;0,INDEX(res_Name,Tasks[[#This Row],[_Res3Row]]),TRIM(LEFT(Tasks[[#This Row],[_Res3Text]],FIND("[",Tasks[[#This Row],[_Res3Text]]&amp;"[")-1))))</f>
        <v/>
      </c>
      <c r="DV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5" s="42" t="n">
        <f aca="false">IF(OR(NOT(Tasks[[#This Row],[_IsLeaf]]=1),Tasks[[#This Row],[_Res3Row]]=0),0,N(Tasks[[#This Row],[_Days]])*HoursPerDay*IF(Tasks[[#This Row],[_Res3Units]]="",DefaultUnits,Tasks[[#This Row],[_Res3Units]]))</f>
        <v>0</v>
      </c>
      <c r="DX55" s="42" t="n">
        <f aca="false">IF(AND(AND(Tasks[[#This Row],[_IsLeaf]]=1,Tasks[[#This Row],[_LeafTotalWork]]&gt;0),Tasks[[#This Row],[_Res3Work]]&gt;0),Tasks[[#This Row],[_Res3Work]]/(Tasks[[#This Row],[_FinishWorkday]]-Tasks[[#This Row],[_StartWorkday]]+1),0)</f>
        <v>0</v>
      </c>
      <c r="DY55" s="42" t="n">
        <f aca="false">Tasks[[#This Row],[_Res3WorkPerWD]]*MAX(0,Tasks[[#This Row],[_StartWorkday]]-1)</f>
        <v>0</v>
      </c>
      <c r="DZ55" s="42" t="n">
        <f aca="false">Tasks[[#This Row],[_Res3Work]]*Tasks[[#This Row],[_LeafProgress]]</f>
        <v>0</v>
      </c>
      <c r="EA55" s="42" t="str">
        <f aca="false">IF(Tasks[[#This Row],[_Res4Text]]="","",IF(Tasks[[#This Row],[_Res4Row]]&gt;0,INDEX(res_Name,Tasks[[#This Row],[_Res4Row]]),TRIM(LEFT(Tasks[[#This Row],[_Res4Text]],FIND("[",Tasks[[#This Row],[_Res4Text]]&amp;"[")-1))))</f>
        <v/>
      </c>
      <c r="EB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5" s="42" t="n">
        <f aca="false">IF(OR(NOT(Tasks[[#This Row],[_IsLeaf]]=1),Tasks[[#This Row],[_Res4Row]]=0),0,N(Tasks[[#This Row],[_Days]])*HoursPerDay*IF(Tasks[[#This Row],[_Res4Units]]="",DefaultUnits,Tasks[[#This Row],[_Res4Units]]))</f>
        <v>0</v>
      </c>
      <c r="ED55" s="42" t="n">
        <f aca="false">IF(AND(AND(Tasks[[#This Row],[_IsLeaf]]=1,Tasks[[#This Row],[_LeafTotalWork]]&gt;0),Tasks[[#This Row],[_Res4Work]]&gt;0),Tasks[[#This Row],[_Res4Work]]/(Tasks[[#This Row],[_FinishWorkday]]-Tasks[[#This Row],[_StartWorkday]]+1),0)</f>
        <v>0</v>
      </c>
      <c r="EE55" s="42" t="n">
        <f aca="false">Tasks[[#This Row],[_Res4WorkPerWD]]*MAX(0,Tasks[[#This Row],[_StartWorkday]]-1)</f>
        <v>0</v>
      </c>
      <c r="EF55" s="42" t="n">
        <f aca="false">Tasks[[#This Row],[_Res4Work]]*Tasks[[#This Row],[_LeafProgress]]</f>
        <v>0</v>
      </c>
      <c r="EG55" s="42" t="n">
        <f aca="false">IF(ISNUMBER(Tasks[[#This Row],[% Complete]]),Tasks[[#This Row],[% Complete]],IF(Tasks[[#This Row],[Stage]]="",0,IFERROR(INDEX(stg_Pct,MATCH(Tasks[[#This Row],[Stage]],stg_Name,0)),0)))</f>
        <v>0</v>
      </c>
      <c r="EH55" s="42" t="n">
        <f aca="false">IF(NOT(Tasks[[#This Row],[_IsLeaf]]=1),0,IF(N(Tasks[[#This Row],[Actual Finish]])&gt;0,1,MIN(1,Tasks[[#This Row],[_Pct]])))</f>
        <v>0</v>
      </c>
      <c r="EI55" s="42" t="n">
        <f aca="false">IF(OR(NOT(Tasks[[#This Row],[_IsLeaf]]=1),Tasks[[#This Row],[_Res1Row]]=0),0,N(Tasks[[#This Row],[_Days]])*HoursPerDay*IF(Tasks[[#This Row],[_Units1]]="",DefaultUnits,Tasks[[#This Row],[_Units1]]))</f>
        <v>0</v>
      </c>
      <c r="EJ55" s="42" t="n">
        <f aca="false">Tasks[[#This Row],[_LeafWork]]+Tasks[[#This Row],[_Res2Work]]+Tasks[[#This Row],[_Res3Work]]+Tasks[[#This Row],[_Res4Work]]</f>
        <v>0</v>
      </c>
      <c r="EK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5" s="42" t="n">
        <f aca="false">IF(NOT(Tasks[[#This Row],[_IsLeaf]]=1),0,MAX(_xlfn.MAXIFS(Tasks[_Row],Tasks[_Pred1UID],Tasks[[#This Row],[UID]]),_xlfn.MAXIFS(Tasks[_Row],Tasks[_Pred2UID],Tasks[[#This Row],[UID]]),_xlfn.MAXIFS(Tasks[_Row],Tasks[_Pred3UID],Tasks[[#This Row],[UID]]),_xlfn.MAXIFS(Tasks[_Row],Tasks[_Pred4UID],Tasks[[#This Row],[UID]])))</f>
        <v>0</v>
      </c>
      <c r="ET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5" s="89" t="str">
        <f aca="false">IF(NOT(Tasks[[#This Row],[_IsLeaf]]=1),"",IF(N(Tasks[[#This Row],[_Days]])&lt;=0,Tasks[[#This Row],[_LeafLateFinish]],WORKDAY.INTL(Tasks[[#This Row],[_LeafLateFinish]],-(Tasks[[#This Row],[_Days]]-1),WorkWeek,Holidays)))</f>
        <v/>
      </c>
      <c r="EW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5" s="88" t="b">
        <f aca="false">AND(Tasks[[#This Row],[_IsLeaf]]=1,Tasks[[#This Row],[_LeafProgress]]&lt;1,N(Tasks[[#This Row],[_LeafTotalSlack]])&lt;=CriticalSlackDays)</f>
        <v>0</v>
      </c>
      <c r="EY55" s="42" t="n">
        <f aca="false">IF(AND(Tasks[[#This Row],[_IsLeaf]]=1,Tasks[[#This Row],[_ConstraintCode]]=1,Tasks[[#This Row],[Mode]]&lt;&gt;"Manual",N(Tasks[[#This Row],[Actual Start]])=0),MAX(0,N(Tasks[[#This Row],[Free Slack]])),0)</f>
        <v>0</v>
      </c>
      <c r="EZ55" s="89" t="str">
        <f aca="false">IF(NOT(Tasks[[#This Row],[_IsLeaf]]=1),"",IF(Tasks[[#This Row],[_AlapShift]]=0,Tasks[[#This Row],[_LeafCalcStart]],WORKDAY.INTL(Tasks[[#This Row],[_LeafCalcStart]],Tasks[[#This Row],[_AlapShift]],WorkWeek,Holidays)))</f>
        <v/>
      </c>
      <c r="FA55" s="89" t="str">
        <f aca="false">IF(NOT(Tasks[[#This Row],[_IsLeaf]]=1),"",IF(Tasks[[#This Row],[_AlapShift]]=0,Tasks[[#This Row],[_LeafCalcFinish]],WORKDAY.INTL(Tasks[[#This Row],[_LeafCalcFinish]],Tasks[[#This Row],[_AlapShift]],WorkWeek,Holidays)))</f>
        <v/>
      </c>
      <c r="FB55" s="89" t="str">
        <f aca="false">IF(NOT(Tasks[[#This Row],[_IsLeaf]]=1),"",IF(Tasks[[#This Row],[_AlapShift]]=0,Tasks[[#This Row],[_LeafFcstStart]],WORKDAY.INTL(Tasks[[#This Row],[_LeafFcstStart]],Tasks[[#This Row],[_AlapShift]],WorkWeek,Holidays)))</f>
        <v/>
      </c>
      <c r="FC55" s="89" t="str">
        <f aca="false">IF(NOT(Tasks[[#This Row],[_IsLeaf]]=1),"",IF(Tasks[[#This Row],[_AlapShift]]=0,Tasks[[#This Row],[_LeafFcstFinish]],WORKDAY.INTL(Tasks[[#This Row],[_LeafFcstFinish]],Tasks[[#This Row],[_AlapShift]],WorkWeek,Holidays)))</f>
        <v/>
      </c>
      <c r="FD55" s="89" t="str">
        <f aca="false">IF(Tasks[[#This Row],[Task Name]]="","",IF(Tasks[[#This Row],[_IsSummary]],MIN(INDEX(Tasks[_ShownCalcStart],Tasks[[#This Row],[_Row]]+1):INDEX(Tasks[_ShownCalcStart],Tasks[[#This Row],[_Row]]+Tasks[[#This Row],[_Descendants]])),Tasks[[#This Row],[_ShownCalcStart]]))</f>
        <v/>
      </c>
      <c r="FE55" s="89" t="str">
        <f aca="false">IF(Tasks[[#This Row],[Task Name]]="","",IF(Tasks[[#This Row],[_IsSummary]],MAX(INDEX(Tasks[_ShownCalcFinish],Tasks[[#This Row],[_Row]]+1):INDEX(Tasks[_ShownCalcFinish],Tasks[[#This Row],[_Row]]+Tasks[[#This Row],[_Descendants]])),Tasks[[#This Row],[_ShownCalcFinish]]))</f>
        <v/>
      </c>
      <c r="FF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5" s="42" t="n">
        <f aca="false">IF(AND(Tasks[[#This Row],[_IsLeaf]]=1,Tasks[[#This Row],[_LeafTotalWork]]&gt;0),NETWORKDAYS.INTL(ProjectStart,Tasks[[#This Row],[_ShownFcstStart]],WorkWeek,Holidays),0)</f>
        <v>0</v>
      </c>
      <c r="FS55" s="42" t="n">
        <f aca="false">IF(AND(Tasks[[#This Row],[_IsLeaf]]=1,Tasks[[#This Row],[_LeafTotalWork]]&gt;0),MAX(Tasks[[#This Row],[_StartWorkday]],NETWORKDAYS.INTL(ProjectStart,Tasks[[#This Row],[_ShownFcstFinish]],WorkWeek,Holidays)),0)</f>
        <v>0</v>
      </c>
      <c r="FT55" s="42" t="n">
        <f aca="false">IF(AND(Tasks[[#This Row],[_IsLeaf]]=1,Tasks[[#This Row],[_LeafTotalWork]]&gt;0),Tasks[[#This Row],[_LeafWork]]/(Tasks[[#This Row],[_FinishWorkday]]-Tasks[[#This Row],[_StartWorkday]]+1),0)</f>
        <v>0</v>
      </c>
      <c r="FU55" s="42" t="n">
        <f aca="false">Tasks[[#This Row],[_WorkPerWorkday]]*(Tasks[[#This Row],[_StartWorkday]]-1)</f>
        <v>-0</v>
      </c>
      <c r="FV55" s="42" t="n">
        <f aca="false">IF(Tasks[[#This Row],[_IsLeaf]]=1,MAX(N(Tasks[[#This Row],[_Days]]),0.1),0)</f>
        <v>0</v>
      </c>
      <c r="FW55" s="42" t="n">
        <f aca="false">Tasks[[#This Row],[_WeightDur]]*Tasks[[#This Row],[_LeafProgress]]</f>
        <v>0</v>
      </c>
      <c r="FX55" s="42" t="n">
        <f aca="false">Tasks[[#This Row],[_WeightDur]]*Tasks[[#This Row],[_PlannedPct]]</f>
        <v>0</v>
      </c>
      <c r="FY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5" s="42" t="str">
        <f aca="false">IF(AND(Tasks[[#This Row],[_IsLeaf]]=1,N(Tasks[[#This Row],[_Days]])=0,Tasks[[#This Row],[_LeafProgress]]&lt;1),Tasks[[#This Row],[_ShownFcstFinish]]+Tasks[[#This Row],[_Row]]/100000,"")</f>
        <v/>
      </c>
      <c r="GA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5" s="42" t="str">
        <f aca="false">IF(Tasks[[#This Row],[Task Name]]="","",LEFT(Tasks[[#This Row],[WBS]],FIND(".",Tasks[[#This Row],[WBS]]&amp;".")-1))</f>
        <v/>
      </c>
      <c r="GC55" s="42" t="str">
        <f aca="false">IF(AND(Tasks[[#This Row],[Task Name]]&lt;&gt;"",Tasks[[#This Row],[_Level]]=1),Tasks[[#This Row],[_Row]],"")</f>
        <v/>
      </c>
      <c r="GD55" s="42" t="str">
        <f aca="false">IF(AND(Tasks[[#This Row],[_IsLeaf]]=1,N(Tasks[[#This Row],[_Days]])=0),Tasks[[#This Row],[Planned Finish]]+Tasks[[#This Row],[_Row]]/100000,"")</f>
        <v/>
      </c>
      <c r="GE55" s="42" t="str">
        <f aca="false">IF(AND(Tasks[[#This Row],[_IsLeaf]]=1,Tasks[[#This Row],[_LeafProgress]]&lt;1,OR(N(Tasks[[#This Row],[Finish Var]])&gt;0,Tasks[[#This Row],[Status]]="Late Start")),MAX(0,Tasks[[#This Row],[Finish Var]])+1-Tasks[[#This Row],[_Row]]/1000000,"")</f>
        <v/>
      </c>
      <c r="GF55" s="42" t="str">
        <f aca="false">IF(AND(Tasks[[#This Row],[_IsLeaf]]=1,N(Tasks[[#This Row],[Actual Start]])=0,Tasks[[#This Row],[_ShownFcstStart]]&gt;=StatusDate,Tasks[[#This Row],[_ShownFcstStart]]&lt;=LookaheadEnd),Tasks[[#This Row],[_ShownFcstStart]]+Tasks[[#This Row],[_Row]]/100000,"")</f>
        <v/>
      </c>
      <c r="GG55" s="42" t="str">
        <f aca="false">IF(AND(Tasks[[#This Row],[_IsLeaf]]=1,Tasks[[#This Row],[_LeafProgress]]&lt;1,Tasks[[#This Row],[_ShownFcstFinish]]&gt;=StatusDate,Tasks[[#This Row],[_ShownFcstFinish]]&lt;=LookaheadEnd),Tasks[[#This Row],[_ShownFcstFinish]]+Tasks[[#This Row],[_Row]]/100000,"")</f>
        <v/>
      </c>
      <c r="GH55" s="42" t="str">
        <f aca="false">IF(Tasks[[#This Row],[_LeafCritical]],Tasks[[#This Row],[_ShownFcstStart]]+Tasks[[#This Row],[_Row]]/100000,"")</f>
        <v/>
      </c>
      <c r="GI55" s="42" t="n">
        <f aca="false">Tasks[[#This Row],[_LeafWork]]*Tasks[[#This Row],[_LeafProgress]]</f>
        <v>0</v>
      </c>
      <c r="GJ55" s="89" t="str">
        <f aca="false">IF(AND(Tasks[[#This Row],[_IsLeaf]]=1,Tasks[[#This Row],[_LeafProgress]]&gt;=1),IF(N(Tasks[[#This Row],[Actual Finish]])&gt;0,Tasks[[#This Row],[Actual Finish]],Tasks[[#This Row],[_ShownFcstFinish]]),"")</f>
        <v/>
      </c>
      <c r="GK55" s="42" t="n">
        <f aca="false">IF(Tasks[[#This Row],[_IsLeaf]]=1,N(Tasks[[#This Row],[Story Points]]),0)</f>
        <v>0</v>
      </c>
      <c r="GL55" s="42" t="str">
        <f aca="false">""</f>
        <v/>
      </c>
      <c r="GM55" s="88" t="b">
        <f aca="false">IF(Tasks[[#This Row],[Task Name]]="",FALSE(),AND(Tasks[[#This Row],[_IsLeaf]]=1,N(Tasks[[#This Row],[_Days]])=0))</f>
        <v>0</v>
      </c>
      <c r="GN55" s="89" t="n">
        <f aca="false">IF(Tasks[[#This Row],[Task Name]]="",0,IF(AND(Tasks[[#This Row],[_IsLeaf]]=1,NOT(Tasks[[#This Row],[_IsMilestone]]),N(Tasks[[#This Row],[Progress]])&gt;0),Tasks[[#This Row],[Start]],0))</f>
        <v>0</v>
      </c>
      <c r="GO55" s="89" t="n">
        <f aca="false">IF(Tasks[[#This Row],[_DoneFrom]]=0,0,IF(Tasks[[#This Row],[Progress]]&gt;=1,Tasks[[#This Row],[Finish]],MAX(Tasks[[#This Row],[_DoneFrom]],Tasks[[#This Row],[Start]]+ROUND((Tasks[[#This Row],[Finish]]-Tasks[[#This Row],[Start]]+1)*Tasks[[#This Row],[Progress]],0)-1)))</f>
        <v>0</v>
      </c>
      <c r="GP55" s="89" t="n">
        <f aca="false">IF(Tasks[[#This Row],[Task Name]]="",0,IF(OR(NOT(Tasks[[#This Row],[_IsLeaf]]=1),Tasks[[#This Row],[_IsMilestone]],N(Tasks[[#This Row],[Progress]])&gt;=1),0,IF(Tasks[[#This Row],[_DoneTo]]&gt;0,Tasks[[#This Row],[_DoneTo]]+1,Tasks[[#This Row],[Start]])))</f>
        <v>0</v>
      </c>
      <c r="GQ55" s="89" t="n">
        <f aca="false">IF(Tasks[[#This Row],[_RemFrom]]=0,0,Tasks[[#This Row],[Finish]])</f>
        <v>0</v>
      </c>
      <c r="GR55" s="88" t="b">
        <f aca="false">IF(Tasks[[#This Row],[Task Name]]="",FALSE(),OR(NOT(BaselineSet),N(Tasks[[#This Row],[Baseline Start]])&gt;0))</f>
        <v>0</v>
      </c>
      <c r="GS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5" s="90" t="str">
        <f aca="false">IF(Tasks[[#This Row],[_IsLeaf]]=1,Tasks[[#This Row],[_Row]],"")</f>
        <v/>
      </c>
      <c r="GW55" s="90" t="str">
        <f aca="false">IFERROR(INDEX(Tasks[UID],SMALL(Tasks[_PickKey],Tasks[[#This Row],[_Row]]))&amp;" "&amp;INDEX(Tasks[Task Name],SMALL(Tasks[_PickKey],Tasks[[#This Row],[_Row]])),"")</f>
        <v/>
      </c>
      <c r="GX55" s="42" t="str">
        <f aca="false">IF(Tasks[[#This Row],[Task Name]]="","",IF(Tasks[[#This Row],[_IsSummary]],NETWORKDAYS.INTL(Tasks[[#This Row],[Start]],Tasks[[#This Row],[Finish]],WorkWeek,Holidays),N(Tasks[[#This Row],[_Days]])))</f>
        <v/>
      </c>
    </row>
    <row r="56" customFormat="false" ht="15" hidden="false" customHeight="false" outlineLevel="0" collapsed="false">
      <c r="A56" s="21" t="str">
        <f aca="false">IF(Tasks[[#This Row],[Task Name]]="","",COUNTA(Tasks[[#Headers],[Task Name]]:Tasks[[#This Row],[Task Name]])-1)</f>
        <v/>
      </c>
      <c r="B56" s="22" t="n">
        <v>64</v>
      </c>
      <c r="C56" s="22"/>
      <c r="D56" s="23"/>
      <c r="E56" s="22"/>
      <c r="F56" s="23"/>
      <c r="G56" s="22"/>
      <c r="H56" s="22"/>
      <c r="I56" s="23"/>
      <c r="J56" s="22"/>
      <c r="K56" s="22"/>
      <c r="L56" s="23"/>
      <c r="M56" s="22"/>
      <c r="N56" s="22"/>
      <c r="O56" s="23"/>
      <c r="P56" s="22"/>
      <c r="Q56" s="22"/>
      <c r="R56" s="23"/>
      <c r="S56" s="23"/>
      <c r="T56" s="83"/>
      <c r="U56" s="23"/>
      <c r="V56" s="83"/>
      <c r="W56" s="23"/>
      <c r="X56" s="83"/>
      <c r="Y56" s="23"/>
      <c r="Z56" s="83"/>
      <c r="AA56" s="23"/>
      <c r="AB56" s="23"/>
      <c r="AC56" s="7"/>
      <c r="AD56" s="7"/>
      <c r="AE56" s="62" t="str">
        <f aca="false">IF(Tasks[[#This Row],[Task Name]]="","",IF(Tasks[[#This Row],[_IsSummary]],MIN(INDEX(Tasks[_ShownFcstStart],Tasks[[#This Row],[_Row]]+1):INDEX(Tasks[_ShownFcstStart],Tasks[[#This Row],[_Row]]+Tasks[[#This Row],[_Descendants]])),Tasks[[#This Row],[_ShownFcstStart]]))</f>
        <v/>
      </c>
      <c r="AF56" s="62" t="str">
        <f aca="false">IF(Tasks[[#This Row],[Task Name]]="","",IF(Tasks[[#This Row],[_IsSummary]],MAX(INDEX(Tasks[_ShownFcstFinish],Tasks[[#This Row],[_Row]]+1):INDEX(Tasks[_ShownFcstFinish],Tasks[[#This Row],[_Row]]+Tasks[[#This Row],[_Descendants]])),Tasks[[#This Row],[_ShownFcstFinish]]))</f>
        <v/>
      </c>
      <c r="AG56" s="21" t="str">
        <f aca="false">""</f>
        <v/>
      </c>
      <c r="AH56" s="23"/>
      <c r="AI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6" s="7"/>
      <c r="AK56" s="22"/>
      <c r="AL56" s="23"/>
      <c r="AM56" s="7"/>
      <c r="AN56" s="46" t="str">
        <f aca="false">IF(Tasks[[#This Row],[Task Name]]="","",IF(Tasks[[#This Row],[Finish]]&gt;=Tasks[[#This Row],[Planned Finish]],NETWORKDAYS.INTL(Tasks[[#This Row],[Planned Finish]],Tasks[[#This Row],[Finish]],WorkWeek,Holidays)-1,1-NETWORKDAYS.INTL(Tasks[[#This Row],[Finish]],Tasks[[#This Row],[Planned Finish]],WorkWeek,Holidays)))</f>
        <v/>
      </c>
      <c r="AO56" s="21" t="str">
        <f aca="false">IF(Tasks[[#This Row],[Task Name]]="","",IF(Tasks[[#This Row],[Progress]]&gt;=1,"Complete",IF(OR(N(Tasks[[#This Row],[Actual Start]])&gt;0,Tasks[[#This Row],[Progress]]&gt;0),IF(Tasks[[#This Row],[Finish Var]]&gt;0,"Behind","In Progress"),IF(Tasks[[#This Row],[Planned Start]]&lt;StatusDate,"Late Start","Not Started"))))</f>
        <v/>
      </c>
      <c r="AP56" s="21" t="str">
        <f aca="false">IF(Tasks[[#This Row],[Task Name]]="","",IF(IF(Tasks[[#This Row],[_IsSummary]],COUNTIF(INDEX(Tasks[_LeafCritical],Tasks[[#This Row],[_Row]]+1):INDEX(Tasks[_LeafCritical],Tasks[[#This Row],[_Row]]+Tasks[[#This Row],[_Descendants]]),TRUE())&gt;0,Tasks[[#This Row],[_LeafCritical]]),"Yes",""))</f>
        <v/>
      </c>
      <c r="AQ56" s="62" t="str">
        <f aca="false">IF(Tasks[[#This Row],[Task Name]]="","",IF(N(Tasks[[#This Row],[Baseline Start]])&gt;0,Tasks[[#This Row],[Baseline Start]],Tasks[[#This Row],[_CalcStart]]))</f>
        <v/>
      </c>
      <c r="AR56" s="62" t="str">
        <f aca="false">IF(Tasks[[#This Row],[Task Name]]="","",IF(N(Tasks[[#This Row],[Baseline Finish]])&gt;0,Tasks[[#This Row],[Baseline Finish]],Tasks[[#This Row],[_CalcFinish]]))</f>
        <v/>
      </c>
      <c r="AS56" s="46" t="str">
        <f aca="false">IF(Tasks[[#This Row],[Task Name]]="","",IF(Tasks[[#This Row],[Start]]&gt;=Tasks[[#This Row],[Planned Start]],NETWORKDAYS.INTL(Tasks[[#This Row],[Planned Start]],Tasks[[#This Row],[Start]],WorkWeek,Holidays)-1,1-NETWORKDAYS.INTL(Tasks[[#This Row],[Start]],Tasks[[#This Row],[Planned Start]],WorkWeek,Holidays)))</f>
        <v/>
      </c>
      <c r="AT56" s="62" t="str">
        <f aca="false">IF(Tasks[[#This Row],[Task Name]]="","",IF(Tasks[[#This Row],[_IsSummary]],MIN(INDEX(Tasks[_LeafLateStart],Tasks[[#This Row],[_Row]]+1):INDEX(Tasks[_LeafLateStart],Tasks[[#This Row],[_Row]]+Tasks[[#This Row],[_Descendants]])),Tasks[[#This Row],[_LeafLateStart]]))</f>
        <v/>
      </c>
      <c r="AU56" s="62" t="str">
        <f aca="false">IF(Tasks[[#This Row],[Task Name]]="","",IF(Tasks[[#This Row],[_IsSummary]],MAX(INDEX(Tasks[_LeafLateFinish],Tasks[[#This Row],[_Row]]+1):INDEX(Tasks[_LeafLateFinish],Tasks[[#This Row],[_Row]]+Tasks[[#This Row],[_Descendants]])),Tasks[[#This Row],[_LeafLateFinish]]))</f>
        <v/>
      </c>
      <c r="AV56" s="46" t="str">
        <f aca="false">IF(Tasks[[#This Row],[Task Name]]="","",IF(Tasks[[#This Row],[_IsSummary]],MIN(INDEX(Tasks[_LeafTotalSlack],Tasks[[#This Row],[_Row]]+1):INDEX(Tasks[_LeafTotalSlack],Tasks[[#This Row],[_Row]]+Tasks[[#This Row],[_Descendants]])),Tasks[[#This Row],[_LeafTotalSlack]]))</f>
        <v/>
      </c>
      <c r="AW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4"/>
      <c r="BA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t="str">
        <f aca="false">IF(Tasks[[#This Row],[Task Name]]="","",IF(Tasks[[#This Row],[_Level]]&lt;=OutlineShowLevel,"Yes","No"))</f>
        <v/>
      </c>
      <c r="BE56" s="85" t="str">
        <f aca="false">IF(Tasks[[#This Row],[Task Name]]="","",IF(Tasks[[#This Row],[_IsSummary]],SUM(INDEX(Tasks[_LeafTotalWork],Tasks[[#This Row],[_Row]]+1):INDEX(Tasks[_LeafTotalWork],Tasks[[#This Row],[_Row]]+Tasks[[#This Row],[_Descendants]])),Tasks[[#This Row],[_LeafTotalWork]]))</f>
        <v/>
      </c>
      <c r="BF56" s="23"/>
      <c r="BG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t="str">
        <f aca="false">""</f>
        <v/>
      </c>
      <c r="BI56" s="86"/>
      <c r="BJ56" s="22"/>
      <c r="BK56" s="46" t="str">
        <f aca="false">IF(OR(Tasks[[#This Row],[Task Name]]="",Tasks[[#This Row],[Baseline Duration]]=""),"",Tasks[[#This Row],[_SpanDays]]-N(Tasks[[#This Row],[Baseline Duration]]))</f>
        <v/>
      </c>
      <c r="BL56" s="85" t="str">
        <f aca="false">IF(OR(Tasks[[#This Row],[Task Name]]="",Tasks[[#This Row],[Baseline Work]]=""),"",Tasks[[#This Row],[Work]]-N(Tasks[[#This Row],[Baseline Work]]))</f>
        <v/>
      </c>
      <c r="BM56" s="62" t="str">
        <f aca="false">IF(Tasks[[#This Row],[Task Name]]="","",IF(OR(TakeBaseline="Yes",N(Tasks[[#This Row],[Baseline Start]])=0),Tasks[[#This Row],[Start]],Tasks[[#This Row],[Baseline Start]]))</f>
        <v/>
      </c>
      <c r="BN56" s="62" t="str">
        <f aca="false">IF(Tasks[[#This Row],[Task Name]]="","",IF(OR(TakeBaseline="Yes",N(Tasks[[#This Row],[Baseline Finish]])=0),Tasks[[#This Row],[Finish]],Tasks[[#This Row],[Baseline Finish]]))</f>
        <v/>
      </c>
      <c r="BO56" s="21" t="str">
        <f aca="false">IF(Tasks[[#This Row],[Task Name]]="","",IF(OR(TakeBaseline="Yes",N(Tasks[[#This Row],[Baseline Duration]])=0),Tasks[[#This Row],[_SpanDays]],Tasks[[#This Row],[Baseline Duration]]))</f>
        <v/>
      </c>
      <c r="BP56" s="85" t="str">
        <f aca="false">IF(Tasks[[#This Row],[Task Name]]="","",IF(OR(TakeBaseline="Yes",N(Tasks[[#This Row],[Baseline Work]])=0),Tasks[[#This Row],[Work]],Tasks[[#This Row],[Baseline Work]]))</f>
        <v/>
      </c>
      <c r="BQ56" s="7"/>
      <c r="BR56" s="7"/>
      <c r="BS56" s="22"/>
      <c r="BT56" s="87"/>
      <c r="BU56" s="42" t="str">
        <f aca="false">IF(Tasks[[#This Row],[Task Name]]="","",MAX(1,N(Tasks[[#This Row],[Level]])))</f>
        <v/>
      </c>
      <c r="BV56" s="42" t="n">
        <f aca="false">ROW()-ROW(Tasks[[#Headers],[ID]])</f>
        <v>51</v>
      </c>
      <c r="BW56" s="42" t="n">
        <f aca="false">IF(OR(Tasks[[#This Row],[Task Name]]="",Tasks[[#This Row],[_Level]]&lt;=1),0,IFERROR(LOOKUP(2,1/(Tasks[[#Headers],[_Level]]:Tasks[[#This Row],[_Level]]=Tasks[[#This Row],[_Level]]-1),ROW(Tasks[[#Headers],[_Level]]:Tasks[[#This Row],[_Level]])),0))</f>
        <v>0</v>
      </c>
      <c r="BX56" s="42" t="n">
        <f aca="false">IFERROR(N(INDEX(Tasks[_Level],Tasks[[#This Row],[_Row]]+1)),0)</f>
        <v>0</v>
      </c>
      <c r="BY56" s="88" t="b">
        <f aca="false">AND(Tasks[[#This Row],[Task Name]]&lt;&gt;"",Tasks[[#This Row],[_NextLevel]]&gt;Tasks[[#This Row],[_Level]])</f>
        <v>0</v>
      </c>
      <c r="BZ56" s="42" t="n">
        <f aca="false">IF(Tasks[[#This Row],[_IsSummary]],COUNTIF(Tasks[WBS],Tasks[[#This Row],[WBS]]&amp;".*"),0)</f>
        <v>0</v>
      </c>
      <c r="CA56" s="42" t="n">
        <f aca="false">IF(AND(Tasks[[#This Row],[Task Name]]&lt;&gt;"",NOT(Tasks[[#This Row],[_IsSummary]])),1,0)</f>
        <v>0</v>
      </c>
      <c r="CB56" s="42" t="n">
        <f aca="false">IF(N(Tasks[[#This Row],[_Pred1UID]])=0,0,IFERROR(MATCH(Tasks[[#This Row],[_Pred1UID]],Tasks[UID],0),-1))</f>
        <v>0</v>
      </c>
      <c r="CC56" s="42" t="n">
        <f aca="false">IF(N(Tasks[[#This Row],[_Pred2UID]])=0,0,IFERROR(MATCH(Tasks[[#This Row],[_Pred2UID]],Tasks[UID],0),-1))</f>
        <v>0</v>
      </c>
      <c r="CD56" s="42" t="n">
        <f aca="false">IF(N(Tasks[[#This Row],[_Pred3UID]])=0,0,IFERROR(MATCH(Tasks[[#This Row],[_Pred3UID]],Tasks[UID],0),-1))</f>
        <v>0</v>
      </c>
      <c r="CE56" s="42" t="n">
        <f aca="false">IF(N(Tasks[[#This Row],[_Pred4UID]])=0,0,IFERROR(MATCH(Tasks[[#This Row],[_Pred4UID]],Tasks[UID],0),-1))</f>
        <v>0</v>
      </c>
      <c r="CF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6" s="89" t="n">
        <f aca="false">IF(OR(Tasks[[#This Row],[_ConstraintCode]]=2,Tasks[[#This Row],[_ConstraintCode]]=3,Tasks[[#This Row],[_ConstraintCode]]=4,Tasks[[#This Row],[_ConstraintCode]]=6),Tasks[[#This Row],[_ConstraintStart]],0)</f>
        <v>0</v>
      </c>
      <c r="CI56" s="89" t="n">
        <f aca="false">IF(OR(Tasks[[#This Row],[_ConstraintCode]]=2,Tasks[[#This Row],[_ConstraintCode]]=3,Tasks[[#This Row],[_ConstraintCode]]=5,Tasks[[#This Row],[_ConstraintCode]]=7),Tasks[[#This Row],[_ConstraintStart]],2958465)</f>
        <v>2958465</v>
      </c>
      <c r="CJ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6" s="89" t="str">
        <f aca="false">IF(NOT(Tasks[[#This Row],[_IsLeaf]]=1),"",IF(N(Tasks[[#This Row],[_Days]])&lt;=0,Tasks[[#This Row],[_LeafCalcStart]],WORKDAY.INTL(Tasks[[#This Row],[_LeafCalcStart]],Tasks[[#This Row],[_Days]]-1,WorkWeek,Holidays)))</f>
        <v/>
      </c>
      <c r="CL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6" s="42" t="str">
        <f aca="false">IF(Tasks[[#This Row],[_Predecessors]]="","",TRIM(MID(SUBSTITUTE(SUBSTITUTE(SUBSTITUTE(UPPER(Tasks[[#This Row],[_Predecessors]]),";",",")," ",""),",",REPT(" ",99)),1,99)))</f>
        <v/>
      </c>
      <c r="CO56" s="42" t="str">
        <f aca="false">IF(Tasks[[#This Row],[_Pred1Text]]="","",IFERROR(VALUE(LEFT(Tasks[[#This Row],[_Pred1Text]],MIN(FIND("F",Tasks[[#This Row],[_Pred1Text]]&amp;"F"),FIND("S",Tasks[[#This Row],[_Pred1Text]]&amp;"S"),FIND("+",Tasks[[#This Row],[_Pred1Text]]&amp;"+"),FIND("-",Tasks[[#This Row],[_Pred1Text]]&amp;"-"))-1)),""))</f>
        <v/>
      </c>
      <c r="CP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6" s="42" t="str">
        <f aca="false">IF(Tasks[[#This Row],[_Pred1Text]]="","",TRIM(MID(SUBSTITUTE(SUBSTITUTE(SUBSTITUTE(UPPER(Tasks[[#This Row],[_Predecessors]]),";",",")," ",""),",",REPT(" ",99)),100,99)))</f>
        <v/>
      </c>
      <c r="CS56" s="42" t="str">
        <f aca="false">IF(Tasks[[#This Row],[_Pred2Text]]="","",IFERROR(VALUE(LEFT(Tasks[[#This Row],[_Pred2Text]],MIN(FIND("F",Tasks[[#This Row],[_Pred2Text]]&amp;"F"),FIND("S",Tasks[[#This Row],[_Pred2Text]]&amp;"S"),FIND("+",Tasks[[#This Row],[_Pred2Text]]&amp;"+"),FIND("-",Tasks[[#This Row],[_Pred2Text]]&amp;"-"))-1)),""))</f>
        <v/>
      </c>
      <c r="CT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6" s="42" t="str">
        <f aca="false">IF(Tasks[[#This Row],[_Pred2Text]]="","",TRIM(MID(SUBSTITUTE(SUBSTITUTE(SUBSTITUTE(UPPER(Tasks[[#This Row],[_Predecessors]]),";",",")," ",""),",",REPT(" ",99)),199,99)))</f>
        <v/>
      </c>
      <c r="CW56" s="42" t="str">
        <f aca="false">IF(Tasks[[#This Row],[_Pred3Text]]="","",IFERROR(VALUE(LEFT(Tasks[[#This Row],[_Pred3Text]],MIN(FIND("F",Tasks[[#This Row],[_Pred3Text]]&amp;"F"),FIND("S",Tasks[[#This Row],[_Pred3Text]]&amp;"S"),FIND("+",Tasks[[#This Row],[_Pred3Text]]&amp;"+"),FIND("-",Tasks[[#This Row],[_Pred3Text]]&amp;"-"))-1)),""))</f>
        <v/>
      </c>
      <c r="CX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6" s="42" t="str">
        <f aca="false">IF(Tasks[[#This Row],[_Pred3Text]]="","",TRIM(MID(SUBSTITUTE(SUBSTITUTE(SUBSTITUTE(UPPER(Tasks[[#This Row],[_Predecessors]]),";",",")," ",""),",",REPT(" ",99)),298,99)))</f>
        <v/>
      </c>
      <c r="DA56" s="42" t="str">
        <f aca="false">IF(Tasks[[#This Row],[_Pred4Text]]="","",IFERROR(VALUE(LEFT(Tasks[[#This Row],[_Pred4Text]],MIN(FIND("F",Tasks[[#This Row],[_Pred4Text]]&amp;"F"),FIND("S",Tasks[[#This Row],[_Pred4Text]]&amp;"S"),FIND("+",Tasks[[#This Row],[_Pred4Text]]&amp;"+"),FIND("-",Tasks[[#This Row],[_Pred4Text]]&amp;"-"))-1)),""))</f>
        <v/>
      </c>
      <c r="DB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6" s="42" t="str">
        <f aca="false">IF(OR(Tasks[[#This Row],[Task Name]]="",Tasks[[#This Row],[_Resources]]=""),"",TRIM(MID(SUBSTITUTE(Tasks[[#This Row],[_Resources]],",",REPT(" ",99)),1,99)))</f>
        <v/>
      </c>
      <c r="DE56" s="42" t="str">
        <f aca="false">IF(Tasks[[#This Row],[_Res1Text]]="","",TRIM(MID(SUBSTITUTE(Tasks[[#This Row],[_Resources]],",",REPT(" ",99)),100,99)))</f>
        <v/>
      </c>
      <c r="DF56" s="42" t="str">
        <f aca="false">IF(Tasks[[#This Row],[_Res2Text]]="","",TRIM(MID(SUBSTITUTE(Tasks[[#This Row],[_Resources]],",",REPT(" ",99)),199,99)))</f>
        <v/>
      </c>
      <c r="DG56" s="42" t="str">
        <f aca="false">IF(Tasks[[#This Row],[_Res3Text]]="","",TRIM(MID(SUBSTITUTE(Tasks[[#This Row],[_Resources]],",",REPT(" ",99)),298,99)))</f>
        <v/>
      </c>
      <c r="DH56" s="42" t="n">
        <f aca="false">IF(Tasks[[#This Row],[_Res1Text]]="",0,IFERROR(MATCH(TRIM(LEFT(Tasks[[#This Row],[_Res1Text]],FIND("[",Tasks[[#This Row],[_Res1Text]]&amp;"[")-1)),res_Name,0),IFERROR(MATCH(TRIM(LEFT(Tasks[[#This Row],[_Res1Text]],FIND("[",Tasks[[#This Row],[_Res1Text]]&amp;"[")-1)),res_Initials,0),0)))</f>
        <v>0</v>
      </c>
      <c r="DI56" s="42" t="n">
        <f aca="false">IF(Tasks[[#This Row],[_Res2Text]]="",0,IFERROR(MATCH(TRIM(LEFT(Tasks[[#This Row],[_Res2Text]],FIND("[",Tasks[[#This Row],[_Res2Text]]&amp;"[")-1)),res_Name,0),IFERROR(MATCH(TRIM(LEFT(Tasks[[#This Row],[_Res2Text]],FIND("[",Tasks[[#This Row],[_Res2Text]]&amp;"[")-1)),res_Initials,0),0)))</f>
        <v>0</v>
      </c>
      <c r="DJ56" s="42" t="n">
        <f aca="false">IF(Tasks[[#This Row],[_Res3Text]]="",0,IFERROR(MATCH(TRIM(LEFT(Tasks[[#This Row],[_Res3Text]],FIND("[",Tasks[[#This Row],[_Res3Text]]&amp;"[")-1)),res_Name,0),IFERROR(MATCH(TRIM(LEFT(Tasks[[#This Row],[_Res3Text]],FIND("[",Tasks[[#This Row],[_Res3Text]]&amp;"[")-1)),res_Initials,0),0)))</f>
        <v>0</v>
      </c>
      <c r="DK56" s="42" t="n">
        <f aca="false">IF(Tasks[[#This Row],[_Res4Text]]="",0,IFERROR(MATCH(TRIM(LEFT(Tasks[[#This Row],[_Res4Text]],FIND("[",Tasks[[#This Row],[_Res4Text]]&amp;"[")-1)),res_Name,0),IFERROR(MATCH(TRIM(LEFT(Tasks[[#This Row],[_Res4Text]],FIND("[",Tasks[[#This Row],[_Res4Text]]&amp;"[")-1)),res_Initials,0),0)))</f>
        <v>0</v>
      </c>
      <c r="DL56" s="42" t="str">
        <f aca="false">IF(Tasks[[#This Row],[_Res1Text]]="","",IF(Tasks[[#This Row],[_Res1Row]]&gt;0,INDEX(res_Name,Tasks[[#This Row],[_Res1Row]]),TRIM(LEFT(Tasks[[#This Row],[_Res1Text]],FIND("[",Tasks[[#This Row],[_Res1Text]]&amp;"[")-1))))</f>
        <v/>
      </c>
      <c r="DM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6" s="42" t="n">
        <f aca="false">IF(NOT(Tasks[[#This Row],[_IsLeaf]]=1),0,(Tasks[[#This Row],[_Resource1]]&lt;&gt;"")+(Tasks[[#This Row],[_Res2]]&lt;&gt;"")+(Tasks[[#This Row],[_Res3]]&lt;&gt;"")+(Tasks[[#This Row],[_Res4]]&lt;&gt;""))</f>
        <v>0</v>
      </c>
      <c r="DO56" s="42" t="str">
        <f aca="false">IF(Tasks[[#This Row],[_Res2Text]]="","",IF(Tasks[[#This Row],[_Res2Row]]&gt;0,INDEX(res_Name,Tasks[[#This Row],[_Res2Row]]),TRIM(LEFT(Tasks[[#This Row],[_Res2Text]],FIND("[",Tasks[[#This Row],[_Res2Text]]&amp;"[")-1))))</f>
        <v/>
      </c>
      <c r="DP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6" s="42" t="n">
        <f aca="false">IF(OR(NOT(Tasks[[#This Row],[_IsLeaf]]=1),Tasks[[#This Row],[_Res2Row]]=0),0,N(Tasks[[#This Row],[_Days]])*HoursPerDay*IF(Tasks[[#This Row],[_Res2Units]]="",DefaultUnits,Tasks[[#This Row],[_Res2Units]]))</f>
        <v>0</v>
      </c>
      <c r="DR56" s="42" t="n">
        <f aca="false">IF(AND(AND(Tasks[[#This Row],[_IsLeaf]]=1,Tasks[[#This Row],[_LeafTotalWork]]&gt;0),Tasks[[#This Row],[_Res2Work]]&gt;0),Tasks[[#This Row],[_Res2Work]]/(Tasks[[#This Row],[_FinishWorkday]]-Tasks[[#This Row],[_StartWorkday]]+1),0)</f>
        <v>0</v>
      </c>
      <c r="DS56" s="42" t="n">
        <f aca="false">Tasks[[#This Row],[_Res2WorkPerWD]]*MAX(0,Tasks[[#This Row],[_StartWorkday]]-1)</f>
        <v>0</v>
      </c>
      <c r="DT56" s="42" t="n">
        <f aca="false">Tasks[[#This Row],[_Res2Work]]*Tasks[[#This Row],[_LeafProgress]]</f>
        <v>0</v>
      </c>
      <c r="DU56" s="42" t="str">
        <f aca="false">IF(Tasks[[#This Row],[_Res3Text]]="","",IF(Tasks[[#This Row],[_Res3Row]]&gt;0,INDEX(res_Name,Tasks[[#This Row],[_Res3Row]]),TRIM(LEFT(Tasks[[#This Row],[_Res3Text]],FIND("[",Tasks[[#This Row],[_Res3Text]]&amp;"[")-1))))</f>
        <v/>
      </c>
      <c r="DV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6" s="42" t="n">
        <f aca="false">IF(OR(NOT(Tasks[[#This Row],[_IsLeaf]]=1),Tasks[[#This Row],[_Res3Row]]=0),0,N(Tasks[[#This Row],[_Days]])*HoursPerDay*IF(Tasks[[#This Row],[_Res3Units]]="",DefaultUnits,Tasks[[#This Row],[_Res3Units]]))</f>
        <v>0</v>
      </c>
      <c r="DX56" s="42" t="n">
        <f aca="false">IF(AND(AND(Tasks[[#This Row],[_IsLeaf]]=1,Tasks[[#This Row],[_LeafTotalWork]]&gt;0),Tasks[[#This Row],[_Res3Work]]&gt;0),Tasks[[#This Row],[_Res3Work]]/(Tasks[[#This Row],[_FinishWorkday]]-Tasks[[#This Row],[_StartWorkday]]+1),0)</f>
        <v>0</v>
      </c>
      <c r="DY56" s="42" t="n">
        <f aca="false">Tasks[[#This Row],[_Res3WorkPerWD]]*MAX(0,Tasks[[#This Row],[_StartWorkday]]-1)</f>
        <v>0</v>
      </c>
      <c r="DZ56" s="42" t="n">
        <f aca="false">Tasks[[#This Row],[_Res3Work]]*Tasks[[#This Row],[_LeafProgress]]</f>
        <v>0</v>
      </c>
      <c r="EA56" s="42" t="str">
        <f aca="false">IF(Tasks[[#This Row],[_Res4Text]]="","",IF(Tasks[[#This Row],[_Res4Row]]&gt;0,INDEX(res_Name,Tasks[[#This Row],[_Res4Row]]),TRIM(LEFT(Tasks[[#This Row],[_Res4Text]],FIND("[",Tasks[[#This Row],[_Res4Text]]&amp;"[")-1))))</f>
        <v/>
      </c>
      <c r="EB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6" s="42" t="n">
        <f aca="false">IF(OR(NOT(Tasks[[#This Row],[_IsLeaf]]=1),Tasks[[#This Row],[_Res4Row]]=0),0,N(Tasks[[#This Row],[_Days]])*HoursPerDay*IF(Tasks[[#This Row],[_Res4Units]]="",DefaultUnits,Tasks[[#This Row],[_Res4Units]]))</f>
        <v>0</v>
      </c>
      <c r="ED56" s="42" t="n">
        <f aca="false">IF(AND(AND(Tasks[[#This Row],[_IsLeaf]]=1,Tasks[[#This Row],[_LeafTotalWork]]&gt;0),Tasks[[#This Row],[_Res4Work]]&gt;0),Tasks[[#This Row],[_Res4Work]]/(Tasks[[#This Row],[_FinishWorkday]]-Tasks[[#This Row],[_StartWorkday]]+1),0)</f>
        <v>0</v>
      </c>
      <c r="EE56" s="42" t="n">
        <f aca="false">Tasks[[#This Row],[_Res4WorkPerWD]]*MAX(0,Tasks[[#This Row],[_StartWorkday]]-1)</f>
        <v>0</v>
      </c>
      <c r="EF56" s="42" t="n">
        <f aca="false">Tasks[[#This Row],[_Res4Work]]*Tasks[[#This Row],[_LeafProgress]]</f>
        <v>0</v>
      </c>
      <c r="EG56" s="42" t="n">
        <f aca="false">IF(ISNUMBER(Tasks[[#This Row],[% Complete]]),Tasks[[#This Row],[% Complete]],IF(Tasks[[#This Row],[Stage]]="",0,IFERROR(INDEX(stg_Pct,MATCH(Tasks[[#This Row],[Stage]],stg_Name,0)),0)))</f>
        <v>0</v>
      </c>
      <c r="EH56" s="42" t="n">
        <f aca="false">IF(NOT(Tasks[[#This Row],[_IsLeaf]]=1),0,IF(N(Tasks[[#This Row],[Actual Finish]])&gt;0,1,MIN(1,Tasks[[#This Row],[_Pct]])))</f>
        <v>0</v>
      </c>
      <c r="EI56" s="42" t="n">
        <f aca="false">IF(OR(NOT(Tasks[[#This Row],[_IsLeaf]]=1),Tasks[[#This Row],[_Res1Row]]=0),0,N(Tasks[[#This Row],[_Days]])*HoursPerDay*IF(Tasks[[#This Row],[_Units1]]="",DefaultUnits,Tasks[[#This Row],[_Units1]]))</f>
        <v>0</v>
      </c>
      <c r="EJ56" s="42" t="n">
        <f aca="false">Tasks[[#This Row],[_LeafWork]]+Tasks[[#This Row],[_Res2Work]]+Tasks[[#This Row],[_Res3Work]]+Tasks[[#This Row],[_Res4Work]]</f>
        <v>0</v>
      </c>
      <c r="EK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6" s="42" t="n">
        <f aca="false">IF(NOT(Tasks[[#This Row],[_IsLeaf]]=1),0,MAX(_xlfn.MAXIFS(Tasks[_Row],Tasks[_Pred1UID],Tasks[[#This Row],[UID]]),_xlfn.MAXIFS(Tasks[_Row],Tasks[_Pred2UID],Tasks[[#This Row],[UID]]),_xlfn.MAXIFS(Tasks[_Row],Tasks[_Pred3UID],Tasks[[#This Row],[UID]]),_xlfn.MAXIFS(Tasks[_Row],Tasks[_Pred4UID],Tasks[[#This Row],[UID]])))</f>
        <v>0</v>
      </c>
      <c r="ET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6" s="89" t="str">
        <f aca="false">IF(NOT(Tasks[[#This Row],[_IsLeaf]]=1),"",IF(N(Tasks[[#This Row],[_Days]])&lt;=0,Tasks[[#This Row],[_LeafLateFinish]],WORKDAY.INTL(Tasks[[#This Row],[_LeafLateFinish]],-(Tasks[[#This Row],[_Days]]-1),WorkWeek,Holidays)))</f>
        <v/>
      </c>
      <c r="EW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6" s="88" t="b">
        <f aca="false">AND(Tasks[[#This Row],[_IsLeaf]]=1,Tasks[[#This Row],[_LeafProgress]]&lt;1,N(Tasks[[#This Row],[_LeafTotalSlack]])&lt;=CriticalSlackDays)</f>
        <v>0</v>
      </c>
      <c r="EY56" s="42" t="n">
        <f aca="false">IF(AND(Tasks[[#This Row],[_IsLeaf]]=1,Tasks[[#This Row],[_ConstraintCode]]=1,Tasks[[#This Row],[Mode]]&lt;&gt;"Manual",N(Tasks[[#This Row],[Actual Start]])=0),MAX(0,N(Tasks[[#This Row],[Free Slack]])),0)</f>
        <v>0</v>
      </c>
      <c r="EZ56" s="89" t="str">
        <f aca="false">IF(NOT(Tasks[[#This Row],[_IsLeaf]]=1),"",IF(Tasks[[#This Row],[_AlapShift]]=0,Tasks[[#This Row],[_LeafCalcStart]],WORKDAY.INTL(Tasks[[#This Row],[_LeafCalcStart]],Tasks[[#This Row],[_AlapShift]],WorkWeek,Holidays)))</f>
        <v/>
      </c>
      <c r="FA56" s="89" t="str">
        <f aca="false">IF(NOT(Tasks[[#This Row],[_IsLeaf]]=1),"",IF(Tasks[[#This Row],[_AlapShift]]=0,Tasks[[#This Row],[_LeafCalcFinish]],WORKDAY.INTL(Tasks[[#This Row],[_LeafCalcFinish]],Tasks[[#This Row],[_AlapShift]],WorkWeek,Holidays)))</f>
        <v/>
      </c>
      <c r="FB56" s="89" t="str">
        <f aca="false">IF(NOT(Tasks[[#This Row],[_IsLeaf]]=1),"",IF(Tasks[[#This Row],[_AlapShift]]=0,Tasks[[#This Row],[_LeafFcstStart]],WORKDAY.INTL(Tasks[[#This Row],[_LeafFcstStart]],Tasks[[#This Row],[_AlapShift]],WorkWeek,Holidays)))</f>
        <v/>
      </c>
      <c r="FC56" s="89" t="str">
        <f aca="false">IF(NOT(Tasks[[#This Row],[_IsLeaf]]=1),"",IF(Tasks[[#This Row],[_AlapShift]]=0,Tasks[[#This Row],[_LeafFcstFinish]],WORKDAY.INTL(Tasks[[#This Row],[_LeafFcstFinish]],Tasks[[#This Row],[_AlapShift]],WorkWeek,Holidays)))</f>
        <v/>
      </c>
      <c r="FD56" s="89" t="str">
        <f aca="false">IF(Tasks[[#This Row],[Task Name]]="","",IF(Tasks[[#This Row],[_IsSummary]],MIN(INDEX(Tasks[_ShownCalcStart],Tasks[[#This Row],[_Row]]+1):INDEX(Tasks[_ShownCalcStart],Tasks[[#This Row],[_Row]]+Tasks[[#This Row],[_Descendants]])),Tasks[[#This Row],[_ShownCalcStart]]))</f>
        <v/>
      </c>
      <c r="FE56" s="89" t="str">
        <f aca="false">IF(Tasks[[#This Row],[Task Name]]="","",IF(Tasks[[#This Row],[_IsSummary]],MAX(INDEX(Tasks[_ShownCalcFinish],Tasks[[#This Row],[_Row]]+1):INDEX(Tasks[_ShownCalcFinish],Tasks[[#This Row],[_Row]]+Tasks[[#This Row],[_Descendants]])),Tasks[[#This Row],[_ShownCalcFinish]]))</f>
        <v/>
      </c>
      <c r="FF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6" s="42" t="n">
        <f aca="false">IF(AND(Tasks[[#This Row],[_IsLeaf]]=1,Tasks[[#This Row],[_LeafTotalWork]]&gt;0),NETWORKDAYS.INTL(ProjectStart,Tasks[[#This Row],[_ShownFcstStart]],WorkWeek,Holidays),0)</f>
        <v>0</v>
      </c>
      <c r="FS56" s="42" t="n">
        <f aca="false">IF(AND(Tasks[[#This Row],[_IsLeaf]]=1,Tasks[[#This Row],[_LeafTotalWork]]&gt;0),MAX(Tasks[[#This Row],[_StartWorkday]],NETWORKDAYS.INTL(ProjectStart,Tasks[[#This Row],[_ShownFcstFinish]],WorkWeek,Holidays)),0)</f>
        <v>0</v>
      </c>
      <c r="FT56" s="42" t="n">
        <f aca="false">IF(AND(Tasks[[#This Row],[_IsLeaf]]=1,Tasks[[#This Row],[_LeafTotalWork]]&gt;0),Tasks[[#This Row],[_LeafWork]]/(Tasks[[#This Row],[_FinishWorkday]]-Tasks[[#This Row],[_StartWorkday]]+1),0)</f>
        <v>0</v>
      </c>
      <c r="FU56" s="42" t="n">
        <f aca="false">Tasks[[#This Row],[_WorkPerWorkday]]*(Tasks[[#This Row],[_StartWorkday]]-1)</f>
        <v>-0</v>
      </c>
      <c r="FV56" s="42" t="n">
        <f aca="false">IF(Tasks[[#This Row],[_IsLeaf]]=1,MAX(N(Tasks[[#This Row],[_Days]]),0.1),0)</f>
        <v>0</v>
      </c>
      <c r="FW56" s="42" t="n">
        <f aca="false">Tasks[[#This Row],[_WeightDur]]*Tasks[[#This Row],[_LeafProgress]]</f>
        <v>0</v>
      </c>
      <c r="FX56" s="42" t="n">
        <f aca="false">Tasks[[#This Row],[_WeightDur]]*Tasks[[#This Row],[_PlannedPct]]</f>
        <v>0</v>
      </c>
      <c r="FY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6" s="42" t="str">
        <f aca="false">IF(AND(Tasks[[#This Row],[_IsLeaf]]=1,N(Tasks[[#This Row],[_Days]])=0,Tasks[[#This Row],[_LeafProgress]]&lt;1),Tasks[[#This Row],[_ShownFcstFinish]]+Tasks[[#This Row],[_Row]]/100000,"")</f>
        <v/>
      </c>
      <c r="GA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6" s="42" t="str">
        <f aca="false">IF(Tasks[[#This Row],[Task Name]]="","",LEFT(Tasks[[#This Row],[WBS]],FIND(".",Tasks[[#This Row],[WBS]]&amp;".")-1))</f>
        <v/>
      </c>
      <c r="GC56" s="42" t="str">
        <f aca="false">IF(AND(Tasks[[#This Row],[Task Name]]&lt;&gt;"",Tasks[[#This Row],[_Level]]=1),Tasks[[#This Row],[_Row]],"")</f>
        <v/>
      </c>
      <c r="GD56" s="42" t="str">
        <f aca="false">IF(AND(Tasks[[#This Row],[_IsLeaf]]=1,N(Tasks[[#This Row],[_Days]])=0),Tasks[[#This Row],[Planned Finish]]+Tasks[[#This Row],[_Row]]/100000,"")</f>
        <v/>
      </c>
      <c r="GE56" s="42" t="str">
        <f aca="false">IF(AND(Tasks[[#This Row],[_IsLeaf]]=1,Tasks[[#This Row],[_LeafProgress]]&lt;1,OR(N(Tasks[[#This Row],[Finish Var]])&gt;0,Tasks[[#This Row],[Status]]="Late Start")),MAX(0,Tasks[[#This Row],[Finish Var]])+1-Tasks[[#This Row],[_Row]]/1000000,"")</f>
        <v/>
      </c>
      <c r="GF56" s="42" t="str">
        <f aca="false">IF(AND(Tasks[[#This Row],[_IsLeaf]]=1,N(Tasks[[#This Row],[Actual Start]])=0,Tasks[[#This Row],[_ShownFcstStart]]&gt;=StatusDate,Tasks[[#This Row],[_ShownFcstStart]]&lt;=LookaheadEnd),Tasks[[#This Row],[_ShownFcstStart]]+Tasks[[#This Row],[_Row]]/100000,"")</f>
        <v/>
      </c>
      <c r="GG56" s="42" t="str">
        <f aca="false">IF(AND(Tasks[[#This Row],[_IsLeaf]]=1,Tasks[[#This Row],[_LeafProgress]]&lt;1,Tasks[[#This Row],[_ShownFcstFinish]]&gt;=StatusDate,Tasks[[#This Row],[_ShownFcstFinish]]&lt;=LookaheadEnd),Tasks[[#This Row],[_ShownFcstFinish]]+Tasks[[#This Row],[_Row]]/100000,"")</f>
        <v/>
      </c>
      <c r="GH56" s="42" t="str">
        <f aca="false">IF(Tasks[[#This Row],[_LeafCritical]],Tasks[[#This Row],[_ShownFcstStart]]+Tasks[[#This Row],[_Row]]/100000,"")</f>
        <v/>
      </c>
      <c r="GI56" s="42" t="n">
        <f aca="false">Tasks[[#This Row],[_LeafWork]]*Tasks[[#This Row],[_LeafProgress]]</f>
        <v>0</v>
      </c>
      <c r="GJ56" s="89" t="str">
        <f aca="false">IF(AND(Tasks[[#This Row],[_IsLeaf]]=1,Tasks[[#This Row],[_LeafProgress]]&gt;=1),IF(N(Tasks[[#This Row],[Actual Finish]])&gt;0,Tasks[[#This Row],[Actual Finish]],Tasks[[#This Row],[_ShownFcstFinish]]),"")</f>
        <v/>
      </c>
      <c r="GK56" s="42" t="n">
        <f aca="false">IF(Tasks[[#This Row],[_IsLeaf]]=1,N(Tasks[[#This Row],[Story Points]]),0)</f>
        <v>0</v>
      </c>
      <c r="GL56" s="42" t="str">
        <f aca="false">""</f>
        <v/>
      </c>
      <c r="GM56" s="88" t="b">
        <f aca="false">IF(Tasks[[#This Row],[Task Name]]="",FALSE(),AND(Tasks[[#This Row],[_IsLeaf]]=1,N(Tasks[[#This Row],[_Days]])=0))</f>
        <v>0</v>
      </c>
      <c r="GN56" s="89" t="n">
        <f aca="false">IF(Tasks[[#This Row],[Task Name]]="",0,IF(AND(Tasks[[#This Row],[_IsLeaf]]=1,NOT(Tasks[[#This Row],[_IsMilestone]]),N(Tasks[[#This Row],[Progress]])&gt;0),Tasks[[#This Row],[Start]],0))</f>
        <v>0</v>
      </c>
      <c r="GO56" s="89" t="n">
        <f aca="false">IF(Tasks[[#This Row],[_DoneFrom]]=0,0,IF(Tasks[[#This Row],[Progress]]&gt;=1,Tasks[[#This Row],[Finish]],MAX(Tasks[[#This Row],[_DoneFrom]],Tasks[[#This Row],[Start]]+ROUND((Tasks[[#This Row],[Finish]]-Tasks[[#This Row],[Start]]+1)*Tasks[[#This Row],[Progress]],0)-1)))</f>
        <v>0</v>
      </c>
      <c r="GP56" s="89" t="n">
        <f aca="false">IF(Tasks[[#This Row],[Task Name]]="",0,IF(OR(NOT(Tasks[[#This Row],[_IsLeaf]]=1),Tasks[[#This Row],[_IsMilestone]],N(Tasks[[#This Row],[Progress]])&gt;=1),0,IF(Tasks[[#This Row],[_DoneTo]]&gt;0,Tasks[[#This Row],[_DoneTo]]+1,Tasks[[#This Row],[Start]])))</f>
        <v>0</v>
      </c>
      <c r="GQ56" s="89" t="n">
        <f aca="false">IF(Tasks[[#This Row],[_RemFrom]]=0,0,Tasks[[#This Row],[Finish]])</f>
        <v>0</v>
      </c>
      <c r="GR56" s="88" t="b">
        <f aca="false">IF(Tasks[[#This Row],[Task Name]]="",FALSE(),OR(NOT(BaselineSet),N(Tasks[[#This Row],[Baseline Start]])&gt;0))</f>
        <v>0</v>
      </c>
      <c r="GS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6" s="90" t="str">
        <f aca="false">IF(Tasks[[#This Row],[_IsLeaf]]=1,Tasks[[#This Row],[_Row]],"")</f>
        <v/>
      </c>
      <c r="GW56" s="90" t="str">
        <f aca="false">IFERROR(INDEX(Tasks[UID],SMALL(Tasks[_PickKey],Tasks[[#This Row],[_Row]]))&amp;" "&amp;INDEX(Tasks[Task Name],SMALL(Tasks[_PickKey],Tasks[[#This Row],[_Row]])),"")</f>
        <v/>
      </c>
      <c r="GX56" s="42" t="str">
        <f aca="false">IF(Tasks[[#This Row],[Task Name]]="","",IF(Tasks[[#This Row],[_IsSummary]],NETWORKDAYS.INTL(Tasks[[#This Row],[Start]],Tasks[[#This Row],[Finish]],WorkWeek,Holidays),N(Tasks[[#This Row],[_Days]])))</f>
        <v/>
      </c>
    </row>
    <row r="57" customFormat="false" ht="15" hidden="false" customHeight="false" outlineLevel="0" collapsed="false">
      <c r="A57" s="21" t="str">
        <f aca="false">IF(Tasks[[#This Row],[Task Name]]="","",COUNTA(Tasks[[#Headers],[Task Name]]:Tasks[[#This Row],[Task Name]])-1)</f>
        <v/>
      </c>
      <c r="B57" s="22" t="n">
        <v>65</v>
      </c>
      <c r="C57" s="22"/>
      <c r="D57" s="23"/>
      <c r="E57" s="22"/>
      <c r="F57" s="23"/>
      <c r="G57" s="22"/>
      <c r="H57" s="22"/>
      <c r="I57" s="23"/>
      <c r="J57" s="22"/>
      <c r="K57" s="22"/>
      <c r="L57" s="23"/>
      <c r="M57" s="22"/>
      <c r="N57" s="22"/>
      <c r="O57" s="23"/>
      <c r="P57" s="22"/>
      <c r="Q57" s="22"/>
      <c r="R57" s="23"/>
      <c r="S57" s="23"/>
      <c r="T57" s="83"/>
      <c r="U57" s="23"/>
      <c r="V57" s="83"/>
      <c r="W57" s="23"/>
      <c r="X57" s="83"/>
      <c r="Y57" s="23"/>
      <c r="Z57" s="83"/>
      <c r="AA57" s="23"/>
      <c r="AB57" s="23"/>
      <c r="AC57" s="7"/>
      <c r="AD57" s="7"/>
      <c r="AE57" s="62" t="str">
        <f aca="false">IF(Tasks[[#This Row],[Task Name]]="","",IF(Tasks[[#This Row],[_IsSummary]],MIN(INDEX(Tasks[_ShownFcstStart],Tasks[[#This Row],[_Row]]+1):INDEX(Tasks[_ShownFcstStart],Tasks[[#This Row],[_Row]]+Tasks[[#This Row],[_Descendants]])),Tasks[[#This Row],[_ShownFcstStart]]))</f>
        <v/>
      </c>
      <c r="AF57" s="62" t="str">
        <f aca="false">IF(Tasks[[#This Row],[Task Name]]="","",IF(Tasks[[#This Row],[_IsSummary]],MAX(INDEX(Tasks[_ShownFcstFinish],Tasks[[#This Row],[_Row]]+1):INDEX(Tasks[_ShownFcstFinish],Tasks[[#This Row],[_Row]]+Tasks[[#This Row],[_Descendants]])),Tasks[[#This Row],[_ShownFcstFinish]]))</f>
        <v/>
      </c>
      <c r="AG57" s="21" t="str">
        <f aca="false">""</f>
        <v/>
      </c>
      <c r="AH57" s="23"/>
      <c r="AI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7" s="7"/>
      <c r="AK57" s="22"/>
      <c r="AL57" s="23"/>
      <c r="AM57" s="7"/>
      <c r="AN57" s="46" t="str">
        <f aca="false">IF(Tasks[[#This Row],[Task Name]]="","",IF(Tasks[[#This Row],[Finish]]&gt;=Tasks[[#This Row],[Planned Finish]],NETWORKDAYS.INTL(Tasks[[#This Row],[Planned Finish]],Tasks[[#This Row],[Finish]],WorkWeek,Holidays)-1,1-NETWORKDAYS.INTL(Tasks[[#This Row],[Finish]],Tasks[[#This Row],[Planned Finish]],WorkWeek,Holidays)))</f>
        <v/>
      </c>
      <c r="AO57" s="21" t="str">
        <f aca="false">IF(Tasks[[#This Row],[Task Name]]="","",IF(Tasks[[#This Row],[Progress]]&gt;=1,"Complete",IF(OR(N(Tasks[[#This Row],[Actual Start]])&gt;0,Tasks[[#This Row],[Progress]]&gt;0),IF(Tasks[[#This Row],[Finish Var]]&gt;0,"Behind","In Progress"),IF(Tasks[[#This Row],[Planned Start]]&lt;StatusDate,"Late Start","Not Started"))))</f>
        <v/>
      </c>
      <c r="AP57" s="21" t="str">
        <f aca="false">IF(Tasks[[#This Row],[Task Name]]="","",IF(IF(Tasks[[#This Row],[_IsSummary]],COUNTIF(INDEX(Tasks[_LeafCritical],Tasks[[#This Row],[_Row]]+1):INDEX(Tasks[_LeafCritical],Tasks[[#This Row],[_Row]]+Tasks[[#This Row],[_Descendants]]),TRUE())&gt;0,Tasks[[#This Row],[_LeafCritical]]),"Yes",""))</f>
        <v/>
      </c>
      <c r="AQ57" s="62" t="str">
        <f aca="false">IF(Tasks[[#This Row],[Task Name]]="","",IF(N(Tasks[[#This Row],[Baseline Start]])&gt;0,Tasks[[#This Row],[Baseline Start]],Tasks[[#This Row],[_CalcStart]]))</f>
        <v/>
      </c>
      <c r="AR57" s="62" t="str">
        <f aca="false">IF(Tasks[[#This Row],[Task Name]]="","",IF(N(Tasks[[#This Row],[Baseline Finish]])&gt;0,Tasks[[#This Row],[Baseline Finish]],Tasks[[#This Row],[_CalcFinish]]))</f>
        <v/>
      </c>
      <c r="AS57" s="46" t="str">
        <f aca="false">IF(Tasks[[#This Row],[Task Name]]="","",IF(Tasks[[#This Row],[Start]]&gt;=Tasks[[#This Row],[Planned Start]],NETWORKDAYS.INTL(Tasks[[#This Row],[Planned Start]],Tasks[[#This Row],[Start]],WorkWeek,Holidays)-1,1-NETWORKDAYS.INTL(Tasks[[#This Row],[Start]],Tasks[[#This Row],[Planned Start]],WorkWeek,Holidays)))</f>
        <v/>
      </c>
      <c r="AT57" s="62" t="str">
        <f aca="false">IF(Tasks[[#This Row],[Task Name]]="","",IF(Tasks[[#This Row],[_IsSummary]],MIN(INDEX(Tasks[_LeafLateStart],Tasks[[#This Row],[_Row]]+1):INDEX(Tasks[_LeafLateStart],Tasks[[#This Row],[_Row]]+Tasks[[#This Row],[_Descendants]])),Tasks[[#This Row],[_LeafLateStart]]))</f>
        <v/>
      </c>
      <c r="AU57" s="62" t="str">
        <f aca="false">IF(Tasks[[#This Row],[Task Name]]="","",IF(Tasks[[#This Row],[_IsSummary]],MAX(INDEX(Tasks[_LeafLateFinish],Tasks[[#This Row],[_Row]]+1):INDEX(Tasks[_LeafLateFinish],Tasks[[#This Row],[_Row]]+Tasks[[#This Row],[_Descendants]])),Tasks[[#This Row],[_LeafLateFinish]]))</f>
        <v/>
      </c>
      <c r="AV57" s="46" t="str">
        <f aca="false">IF(Tasks[[#This Row],[Task Name]]="","",IF(Tasks[[#This Row],[_IsSummary]],MIN(INDEX(Tasks[_LeafTotalSlack],Tasks[[#This Row],[_Row]]+1):INDEX(Tasks[_LeafTotalSlack],Tasks[[#This Row],[_Row]]+Tasks[[#This Row],[_Descendants]])),Tasks[[#This Row],[_LeafTotalSlack]]))</f>
        <v/>
      </c>
      <c r="AW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4"/>
      <c r="BA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t="str">
        <f aca="false">IF(Tasks[[#This Row],[Task Name]]="","",IF(Tasks[[#This Row],[_Level]]&lt;=OutlineShowLevel,"Yes","No"))</f>
        <v/>
      </c>
      <c r="BE57" s="85" t="str">
        <f aca="false">IF(Tasks[[#This Row],[Task Name]]="","",IF(Tasks[[#This Row],[_IsSummary]],SUM(INDEX(Tasks[_LeafTotalWork],Tasks[[#This Row],[_Row]]+1):INDEX(Tasks[_LeafTotalWork],Tasks[[#This Row],[_Row]]+Tasks[[#This Row],[_Descendants]])),Tasks[[#This Row],[_LeafTotalWork]]))</f>
        <v/>
      </c>
      <c r="BF57" s="23"/>
      <c r="BG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t="str">
        <f aca="false">""</f>
        <v/>
      </c>
      <c r="BI57" s="86"/>
      <c r="BJ57" s="22"/>
      <c r="BK57" s="46" t="str">
        <f aca="false">IF(OR(Tasks[[#This Row],[Task Name]]="",Tasks[[#This Row],[Baseline Duration]]=""),"",Tasks[[#This Row],[_SpanDays]]-N(Tasks[[#This Row],[Baseline Duration]]))</f>
        <v/>
      </c>
      <c r="BL57" s="85" t="str">
        <f aca="false">IF(OR(Tasks[[#This Row],[Task Name]]="",Tasks[[#This Row],[Baseline Work]]=""),"",Tasks[[#This Row],[Work]]-N(Tasks[[#This Row],[Baseline Work]]))</f>
        <v/>
      </c>
      <c r="BM57" s="62" t="str">
        <f aca="false">IF(Tasks[[#This Row],[Task Name]]="","",IF(OR(TakeBaseline="Yes",N(Tasks[[#This Row],[Baseline Start]])=0),Tasks[[#This Row],[Start]],Tasks[[#This Row],[Baseline Start]]))</f>
        <v/>
      </c>
      <c r="BN57" s="62" t="str">
        <f aca="false">IF(Tasks[[#This Row],[Task Name]]="","",IF(OR(TakeBaseline="Yes",N(Tasks[[#This Row],[Baseline Finish]])=0),Tasks[[#This Row],[Finish]],Tasks[[#This Row],[Baseline Finish]]))</f>
        <v/>
      </c>
      <c r="BO57" s="21" t="str">
        <f aca="false">IF(Tasks[[#This Row],[Task Name]]="","",IF(OR(TakeBaseline="Yes",N(Tasks[[#This Row],[Baseline Duration]])=0),Tasks[[#This Row],[_SpanDays]],Tasks[[#This Row],[Baseline Duration]]))</f>
        <v/>
      </c>
      <c r="BP57" s="85" t="str">
        <f aca="false">IF(Tasks[[#This Row],[Task Name]]="","",IF(OR(TakeBaseline="Yes",N(Tasks[[#This Row],[Baseline Work]])=0),Tasks[[#This Row],[Work]],Tasks[[#This Row],[Baseline Work]]))</f>
        <v/>
      </c>
      <c r="BQ57" s="7"/>
      <c r="BR57" s="7"/>
      <c r="BS57" s="22"/>
      <c r="BT57" s="87"/>
      <c r="BU57" s="42" t="str">
        <f aca="false">IF(Tasks[[#This Row],[Task Name]]="","",MAX(1,N(Tasks[[#This Row],[Level]])))</f>
        <v/>
      </c>
      <c r="BV57" s="42" t="n">
        <f aca="false">ROW()-ROW(Tasks[[#Headers],[ID]])</f>
        <v>52</v>
      </c>
      <c r="BW57" s="42" t="n">
        <f aca="false">IF(OR(Tasks[[#This Row],[Task Name]]="",Tasks[[#This Row],[_Level]]&lt;=1),0,IFERROR(LOOKUP(2,1/(Tasks[[#Headers],[_Level]]:Tasks[[#This Row],[_Level]]=Tasks[[#This Row],[_Level]]-1),ROW(Tasks[[#Headers],[_Level]]:Tasks[[#This Row],[_Level]])),0))</f>
        <v>0</v>
      </c>
      <c r="BX57" s="42" t="n">
        <f aca="false">IFERROR(N(INDEX(Tasks[_Level],Tasks[[#This Row],[_Row]]+1)),0)</f>
        <v>0</v>
      </c>
      <c r="BY57" s="88" t="b">
        <f aca="false">AND(Tasks[[#This Row],[Task Name]]&lt;&gt;"",Tasks[[#This Row],[_NextLevel]]&gt;Tasks[[#This Row],[_Level]])</f>
        <v>0</v>
      </c>
      <c r="BZ57" s="42" t="n">
        <f aca="false">IF(Tasks[[#This Row],[_IsSummary]],COUNTIF(Tasks[WBS],Tasks[[#This Row],[WBS]]&amp;".*"),0)</f>
        <v>0</v>
      </c>
      <c r="CA57" s="42" t="n">
        <f aca="false">IF(AND(Tasks[[#This Row],[Task Name]]&lt;&gt;"",NOT(Tasks[[#This Row],[_IsSummary]])),1,0)</f>
        <v>0</v>
      </c>
      <c r="CB57" s="42" t="n">
        <f aca="false">IF(N(Tasks[[#This Row],[_Pred1UID]])=0,0,IFERROR(MATCH(Tasks[[#This Row],[_Pred1UID]],Tasks[UID],0),-1))</f>
        <v>0</v>
      </c>
      <c r="CC57" s="42" t="n">
        <f aca="false">IF(N(Tasks[[#This Row],[_Pred2UID]])=0,0,IFERROR(MATCH(Tasks[[#This Row],[_Pred2UID]],Tasks[UID],0),-1))</f>
        <v>0</v>
      </c>
      <c r="CD57" s="42" t="n">
        <f aca="false">IF(N(Tasks[[#This Row],[_Pred3UID]])=0,0,IFERROR(MATCH(Tasks[[#This Row],[_Pred3UID]],Tasks[UID],0),-1))</f>
        <v>0</v>
      </c>
      <c r="CE57" s="42" t="n">
        <f aca="false">IF(N(Tasks[[#This Row],[_Pred4UID]])=0,0,IFERROR(MATCH(Tasks[[#This Row],[_Pred4UID]],Tasks[UID],0),-1))</f>
        <v>0</v>
      </c>
      <c r="CF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7" s="89" t="n">
        <f aca="false">IF(OR(Tasks[[#This Row],[_ConstraintCode]]=2,Tasks[[#This Row],[_ConstraintCode]]=3,Tasks[[#This Row],[_ConstraintCode]]=4,Tasks[[#This Row],[_ConstraintCode]]=6),Tasks[[#This Row],[_ConstraintStart]],0)</f>
        <v>0</v>
      </c>
      <c r="CI57" s="89" t="n">
        <f aca="false">IF(OR(Tasks[[#This Row],[_ConstraintCode]]=2,Tasks[[#This Row],[_ConstraintCode]]=3,Tasks[[#This Row],[_ConstraintCode]]=5,Tasks[[#This Row],[_ConstraintCode]]=7),Tasks[[#This Row],[_ConstraintStart]],2958465)</f>
        <v>2958465</v>
      </c>
      <c r="CJ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7" s="89" t="str">
        <f aca="false">IF(NOT(Tasks[[#This Row],[_IsLeaf]]=1),"",IF(N(Tasks[[#This Row],[_Days]])&lt;=0,Tasks[[#This Row],[_LeafCalcStart]],WORKDAY.INTL(Tasks[[#This Row],[_LeafCalcStart]],Tasks[[#This Row],[_Days]]-1,WorkWeek,Holidays)))</f>
        <v/>
      </c>
      <c r="CL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7" s="42" t="str">
        <f aca="false">IF(Tasks[[#This Row],[_Predecessors]]="","",TRIM(MID(SUBSTITUTE(SUBSTITUTE(SUBSTITUTE(UPPER(Tasks[[#This Row],[_Predecessors]]),";",",")," ",""),",",REPT(" ",99)),1,99)))</f>
        <v/>
      </c>
      <c r="CO57" s="42" t="str">
        <f aca="false">IF(Tasks[[#This Row],[_Pred1Text]]="","",IFERROR(VALUE(LEFT(Tasks[[#This Row],[_Pred1Text]],MIN(FIND("F",Tasks[[#This Row],[_Pred1Text]]&amp;"F"),FIND("S",Tasks[[#This Row],[_Pred1Text]]&amp;"S"),FIND("+",Tasks[[#This Row],[_Pred1Text]]&amp;"+"),FIND("-",Tasks[[#This Row],[_Pred1Text]]&amp;"-"))-1)),""))</f>
        <v/>
      </c>
      <c r="CP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7" s="42" t="str">
        <f aca="false">IF(Tasks[[#This Row],[_Pred1Text]]="","",TRIM(MID(SUBSTITUTE(SUBSTITUTE(SUBSTITUTE(UPPER(Tasks[[#This Row],[_Predecessors]]),";",",")," ",""),",",REPT(" ",99)),100,99)))</f>
        <v/>
      </c>
      <c r="CS57" s="42" t="str">
        <f aca="false">IF(Tasks[[#This Row],[_Pred2Text]]="","",IFERROR(VALUE(LEFT(Tasks[[#This Row],[_Pred2Text]],MIN(FIND("F",Tasks[[#This Row],[_Pred2Text]]&amp;"F"),FIND("S",Tasks[[#This Row],[_Pred2Text]]&amp;"S"),FIND("+",Tasks[[#This Row],[_Pred2Text]]&amp;"+"),FIND("-",Tasks[[#This Row],[_Pred2Text]]&amp;"-"))-1)),""))</f>
        <v/>
      </c>
      <c r="CT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7" s="42" t="str">
        <f aca="false">IF(Tasks[[#This Row],[_Pred2Text]]="","",TRIM(MID(SUBSTITUTE(SUBSTITUTE(SUBSTITUTE(UPPER(Tasks[[#This Row],[_Predecessors]]),";",",")," ",""),",",REPT(" ",99)),199,99)))</f>
        <v/>
      </c>
      <c r="CW57" s="42" t="str">
        <f aca="false">IF(Tasks[[#This Row],[_Pred3Text]]="","",IFERROR(VALUE(LEFT(Tasks[[#This Row],[_Pred3Text]],MIN(FIND("F",Tasks[[#This Row],[_Pred3Text]]&amp;"F"),FIND("S",Tasks[[#This Row],[_Pred3Text]]&amp;"S"),FIND("+",Tasks[[#This Row],[_Pred3Text]]&amp;"+"),FIND("-",Tasks[[#This Row],[_Pred3Text]]&amp;"-"))-1)),""))</f>
        <v/>
      </c>
      <c r="CX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7" s="42" t="str">
        <f aca="false">IF(Tasks[[#This Row],[_Pred3Text]]="","",TRIM(MID(SUBSTITUTE(SUBSTITUTE(SUBSTITUTE(UPPER(Tasks[[#This Row],[_Predecessors]]),";",",")," ",""),",",REPT(" ",99)),298,99)))</f>
        <v/>
      </c>
      <c r="DA57" s="42" t="str">
        <f aca="false">IF(Tasks[[#This Row],[_Pred4Text]]="","",IFERROR(VALUE(LEFT(Tasks[[#This Row],[_Pred4Text]],MIN(FIND("F",Tasks[[#This Row],[_Pred4Text]]&amp;"F"),FIND("S",Tasks[[#This Row],[_Pred4Text]]&amp;"S"),FIND("+",Tasks[[#This Row],[_Pred4Text]]&amp;"+"),FIND("-",Tasks[[#This Row],[_Pred4Text]]&amp;"-"))-1)),""))</f>
        <v/>
      </c>
      <c r="DB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7" s="42" t="str">
        <f aca="false">IF(OR(Tasks[[#This Row],[Task Name]]="",Tasks[[#This Row],[_Resources]]=""),"",TRIM(MID(SUBSTITUTE(Tasks[[#This Row],[_Resources]],",",REPT(" ",99)),1,99)))</f>
        <v/>
      </c>
      <c r="DE57" s="42" t="str">
        <f aca="false">IF(Tasks[[#This Row],[_Res1Text]]="","",TRIM(MID(SUBSTITUTE(Tasks[[#This Row],[_Resources]],",",REPT(" ",99)),100,99)))</f>
        <v/>
      </c>
      <c r="DF57" s="42" t="str">
        <f aca="false">IF(Tasks[[#This Row],[_Res2Text]]="","",TRIM(MID(SUBSTITUTE(Tasks[[#This Row],[_Resources]],",",REPT(" ",99)),199,99)))</f>
        <v/>
      </c>
      <c r="DG57" s="42" t="str">
        <f aca="false">IF(Tasks[[#This Row],[_Res3Text]]="","",TRIM(MID(SUBSTITUTE(Tasks[[#This Row],[_Resources]],",",REPT(" ",99)),298,99)))</f>
        <v/>
      </c>
      <c r="DH57" s="42" t="n">
        <f aca="false">IF(Tasks[[#This Row],[_Res1Text]]="",0,IFERROR(MATCH(TRIM(LEFT(Tasks[[#This Row],[_Res1Text]],FIND("[",Tasks[[#This Row],[_Res1Text]]&amp;"[")-1)),res_Name,0),IFERROR(MATCH(TRIM(LEFT(Tasks[[#This Row],[_Res1Text]],FIND("[",Tasks[[#This Row],[_Res1Text]]&amp;"[")-1)),res_Initials,0),0)))</f>
        <v>0</v>
      </c>
      <c r="DI57" s="42" t="n">
        <f aca="false">IF(Tasks[[#This Row],[_Res2Text]]="",0,IFERROR(MATCH(TRIM(LEFT(Tasks[[#This Row],[_Res2Text]],FIND("[",Tasks[[#This Row],[_Res2Text]]&amp;"[")-1)),res_Name,0),IFERROR(MATCH(TRIM(LEFT(Tasks[[#This Row],[_Res2Text]],FIND("[",Tasks[[#This Row],[_Res2Text]]&amp;"[")-1)),res_Initials,0),0)))</f>
        <v>0</v>
      </c>
      <c r="DJ57" s="42" t="n">
        <f aca="false">IF(Tasks[[#This Row],[_Res3Text]]="",0,IFERROR(MATCH(TRIM(LEFT(Tasks[[#This Row],[_Res3Text]],FIND("[",Tasks[[#This Row],[_Res3Text]]&amp;"[")-1)),res_Name,0),IFERROR(MATCH(TRIM(LEFT(Tasks[[#This Row],[_Res3Text]],FIND("[",Tasks[[#This Row],[_Res3Text]]&amp;"[")-1)),res_Initials,0),0)))</f>
        <v>0</v>
      </c>
      <c r="DK57" s="42" t="n">
        <f aca="false">IF(Tasks[[#This Row],[_Res4Text]]="",0,IFERROR(MATCH(TRIM(LEFT(Tasks[[#This Row],[_Res4Text]],FIND("[",Tasks[[#This Row],[_Res4Text]]&amp;"[")-1)),res_Name,0),IFERROR(MATCH(TRIM(LEFT(Tasks[[#This Row],[_Res4Text]],FIND("[",Tasks[[#This Row],[_Res4Text]]&amp;"[")-1)),res_Initials,0),0)))</f>
        <v>0</v>
      </c>
      <c r="DL57" s="42" t="str">
        <f aca="false">IF(Tasks[[#This Row],[_Res1Text]]="","",IF(Tasks[[#This Row],[_Res1Row]]&gt;0,INDEX(res_Name,Tasks[[#This Row],[_Res1Row]]),TRIM(LEFT(Tasks[[#This Row],[_Res1Text]],FIND("[",Tasks[[#This Row],[_Res1Text]]&amp;"[")-1))))</f>
        <v/>
      </c>
      <c r="DM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7" s="42" t="n">
        <f aca="false">IF(NOT(Tasks[[#This Row],[_IsLeaf]]=1),0,(Tasks[[#This Row],[_Resource1]]&lt;&gt;"")+(Tasks[[#This Row],[_Res2]]&lt;&gt;"")+(Tasks[[#This Row],[_Res3]]&lt;&gt;"")+(Tasks[[#This Row],[_Res4]]&lt;&gt;""))</f>
        <v>0</v>
      </c>
      <c r="DO57" s="42" t="str">
        <f aca="false">IF(Tasks[[#This Row],[_Res2Text]]="","",IF(Tasks[[#This Row],[_Res2Row]]&gt;0,INDEX(res_Name,Tasks[[#This Row],[_Res2Row]]),TRIM(LEFT(Tasks[[#This Row],[_Res2Text]],FIND("[",Tasks[[#This Row],[_Res2Text]]&amp;"[")-1))))</f>
        <v/>
      </c>
      <c r="DP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7" s="42" t="n">
        <f aca="false">IF(OR(NOT(Tasks[[#This Row],[_IsLeaf]]=1),Tasks[[#This Row],[_Res2Row]]=0),0,N(Tasks[[#This Row],[_Days]])*HoursPerDay*IF(Tasks[[#This Row],[_Res2Units]]="",DefaultUnits,Tasks[[#This Row],[_Res2Units]]))</f>
        <v>0</v>
      </c>
      <c r="DR57" s="42" t="n">
        <f aca="false">IF(AND(AND(Tasks[[#This Row],[_IsLeaf]]=1,Tasks[[#This Row],[_LeafTotalWork]]&gt;0),Tasks[[#This Row],[_Res2Work]]&gt;0),Tasks[[#This Row],[_Res2Work]]/(Tasks[[#This Row],[_FinishWorkday]]-Tasks[[#This Row],[_StartWorkday]]+1),0)</f>
        <v>0</v>
      </c>
      <c r="DS57" s="42" t="n">
        <f aca="false">Tasks[[#This Row],[_Res2WorkPerWD]]*MAX(0,Tasks[[#This Row],[_StartWorkday]]-1)</f>
        <v>0</v>
      </c>
      <c r="DT57" s="42" t="n">
        <f aca="false">Tasks[[#This Row],[_Res2Work]]*Tasks[[#This Row],[_LeafProgress]]</f>
        <v>0</v>
      </c>
      <c r="DU57" s="42" t="str">
        <f aca="false">IF(Tasks[[#This Row],[_Res3Text]]="","",IF(Tasks[[#This Row],[_Res3Row]]&gt;0,INDEX(res_Name,Tasks[[#This Row],[_Res3Row]]),TRIM(LEFT(Tasks[[#This Row],[_Res3Text]],FIND("[",Tasks[[#This Row],[_Res3Text]]&amp;"[")-1))))</f>
        <v/>
      </c>
      <c r="DV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7" s="42" t="n">
        <f aca="false">IF(OR(NOT(Tasks[[#This Row],[_IsLeaf]]=1),Tasks[[#This Row],[_Res3Row]]=0),0,N(Tasks[[#This Row],[_Days]])*HoursPerDay*IF(Tasks[[#This Row],[_Res3Units]]="",DefaultUnits,Tasks[[#This Row],[_Res3Units]]))</f>
        <v>0</v>
      </c>
      <c r="DX57" s="42" t="n">
        <f aca="false">IF(AND(AND(Tasks[[#This Row],[_IsLeaf]]=1,Tasks[[#This Row],[_LeafTotalWork]]&gt;0),Tasks[[#This Row],[_Res3Work]]&gt;0),Tasks[[#This Row],[_Res3Work]]/(Tasks[[#This Row],[_FinishWorkday]]-Tasks[[#This Row],[_StartWorkday]]+1),0)</f>
        <v>0</v>
      </c>
      <c r="DY57" s="42" t="n">
        <f aca="false">Tasks[[#This Row],[_Res3WorkPerWD]]*MAX(0,Tasks[[#This Row],[_StartWorkday]]-1)</f>
        <v>0</v>
      </c>
      <c r="DZ57" s="42" t="n">
        <f aca="false">Tasks[[#This Row],[_Res3Work]]*Tasks[[#This Row],[_LeafProgress]]</f>
        <v>0</v>
      </c>
      <c r="EA57" s="42" t="str">
        <f aca="false">IF(Tasks[[#This Row],[_Res4Text]]="","",IF(Tasks[[#This Row],[_Res4Row]]&gt;0,INDEX(res_Name,Tasks[[#This Row],[_Res4Row]]),TRIM(LEFT(Tasks[[#This Row],[_Res4Text]],FIND("[",Tasks[[#This Row],[_Res4Text]]&amp;"[")-1))))</f>
        <v/>
      </c>
      <c r="EB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7" s="42" t="n">
        <f aca="false">IF(OR(NOT(Tasks[[#This Row],[_IsLeaf]]=1),Tasks[[#This Row],[_Res4Row]]=0),0,N(Tasks[[#This Row],[_Days]])*HoursPerDay*IF(Tasks[[#This Row],[_Res4Units]]="",DefaultUnits,Tasks[[#This Row],[_Res4Units]]))</f>
        <v>0</v>
      </c>
      <c r="ED57" s="42" t="n">
        <f aca="false">IF(AND(AND(Tasks[[#This Row],[_IsLeaf]]=1,Tasks[[#This Row],[_LeafTotalWork]]&gt;0),Tasks[[#This Row],[_Res4Work]]&gt;0),Tasks[[#This Row],[_Res4Work]]/(Tasks[[#This Row],[_FinishWorkday]]-Tasks[[#This Row],[_StartWorkday]]+1),0)</f>
        <v>0</v>
      </c>
      <c r="EE57" s="42" t="n">
        <f aca="false">Tasks[[#This Row],[_Res4WorkPerWD]]*MAX(0,Tasks[[#This Row],[_StartWorkday]]-1)</f>
        <v>0</v>
      </c>
      <c r="EF57" s="42" t="n">
        <f aca="false">Tasks[[#This Row],[_Res4Work]]*Tasks[[#This Row],[_LeafProgress]]</f>
        <v>0</v>
      </c>
      <c r="EG57" s="42" t="n">
        <f aca="false">IF(ISNUMBER(Tasks[[#This Row],[% Complete]]),Tasks[[#This Row],[% Complete]],IF(Tasks[[#This Row],[Stage]]="",0,IFERROR(INDEX(stg_Pct,MATCH(Tasks[[#This Row],[Stage]],stg_Name,0)),0)))</f>
        <v>0</v>
      </c>
      <c r="EH57" s="42" t="n">
        <f aca="false">IF(NOT(Tasks[[#This Row],[_IsLeaf]]=1),0,IF(N(Tasks[[#This Row],[Actual Finish]])&gt;0,1,MIN(1,Tasks[[#This Row],[_Pct]])))</f>
        <v>0</v>
      </c>
      <c r="EI57" s="42" t="n">
        <f aca="false">IF(OR(NOT(Tasks[[#This Row],[_IsLeaf]]=1),Tasks[[#This Row],[_Res1Row]]=0),0,N(Tasks[[#This Row],[_Days]])*HoursPerDay*IF(Tasks[[#This Row],[_Units1]]="",DefaultUnits,Tasks[[#This Row],[_Units1]]))</f>
        <v>0</v>
      </c>
      <c r="EJ57" s="42" t="n">
        <f aca="false">Tasks[[#This Row],[_LeafWork]]+Tasks[[#This Row],[_Res2Work]]+Tasks[[#This Row],[_Res3Work]]+Tasks[[#This Row],[_Res4Work]]</f>
        <v>0</v>
      </c>
      <c r="EK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7" s="42" t="n">
        <f aca="false">IF(NOT(Tasks[[#This Row],[_IsLeaf]]=1),0,MAX(_xlfn.MAXIFS(Tasks[_Row],Tasks[_Pred1UID],Tasks[[#This Row],[UID]]),_xlfn.MAXIFS(Tasks[_Row],Tasks[_Pred2UID],Tasks[[#This Row],[UID]]),_xlfn.MAXIFS(Tasks[_Row],Tasks[_Pred3UID],Tasks[[#This Row],[UID]]),_xlfn.MAXIFS(Tasks[_Row],Tasks[_Pred4UID],Tasks[[#This Row],[UID]])))</f>
        <v>0</v>
      </c>
      <c r="ET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7" s="89" t="str">
        <f aca="false">IF(NOT(Tasks[[#This Row],[_IsLeaf]]=1),"",IF(N(Tasks[[#This Row],[_Days]])&lt;=0,Tasks[[#This Row],[_LeafLateFinish]],WORKDAY.INTL(Tasks[[#This Row],[_LeafLateFinish]],-(Tasks[[#This Row],[_Days]]-1),WorkWeek,Holidays)))</f>
        <v/>
      </c>
      <c r="EW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7" s="88" t="b">
        <f aca="false">AND(Tasks[[#This Row],[_IsLeaf]]=1,Tasks[[#This Row],[_LeafProgress]]&lt;1,N(Tasks[[#This Row],[_LeafTotalSlack]])&lt;=CriticalSlackDays)</f>
        <v>0</v>
      </c>
      <c r="EY57" s="42" t="n">
        <f aca="false">IF(AND(Tasks[[#This Row],[_IsLeaf]]=1,Tasks[[#This Row],[_ConstraintCode]]=1,Tasks[[#This Row],[Mode]]&lt;&gt;"Manual",N(Tasks[[#This Row],[Actual Start]])=0),MAX(0,N(Tasks[[#This Row],[Free Slack]])),0)</f>
        <v>0</v>
      </c>
      <c r="EZ57" s="89" t="str">
        <f aca="false">IF(NOT(Tasks[[#This Row],[_IsLeaf]]=1),"",IF(Tasks[[#This Row],[_AlapShift]]=0,Tasks[[#This Row],[_LeafCalcStart]],WORKDAY.INTL(Tasks[[#This Row],[_LeafCalcStart]],Tasks[[#This Row],[_AlapShift]],WorkWeek,Holidays)))</f>
        <v/>
      </c>
      <c r="FA57" s="89" t="str">
        <f aca="false">IF(NOT(Tasks[[#This Row],[_IsLeaf]]=1),"",IF(Tasks[[#This Row],[_AlapShift]]=0,Tasks[[#This Row],[_LeafCalcFinish]],WORKDAY.INTL(Tasks[[#This Row],[_LeafCalcFinish]],Tasks[[#This Row],[_AlapShift]],WorkWeek,Holidays)))</f>
        <v/>
      </c>
      <c r="FB57" s="89" t="str">
        <f aca="false">IF(NOT(Tasks[[#This Row],[_IsLeaf]]=1),"",IF(Tasks[[#This Row],[_AlapShift]]=0,Tasks[[#This Row],[_LeafFcstStart]],WORKDAY.INTL(Tasks[[#This Row],[_LeafFcstStart]],Tasks[[#This Row],[_AlapShift]],WorkWeek,Holidays)))</f>
        <v/>
      </c>
      <c r="FC57" s="89" t="str">
        <f aca="false">IF(NOT(Tasks[[#This Row],[_IsLeaf]]=1),"",IF(Tasks[[#This Row],[_AlapShift]]=0,Tasks[[#This Row],[_LeafFcstFinish]],WORKDAY.INTL(Tasks[[#This Row],[_LeafFcstFinish]],Tasks[[#This Row],[_AlapShift]],WorkWeek,Holidays)))</f>
        <v/>
      </c>
      <c r="FD57" s="89" t="str">
        <f aca="false">IF(Tasks[[#This Row],[Task Name]]="","",IF(Tasks[[#This Row],[_IsSummary]],MIN(INDEX(Tasks[_ShownCalcStart],Tasks[[#This Row],[_Row]]+1):INDEX(Tasks[_ShownCalcStart],Tasks[[#This Row],[_Row]]+Tasks[[#This Row],[_Descendants]])),Tasks[[#This Row],[_ShownCalcStart]]))</f>
        <v/>
      </c>
      <c r="FE57" s="89" t="str">
        <f aca="false">IF(Tasks[[#This Row],[Task Name]]="","",IF(Tasks[[#This Row],[_IsSummary]],MAX(INDEX(Tasks[_ShownCalcFinish],Tasks[[#This Row],[_Row]]+1):INDEX(Tasks[_ShownCalcFinish],Tasks[[#This Row],[_Row]]+Tasks[[#This Row],[_Descendants]])),Tasks[[#This Row],[_ShownCalcFinish]]))</f>
        <v/>
      </c>
      <c r="FF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7" s="42" t="n">
        <f aca="false">IF(AND(Tasks[[#This Row],[_IsLeaf]]=1,Tasks[[#This Row],[_LeafTotalWork]]&gt;0),NETWORKDAYS.INTL(ProjectStart,Tasks[[#This Row],[_ShownFcstStart]],WorkWeek,Holidays),0)</f>
        <v>0</v>
      </c>
      <c r="FS57" s="42" t="n">
        <f aca="false">IF(AND(Tasks[[#This Row],[_IsLeaf]]=1,Tasks[[#This Row],[_LeafTotalWork]]&gt;0),MAX(Tasks[[#This Row],[_StartWorkday]],NETWORKDAYS.INTL(ProjectStart,Tasks[[#This Row],[_ShownFcstFinish]],WorkWeek,Holidays)),0)</f>
        <v>0</v>
      </c>
      <c r="FT57" s="42" t="n">
        <f aca="false">IF(AND(Tasks[[#This Row],[_IsLeaf]]=1,Tasks[[#This Row],[_LeafTotalWork]]&gt;0),Tasks[[#This Row],[_LeafWork]]/(Tasks[[#This Row],[_FinishWorkday]]-Tasks[[#This Row],[_StartWorkday]]+1),0)</f>
        <v>0</v>
      </c>
      <c r="FU57" s="42" t="n">
        <f aca="false">Tasks[[#This Row],[_WorkPerWorkday]]*(Tasks[[#This Row],[_StartWorkday]]-1)</f>
        <v>-0</v>
      </c>
      <c r="FV57" s="42" t="n">
        <f aca="false">IF(Tasks[[#This Row],[_IsLeaf]]=1,MAX(N(Tasks[[#This Row],[_Days]]),0.1),0)</f>
        <v>0</v>
      </c>
      <c r="FW57" s="42" t="n">
        <f aca="false">Tasks[[#This Row],[_WeightDur]]*Tasks[[#This Row],[_LeafProgress]]</f>
        <v>0</v>
      </c>
      <c r="FX57" s="42" t="n">
        <f aca="false">Tasks[[#This Row],[_WeightDur]]*Tasks[[#This Row],[_PlannedPct]]</f>
        <v>0</v>
      </c>
      <c r="FY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7" s="42" t="str">
        <f aca="false">IF(AND(Tasks[[#This Row],[_IsLeaf]]=1,N(Tasks[[#This Row],[_Days]])=0,Tasks[[#This Row],[_LeafProgress]]&lt;1),Tasks[[#This Row],[_ShownFcstFinish]]+Tasks[[#This Row],[_Row]]/100000,"")</f>
        <v/>
      </c>
      <c r="GA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7" s="42" t="str">
        <f aca="false">IF(Tasks[[#This Row],[Task Name]]="","",LEFT(Tasks[[#This Row],[WBS]],FIND(".",Tasks[[#This Row],[WBS]]&amp;".")-1))</f>
        <v/>
      </c>
      <c r="GC57" s="42" t="str">
        <f aca="false">IF(AND(Tasks[[#This Row],[Task Name]]&lt;&gt;"",Tasks[[#This Row],[_Level]]=1),Tasks[[#This Row],[_Row]],"")</f>
        <v/>
      </c>
      <c r="GD57" s="42" t="str">
        <f aca="false">IF(AND(Tasks[[#This Row],[_IsLeaf]]=1,N(Tasks[[#This Row],[_Days]])=0),Tasks[[#This Row],[Planned Finish]]+Tasks[[#This Row],[_Row]]/100000,"")</f>
        <v/>
      </c>
      <c r="GE57" s="42" t="str">
        <f aca="false">IF(AND(Tasks[[#This Row],[_IsLeaf]]=1,Tasks[[#This Row],[_LeafProgress]]&lt;1,OR(N(Tasks[[#This Row],[Finish Var]])&gt;0,Tasks[[#This Row],[Status]]="Late Start")),MAX(0,Tasks[[#This Row],[Finish Var]])+1-Tasks[[#This Row],[_Row]]/1000000,"")</f>
        <v/>
      </c>
      <c r="GF57" s="42" t="str">
        <f aca="false">IF(AND(Tasks[[#This Row],[_IsLeaf]]=1,N(Tasks[[#This Row],[Actual Start]])=0,Tasks[[#This Row],[_ShownFcstStart]]&gt;=StatusDate,Tasks[[#This Row],[_ShownFcstStart]]&lt;=LookaheadEnd),Tasks[[#This Row],[_ShownFcstStart]]+Tasks[[#This Row],[_Row]]/100000,"")</f>
        <v/>
      </c>
      <c r="GG57" s="42" t="str">
        <f aca="false">IF(AND(Tasks[[#This Row],[_IsLeaf]]=1,Tasks[[#This Row],[_LeafProgress]]&lt;1,Tasks[[#This Row],[_ShownFcstFinish]]&gt;=StatusDate,Tasks[[#This Row],[_ShownFcstFinish]]&lt;=LookaheadEnd),Tasks[[#This Row],[_ShownFcstFinish]]+Tasks[[#This Row],[_Row]]/100000,"")</f>
        <v/>
      </c>
      <c r="GH57" s="42" t="str">
        <f aca="false">IF(Tasks[[#This Row],[_LeafCritical]],Tasks[[#This Row],[_ShownFcstStart]]+Tasks[[#This Row],[_Row]]/100000,"")</f>
        <v/>
      </c>
      <c r="GI57" s="42" t="n">
        <f aca="false">Tasks[[#This Row],[_LeafWork]]*Tasks[[#This Row],[_LeafProgress]]</f>
        <v>0</v>
      </c>
      <c r="GJ57" s="89" t="str">
        <f aca="false">IF(AND(Tasks[[#This Row],[_IsLeaf]]=1,Tasks[[#This Row],[_LeafProgress]]&gt;=1),IF(N(Tasks[[#This Row],[Actual Finish]])&gt;0,Tasks[[#This Row],[Actual Finish]],Tasks[[#This Row],[_ShownFcstFinish]]),"")</f>
        <v/>
      </c>
      <c r="GK57" s="42" t="n">
        <f aca="false">IF(Tasks[[#This Row],[_IsLeaf]]=1,N(Tasks[[#This Row],[Story Points]]),0)</f>
        <v>0</v>
      </c>
      <c r="GL57" s="42" t="str">
        <f aca="false">""</f>
        <v/>
      </c>
      <c r="GM57" s="88" t="b">
        <f aca="false">IF(Tasks[[#This Row],[Task Name]]="",FALSE(),AND(Tasks[[#This Row],[_IsLeaf]]=1,N(Tasks[[#This Row],[_Days]])=0))</f>
        <v>0</v>
      </c>
      <c r="GN57" s="89" t="n">
        <f aca="false">IF(Tasks[[#This Row],[Task Name]]="",0,IF(AND(Tasks[[#This Row],[_IsLeaf]]=1,NOT(Tasks[[#This Row],[_IsMilestone]]),N(Tasks[[#This Row],[Progress]])&gt;0),Tasks[[#This Row],[Start]],0))</f>
        <v>0</v>
      </c>
      <c r="GO57" s="89" t="n">
        <f aca="false">IF(Tasks[[#This Row],[_DoneFrom]]=0,0,IF(Tasks[[#This Row],[Progress]]&gt;=1,Tasks[[#This Row],[Finish]],MAX(Tasks[[#This Row],[_DoneFrom]],Tasks[[#This Row],[Start]]+ROUND((Tasks[[#This Row],[Finish]]-Tasks[[#This Row],[Start]]+1)*Tasks[[#This Row],[Progress]],0)-1)))</f>
        <v>0</v>
      </c>
      <c r="GP57" s="89" t="n">
        <f aca="false">IF(Tasks[[#This Row],[Task Name]]="",0,IF(OR(NOT(Tasks[[#This Row],[_IsLeaf]]=1),Tasks[[#This Row],[_IsMilestone]],N(Tasks[[#This Row],[Progress]])&gt;=1),0,IF(Tasks[[#This Row],[_DoneTo]]&gt;0,Tasks[[#This Row],[_DoneTo]]+1,Tasks[[#This Row],[Start]])))</f>
        <v>0</v>
      </c>
      <c r="GQ57" s="89" t="n">
        <f aca="false">IF(Tasks[[#This Row],[_RemFrom]]=0,0,Tasks[[#This Row],[Finish]])</f>
        <v>0</v>
      </c>
      <c r="GR57" s="88" t="b">
        <f aca="false">IF(Tasks[[#This Row],[Task Name]]="",FALSE(),OR(NOT(BaselineSet),N(Tasks[[#This Row],[Baseline Start]])&gt;0))</f>
        <v>0</v>
      </c>
      <c r="GS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7" s="90" t="str">
        <f aca="false">IF(Tasks[[#This Row],[_IsLeaf]]=1,Tasks[[#This Row],[_Row]],"")</f>
        <v/>
      </c>
      <c r="GW57" s="90" t="str">
        <f aca="false">IFERROR(INDEX(Tasks[UID],SMALL(Tasks[_PickKey],Tasks[[#This Row],[_Row]]))&amp;" "&amp;INDEX(Tasks[Task Name],SMALL(Tasks[_PickKey],Tasks[[#This Row],[_Row]])),"")</f>
        <v/>
      </c>
      <c r="GX57" s="42" t="str">
        <f aca="false">IF(Tasks[[#This Row],[Task Name]]="","",IF(Tasks[[#This Row],[_IsSummary]],NETWORKDAYS.INTL(Tasks[[#This Row],[Start]],Tasks[[#This Row],[Finish]],WorkWeek,Holidays),N(Tasks[[#This Row],[_Days]])))</f>
        <v/>
      </c>
    </row>
    <row r="58" customFormat="false" ht="15" hidden="false" customHeight="false" outlineLevel="0" collapsed="false">
      <c r="A58" s="21" t="str">
        <f aca="false">IF(Tasks[[#This Row],[Task Name]]="","",COUNTA(Tasks[[#Headers],[Task Name]]:Tasks[[#This Row],[Task Name]])-1)</f>
        <v/>
      </c>
      <c r="B58" s="22" t="n">
        <v>66</v>
      </c>
      <c r="C58" s="22"/>
      <c r="D58" s="23"/>
      <c r="E58" s="22"/>
      <c r="F58" s="23"/>
      <c r="G58" s="22"/>
      <c r="H58" s="22"/>
      <c r="I58" s="23"/>
      <c r="J58" s="22"/>
      <c r="K58" s="22"/>
      <c r="L58" s="23"/>
      <c r="M58" s="22"/>
      <c r="N58" s="22"/>
      <c r="O58" s="23"/>
      <c r="P58" s="22"/>
      <c r="Q58" s="22"/>
      <c r="R58" s="23"/>
      <c r="S58" s="23"/>
      <c r="T58" s="83"/>
      <c r="U58" s="23"/>
      <c r="V58" s="83"/>
      <c r="W58" s="23"/>
      <c r="X58" s="83"/>
      <c r="Y58" s="23"/>
      <c r="Z58" s="83"/>
      <c r="AA58" s="23"/>
      <c r="AB58" s="23"/>
      <c r="AC58" s="7"/>
      <c r="AD58" s="7"/>
      <c r="AE58" s="62" t="str">
        <f aca="false">IF(Tasks[[#This Row],[Task Name]]="","",IF(Tasks[[#This Row],[_IsSummary]],MIN(INDEX(Tasks[_ShownFcstStart],Tasks[[#This Row],[_Row]]+1):INDEX(Tasks[_ShownFcstStart],Tasks[[#This Row],[_Row]]+Tasks[[#This Row],[_Descendants]])),Tasks[[#This Row],[_ShownFcstStart]]))</f>
        <v/>
      </c>
      <c r="AF58" s="62" t="str">
        <f aca="false">IF(Tasks[[#This Row],[Task Name]]="","",IF(Tasks[[#This Row],[_IsSummary]],MAX(INDEX(Tasks[_ShownFcstFinish],Tasks[[#This Row],[_Row]]+1):INDEX(Tasks[_ShownFcstFinish],Tasks[[#This Row],[_Row]]+Tasks[[#This Row],[_Descendants]])),Tasks[[#This Row],[_ShownFcstFinish]]))</f>
        <v/>
      </c>
      <c r="AG58" s="21" t="str">
        <f aca="false">""</f>
        <v/>
      </c>
      <c r="AH58" s="23"/>
      <c r="AI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8" s="7"/>
      <c r="AK58" s="22"/>
      <c r="AL58" s="23"/>
      <c r="AM58" s="7"/>
      <c r="AN58" s="46" t="str">
        <f aca="false">IF(Tasks[[#This Row],[Task Name]]="","",IF(Tasks[[#This Row],[Finish]]&gt;=Tasks[[#This Row],[Planned Finish]],NETWORKDAYS.INTL(Tasks[[#This Row],[Planned Finish]],Tasks[[#This Row],[Finish]],WorkWeek,Holidays)-1,1-NETWORKDAYS.INTL(Tasks[[#This Row],[Finish]],Tasks[[#This Row],[Planned Finish]],WorkWeek,Holidays)))</f>
        <v/>
      </c>
      <c r="AO58" s="21" t="str">
        <f aca="false">IF(Tasks[[#This Row],[Task Name]]="","",IF(Tasks[[#This Row],[Progress]]&gt;=1,"Complete",IF(OR(N(Tasks[[#This Row],[Actual Start]])&gt;0,Tasks[[#This Row],[Progress]]&gt;0),IF(Tasks[[#This Row],[Finish Var]]&gt;0,"Behind","In Progress"),IF(Tasks[[#This Row],[Planned Start]]&lt;StatusDate,"Late Start","Not Started"))))</f>
        <v/>
      </c>
      <c r="AP58" s="21" t="str">
        <f aca="false">IF(Tasks[[#This Row],[Task Name]]="","",IF(IF(Tasks[[#This Row],[_IsSummary]],COUNTIF(INDEX(Tasks[_LeafCritical],Tasks[[#This Row],[_Row]]+1):INDEX(Tasks[_LeafCritical],Tasks[[#This Row],[_Row]]+Tasks[[#This Row],[_Descendants]]),TRUE())&gt;0,Tasks[[#This Row],[_LeafCritical]]),"Yes",""))</f>
        <v/>
      </c>
      <c r="AQ58" s="62" t="str">
        <f aca="false">IF(Tasks[[#This Row],[Task Name]]="","",IF(N(Tasks[[#This Row],[Baseline Start]])&gt;0,Tasks[[#This Row],[Baseline Start]],Tasks[[#This Row],[_CalcStart]]))</f>
        <v/>
      </c>
      <c r="AR58" s="62" t="str">
        <f aca="false">IF(Tasks[[#This Row],[Task Name]]="","",IF(N(Tasks[[#This Row],[Baseline Finish]])&gt;0,Tasks[[#This Row],[Baseline Finish]],Tasks[[#This Row],[_CalcFinish]]))</f>
        <v/>
      </c>
      <c r="AS58" s="46" t="str">
        <f aca="false">IF(Tasks[[#This Row],[Task Name]]="","",IF(Tasks[[#This Row],[Start]]&gt;=Tasks[[#This Row],[Planned Start]],NETWORKDAYS.INTL(Tasks[[#This Row],[Planned Start]],Tasks[[#This Row],[Start]],WorkWeek,Holidays)-1,1-NETWORKDAYS.INTL(Tasks[[#This Row],[Start]],Tasks[[#This Row],[Planned Start]],WorkWeek,Holidays)))</f>
        <v/>
      </c>
      <c r="AT58" s="62" t="str">
        <f aca="false">IF(Tasks[[#This Row],[Task Name]]="","",IF(Tasks[[#This Row],[_IsSummary]],MIN(INDEX(Tasks[_LeafLateStart],Tasks[[#This Row],[_Row]]+1):INDEX(Tasks[_LeafLateStart],Tasks[[#This Row],[_Row]]+Tasks[[#This Row],[_Descendants]])),Tasks[[#This Row],[_LeafLateStart]]))</f>
        <v/>
      </c>
      <c r="AU58" s="62" t="str">
        <f aca="false">IF(Tasks[[#This Row],[Task Name]]="","",IF(Tasks[[#This Row],[_IsSummary]],MAX(INDEX(Tasks[_LeafLateFinish],Tasks[[#This Row],[_Row]]+1):INDEX(Tasks[_LeafLateFinish],Tasks[[#This Row],[_Row]]+Tasks[[#This Row],[_Descendants]])),Tasks[[#This Row],[_LeafLateFinish]]))</f>
        <v/>
      </c>
      <c r="AV58" s="46" t="str">
        <f aca="false">IF(Tasks[[#This Row],[Task Name]]="","",IF(Tasks[[#This Row],[_IsSummary]],MIN(INDEX(Tasks[_LeafTotalSlack],Tasks[[#This Row],[_Row]]+1):INDEX(Tasks[_LeafTotalSlack],Tasks[[#This Row],[_Row]]+Tasks[[#This Row],[_Descendants]])),Tasks[[#This Row],[_LeafTotalSlack]]))</f>
        <v/>
      </c>
      <c r="AW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4"/>
      <c r="BA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t="str">
        <f aca="false">IF(Tasks[[#This Row],[Task Name]]="","",IF(Tasks[[#This Row],[_Level]]&lt;=OutlineShowLevel,"Yes","No"))</f>
        <v/>
      </c>
      <c r="BE58" s="85" t="str">
        <f aca="false">IF(Tasks[[#This Row],[Task Name]]="","",IF(Tasks[[#This Row],[_IsSummary]],SUM(INDEX(Tasks[_LeafTotalWork],Tasks[[#This Row],[_Row]]+1):INDEX(Tasks[_LeafTotalWork],Tasks[[#This Row],[_Row]]+Tasks[[#This Row],[_Descendants]])),Tasks[[#This Row],[_LeafTotalWork]]))</f>
        <v/>
      </c>
      <c r="BF58" s="23"/>
      <c r="BG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t="str">
        <f aca="false">""</f>
        <v/>
      </c>
      <c r="BI58" s="86"/>
      <c r="BJ58" s="22"/>
      <c r="BK58" s="46" t="str">
        <f aca="false">IF(OR(Tasks[[#This Row],[Task Name]]="",Tasks[[#This Row],[Baseline Duration]]=""),"",Tasks[[#This Row],[_SpanDays]]-N(Tasks[[#This Row],[Baseline Duration]]))</f>
        <v/>
      </c>
      <c r="BL58" s="85" t="str">
        <f aca="false">IF(OR(Tasks[[#This Row],[Task Name]]="",Tasks[[#This Row],[Baseline Work]]=""),"",Tasks[[#This Row],[Work]]-N(Tasks[[#This Row],[Baseline Work]]))</f>
        <v/>
      </c>
      <c r="BM58" s="62" t="str">
        <f aca="false">IF(Tasks[[#This Row],[Task Name]]="","",IF(OR(TakeBaseline="Yes",N(Tasks[[#This Row],[Baseline Start]])=0),Tasks[[#This Row],[Start]],Tasks[[#This Row],[Baseline Start]]))</f>
        <v/>
      </c>
      <c r="BN58" s="62" t="str">
        <f aca="false">IF(Tasks[[#This Row],[Task Name]]="","",IF(OR(TakeBaseline="Yes",N(Tasks[[#This Row],[Baseline Finish]])=0),Tasks[[#This Row],[Finish]],Tasks[[#This Row],[Baseline Finish]]))</f>
        <v/>
      </c>
      <c r="BO58" s="21" t="str">
        <f aca="false">IF(Tasks[[#This Row],[Task Name]]="","",IF(OR(TakeBaseline="Yes",N(Tasks[[#This Row],[Baseline Duration]])=0),Tasks[[#This Row],[_SpanDays]],Tasks[[#This Row],[Baseline Duration]]))</f>
        <v/>
      </c>
      <c r="BP58" s="85" t="str">
        <f aca="false">IF(Tasks[[#This Row],[Task Name]]="","",IF(OR(TakeBaseline="Yes",N(Tasks[[#This Row],[Baseline Work]])=0),Tasks[[#This Row],[Work]],Tasks[[#This Row],[Baseline Work]]))</f>
        <v/>
      </c>
      <c r="BQ58" s="7"/>
      <c r="BR58" s="7"/>
      <c r="BS58" s="22"/>
      <c r="BT58" s="87"/>
      <c r="BU58" s="42" t="str">
        <f aca="false">IF(Tasks[[#This Row],[Task Name]]="","",MAX(1,N(Tasks[[#This Row],[Level]])))</f>
        <v/>
      </c>
      <c r="BV58" s="42" t="n">
        <f aca="false">ROW()-ROW(Tasks[[#Headers],[ID]])</f>
        <v>53</v>
      </c>
      <c r="BW58" s="42" t="n">
        <f aca="false">IF(OR(Tasks[[#This Row],[Task Name]]="",Tasks[[#This Row],[_Level]]&lt;=1),0,IFERROR(LOOKUP(2,1/(Tasks[[#Headers],[_Level]]:Tasks[[#This Row],[_Level]]=Tasks[[#This Row],[_Level]]-1),ROW(Tasks[[#Headers],[_Level]]:Tasks[[#This Row],[_Level]])),0))</f>
        <v>0</v>
      </c>
      <c r="BX58" s="42" t="n">
        <f aca="false">IFERROR(N(INDEX(Tasks[_Level],Tasks[[#This Row],[_Row]]+1)),0)</f>
        <v>0</v>
      </c>
      <c r="BY58" s="88" t="b">
        <f aca="false">AND(Tasks[[#This Row],[Task Name]]&lt;&gt;"",Tasks[[#This Row],[_NextLevel]]&gt;Tasks[[#This Row],[_Level]])</f>
        <v>0</v>
      </c>
      <c r="BZ58" s="42" t="n">
        <f aca="false">IF(Tasks[[#This Row],[_IsSummary]],COUNTIF(Tasks[WBS],Tasks[[#This Row],[WBS]]&amp;".*"),0)</f>
        <v>0</v>
      </c>
      <c r="CA58" s="42" t="n">
        <f aca="false">IF(AND(Tasks[[#This Row],[Task Name]]&lt;&gt;"",NOT(Tasks[[#This Row],[_IsSummary]])),1,0)</f>
        <v>0</v>
      </c>
      <c r="CB58" s="42" t="n">
        <f aca="false">IF(N(Tasks[[#This Row],[_Pred1UID]])=0,0,IFERROR(MATCH(Tasks[[#This Row],[_Pred1UID]],Tasks[UID],0),-1))</f>
        <v>0</v>
      </c>
      <c r="CC58" s="42" t="n">
        <f aca="false">IF(N(Tasks[[#This Row],[_Pred2UID]])=0,0,IFERROR(MATCH(Tasks[[#This Row],[_Pred2UID]],Tasks[UID],0),-1))</f>
        <v>0</v>
      </c>
      <c r="CD58" s="42" t="n">
        <f aca="false">IF(N(Tasks[[#This Row],[_Pred3UID]])=0,0,IFERROR(MATCH(Tasks[[#This Row],[_Pred3UID]],Tasks[UID],0),-1))</f>
        <v>0</v>
      </c>
      <c r="CE58" s="42" t="n">
        <f aca="false">IF(N(Tasks[[#This Row],[_Pred4UID]])=0,0,IFERROR(MATCH(Tasks[[#This Row],[_Pred4UID]],Tasks[UID],0),-1))</f>
        <v>0</v>
      </c>
      <c r="CF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8" s="89" t="n">
        <f aca="false">IF(OR(Tasks[[#This Row],[_ConstraintCode]]=2,Tasks[[#This Row],[_ConstraintCode]]=3,Tasks[[#This Row],[_ConstraintCode]]=4,Tasks[[#This Row],[_ConstraintCode]]=6),Tasks[[#This Row],[_ConstraintStart]],0)</f>
        <v>0</v>
      </c>
      <c r="CI58" s="89" t="n">
        <f aca="false">IF(OR(Tasks[[#This Row],[_ConstraintCode]]=2,Tasks[[#This Row],[_ConstraintCode]]=3,Tasks[[#This Row],[_ConstraintCode]]=5,Tasks[[#This Row],[_ConstraintCode]]=7),Tasks[[#This Row],[_ConstraintStart]],2958465)</f>
        <v>2958465</v>
      </c>
      <c r="CJ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8" s="89" t="str">
        <f aca="false">IF(NOT(Tasks[[#This Row],[_IsLeaf]]=1),"",IF(N(Tasks[[#This Row],[_Days]])&lt;=0,Tasks[[#This Row],[_LeafCalcStart]],WORKDAY.INTL(Tasks[[#This Row],[_LeafCalcStart]],Tasks[[#This Row],[_Days]]-1,WorkWeek,Holidays)))</f>
        <v/>
      </c>
      <c r="CL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8" s="42" t="str">
        <f aca="false">IF(Tasks[[#This Row],[_Predecessors]]="","",TRIM(MID(SUBSTITUTE(SUBSTITUTE(SUBSTITUTE(UPPER(Tasks[[#This Row],[_Predecessors]]),";",",")," ",""),",",REPT(" ",99)),1,99)))</f>
        <v/>
      </c>
      <c r="CO58" s="42" t="str">
        <f aca="false">IF(Tasks[[#This Row],[_Pred1Text]]="","",IFERROR(VALUE(LEFT(Tasks[[#This Row],[_Pred1Text]],MIN(FIND("F",Tasks[[#This Row],[_Pred1Text]]&amp;"F"),FIND("S",Tasks[[#This Row],[_Pred1Text]]&amp;"S"),FIND("+",Tasks[[#This Row],[_Pred1Text]]&amp;"+"),FIND("-",Tasks[[#This Row],[_Pred1Text]]&amp;"-"))-1)),""))</f>
        <v/>
      </c>
      <c r="CP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8" s="42" t="str">
        <f aca="false">IF(Tasks[[#This Row],[_Pred1Text]]="","",TRIM(MID(SUBSTITUTE(SUBSTITUTE(SUBSTITUTE(UPPER(Tasks[[#This Row],[_Predecessors]]),";",",")," ",""),",",REPT(" ",99)),100,99)))</f>
        <v/>
      </c>
      <c r="CS58" s="42" t="str">
        <f aca="false">IF(Tasks[[#This Row],[_Pred2Text]]="","",IFERROR(VALUE(LEFT(Tasks[[#This Row],[_Pred2Text]],MIN(FIND("F",Tasks[[#This Row],[_Pred2Text]]&amp;"F"),FIND("S",Tasks[[#This Row],[_Pred2Text]]&amp;"S"),FIND("+",Tasks[[#This Row],[_Pred2Text]]&amp;"+"),FIND("-",Tasks[[#This Row],[_Pred2Text]]&amp;"-"))-1)),""))</f>
        <v/>
      </c>
      <c r="CT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8" s="42" t="str">
        <f aca="false">IF(Tasks[[#This Row],[_Pred2Text]]="","",TRIM(MID(SUBSTITUTE(SUBSTITUTE(SUBSTITUTE(UPPER(Tasks[[#This Row],[_Predecessors]]),";",",")," ",""),",",REPT(" ",99)),199,99)))</f>
        <v/>
      </c>
      <c r="CW58" s="42" t="str">
        <f aca="false">IF(Tasks[[#This Row],[_Pred3Text]]="","",IFERROR(VALUE(LEFT(Tasks[[#This Row],[_Pred3Text]],MIN(FIND("F",Tasks[[#This Row],[_Pred3Text]]&amp;"F"),FIND("S",Tasks[[#This Row],[_Pred3Text]]&amp;"S"),FIND("+",Tasks[[#This Row],[_Pred3Text]]&amp;"+"),FIND("-",Tasks[[#This Row],[_Pred3Text]]&amp;"-"))-1)),""))</f>
        <v/>
      </c>
      <c r="CX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8" s="42" t="str">
        <f aca="false">IF(Tasks[[#This Row],[_Pred3Text]]="","",TRIM(MID(SUBSTITUTE(SUBSTITUTE(SUBSTITUTE(UPPER(Tasks[[#This Row],[_Predecessors]]),";",",")," ",""),",",REPT(" ",99)),298,99)))</f>
        <v/>
      </c>
      <c r="DA58" s="42" t="str">
        <f aca="false">IF(Tasks[[#This Row],[_Pred4Text]]="","",IFERROR(VALUE(LEFT(Tasks[[#This Row],[_Pred4Text]],MIN(FIND("F",Tasks[[#This Row],[_Pred4Text]]&amp;"F"),FIND("S",Tasks[[#This Row],[_Pred4Text]]&amp;"S"),FIND("+",Tasks[[#This Row],[_Pred4Text]]&amp;"+"),FIND("-",Tasks[[#This Row],[_Pred4Text]]&amp;"-"))-1)),""))</f>
        <v/>
      </c>
      <c r="DB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8" s="42" t="str">
        <f aca="false">IF(OR(Tasks[[#This Row],[Task Name]]="",Tasks[[#This Row],[_Resources]]=""),"",TRIM(MID(SUBSTITUTE(Tasks[[#This Row],[_Resources]],",",REPT(" ",99)),1,99)))</f>
        <v/>
      </c>
      <c r="DE58" s="42" t="str">
        <f aca="false">IF(Tasks[[#This Row],[_Res1Text]]="","",TRIM(MID(SUBSTITUTE(Tasks[[#This Row],[_Resources]],",",REPT(" ",99)),100,99)))</f>
        <v/>
      </c>
      <c r="DF58" s="42" t="str">
        <f aca="false">IF(Tasks[[#This Row],[_Res2Text]]="","",TRIM(MID(SUBSTITUTE(Tasks[[#This Row],[_Resources]],",",REPT(" ",99)),199,99)))</f>
        <v/>
      </c>
      <c r="DG58" s="42" t="str">
        <f aca="false">IF(Tasks[[#This Row],[_Res3Text]]="","",TRIM(MID(SUBSTITUTE(Tasks[[#This Row],[_Resources]],",",REPT(" ",99)),298,99)))</f>
        <v/>
      </c>
      <c r="DH58" s="42" t="n">
        <f aca="false">IF(Tasks[[#This Row],[_Res1Text]]="",0,IFERROR(MATCH(TRIM(LEFT(Tasks[[#This Row],[_Res1Text]],FIND("[",Tasks[[#This Row],[_Res1Text]]&amp;"[")-1)),res_Name,0),IFERROR(MATCH(TRIM(LEFT(Tasks[[#This Row],[_Res1Text]],FIND("[",Tasks[[#This Row],[_Res1Text]]&amp;"[")-1)),res_Initials,0),0)))</f>
        <v>0</v>
      </c>
      <c r="DI58" s="42" t="n">
        <f aca="false">IF(Tasks[[#This Row],[_Res2Text]]="",0,IFERROR(MATCH(TRIM(LEFT(Tasks[[#This Row],[_Res2Text]],FIND("[",Tasks[[#This Row],[_Res2Text]]&amp;"[")-1)),res_Name,0),IFERROR(MATCH(TRIM(LEFT(Tasks[[#This Row],[_Res2Text]],FIND("[",Tasks[[#This Row],[_Res2Text]]&amp;"[")-1)),res_Initials,0),0)))</f>
        <v>0</v>
      </c>
      <c r="DJ58" s="42" t="n">
        <f aca="false">IF(Tasks[[#This Row],[_Res3Text]]="",0,IFERROR(MATCH(TRIM(LEFT(Tasks[[#This Row],[_Res3Text]],FIND("[",Tasks[[#This Row],[_Res3Text]]&amp;"[")-1)),res_Name,0),IFERROR(MATCH(TRIM(LEFT(Tasks[[#This Row],[_Res3Text]],FIND("[",Tasks[[#This Row],[_Res3Text]]&amp;"[")-1)),res_Initials,0),0)))</f>
        <v>0</v>
      </c>
      <c r="DK58" s="42" t="n">
        <f aca="false">IF(Tasks[[#This Row],[_Res4Text]]="",0,IFERROR(MATCH(TRIM(LEFT(Tasks[[#This Row],[_Res4Text]],FIND("[",Tasks[[#This Row],[_Res4Text]]&amp;"[")-1)),res_Name,0),IFERROR(MATCH(TRIM(LEFT(Tasks[[#This Row],[_Res4Text]],FIND("[",Tasks[[#This Row],[_Res4Text]]&amp;"[")-1)),res_Initials,0),0)))</f>
        <v>0</v>
      </c>
      <c r="DL58" s="42" t="str">
        <f aca="false">IF(Tasks[[#This Row],[_Res1Text]]="","",IF(Tasks[[#This Row],[_Res1Row]]&gt;0,INDEX(res_Name,Tasks[[#This Row],[_Res1Row]]),TRIM(LEFT(Tasks[[#This Row],[_Res1Text]],FIND("[",Tasks[[#This Row],[_Res1Text]]&amp;"[")-1))))</f>
        <v/>
      </c>
      <c r="DM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8" s="42" t="n">
        <f aca="false">IF(NOT(Tasks[[#This Row],[_IsLeaf]]=1),0,(Tasks[[#This Row],[_Resource1]]&lt;&gt;"")+(Tasks[[#This Row],[_Res2]]&lt;&gt;"")+(Tasks[[#This Row],[_Res3]]&lt;&gt;"")+(Tasks[[#This Row],[_Res4]]&lt;&gt;""))</f>
        <v>0</v>
      </c>
      <c r="DO58" s="42" t="str">
        <f aca="false">IF(Tasks[[#This Row],[_Res2Text]]="","",IF(Tasks[[#This Row],[_Res2Row]]&gt;0,INDEX(res_Name,Tasks[[#This Row],[_Res2Row]]),TRIM(LEFT(Tasks[[#This Row],[_Res2Text]],FIND("[",Tasks[[#This Row],[_Res2Text]]&amp;"[")-1))))</f>
        <v/>
      </c>
      <c r="DP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8" s="42" t="n">
        <f aca="false">IF(OR(NOT(Tasks[[#This Row],[_IsLeaf]]=1),Tasks[[#This Row],[_Res2Row]]=0),0,N(Tasks[[#This Row],[_Days]])*HoursPerDay*IF(Tasks[[#This Row],[_Res2Units]]="",DefaultUnits,Tasks[[#This Row],[_Res2Units]]))</f>
        <v>0</v>
      </c>
      <c r="DR58" s="42" t="n">
        <f aca="false">IF(AND(AND(Tasks[[#This Row],[_IsLeaf]]=1,Tasks[[#This Row],[_LeafTotalWork]]&gt;0),Tasks[[#This Row],[_Res2Work]]&gt;0),Tasks[[#This Row],[_Res2Work]]/(Tasks[[#This Row],[_FinishWorkday]]-Tasks[[#This Row],[_StartWorkday]]+1),0)</f>
        <v>0</v>
      </c>
      <c r="DS58" s="42" t="n">
        <f aca="false">Tasks[[#This Row],[_Res2WorkPerWD]]*MAX(0,Tasks[[#This Row],[_StartWorkday]]-1)</f>
        <v>0</v>
      </c>
      <c r="DT58" s="42" t="n">
        <f aca="false">Tasks[[#This Row],[_Res2Work]]*Tasks[[#This Row],[_LeafProgress]]</f>
        <v>0</v>
      </c>
      <c r="DU58" s="42" t="str">
        <f aca="false">IF(Tasks[[#This Row],[_Res3Text]]="","",IF(Tasks[[#This Row],[_Res3Row]]&gt;0,INDEX(res_Name,Tasks[[#This Row],[_Res3Row]]),TRIM(LEFT(Tasks[[#This Row],[_Res3Text]],FIND("[",Tasks[[#This Row],[_Res3Text]]&amp;"[")-1))))</f>
        <v/>
      </c>
      <c r="DV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8" s="42" t="n">
        <f aca="false">IF(OR(NOT(Tasks[[#This Row],[_IsLeaf]]=1),Tasks[[#This Row],[_Res3Row]]=0),0,N(Tasks[[#This Row],[_Days]])*HoursPerDay*IF(Tasks[[#This Row],[_Res3Units]]="",DefaultUnits,Tasks[[#This Row],[_Res3Units]]))</f>
        <v>0</v>
      </c>
      <c r="DX58" s="42" t="n">
        <f aca="false">IF(AND(AND(Tasks[[#This Row],[_IsLeaf]]=1,Tasks[[#This Row],[_LeafTotalWork]]&gt;0),Tasks[[#This Row],[_Res3Work]]&gt;0),Tasks[[#This Row],[_Res3Work]]/(Tasks[[#This Row],[_FinishWorkday]]-Tasks[[#This Row],[_StartWorkday]]+1),0)</f>
        <v>0</v>
      </c>
      <c r="DY58" s="42" t="n">
        <f aca="false">Tasks[[#This Row],[_Res3WorkPerWD]]*MAX(0,Tasks[[#This Row],[_StartWorkday]]-1)</f>
        <v>0</v>
      </c>
      <c r="DZ58" s="42" t="n">
        <f aca="false">Tasks[[#This Row],[_Res3Work]]*Tasks[[#This Row],[_LeafProgress]]</f>
        <v>0</v>
      </c>
      <c r="EA58" s="42" t="str">
        <f aca="false">IF(Tasks[[#This Row],[_Res4Text]]="","",IF(Tasks[[#This Row],[_Res4Row]]&gt;0,INDEX(res_Name,Tasks[[#This Row],[_Res4Row]]),TRIM(LEFT(Tasks[[#This Row],[_Res4Text]],FIND("[",Tasks[[#This Row],[_Res4Text]]&amp;"[")-1))))</f>
        <v/>
      </c>
      <c r="EB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8" s="42" t="n">
        <f aca="false">IF(OR(NOT(Tasks[[#This Row],[_IsLeaf]]=1),Tasks[[#This Row],[_Res4Row]]=0),0,N(Tasks[[#This Row],[_Days]])*HoursPerDay*IF(Tasks[[#This Row],[_Res4Units]]="",DefaultUnits,Tasks[[#This Row],[_Res4Units]]))</f>
        <v>0</v>
      </c>
      <c r="ED58" s="42" t="n">
        <f aca="false">IF(AND(AND(Tasks[[#This Row],[_IsLeaf]]=1,Tasks[[#This Row],[_LeafTotalWork]]&gt;0),Tasks[[#This Row],[_Res4Work]]&gt;0),Tasks[[#This Row],[_Res4Work]]/(Tasks[[#This Row],[_FinishWorkday]]-Tasks[[#This Row],[_StartWorkday]]+1),0)</f>
        <v>0</v>
      </c>
      <c r="EE58" s="42" t="n">
        <f aca="false">Tasks[[#This Row],[_Res4WorkPerWD]]*MAX(0,Tasks[[#This Row],[_StartWorkday]]-1)</f>
        <v>0</v>
      </c>
      <c r="EF58" s="42" t="n">
        <f aca="false">Tasks[[#This Row],[_Res4Work]]*Tasks[[#This Row],[_LeafProgress]]</f>
        <v>0</v>
      </c>
      <c r="EG58" s="42" t="n">
        <f aca="false">IF(ISNUMBER(Tasks[[#This Row],[% Complete]]),Tasks[[#This Row],[% Complete]],IF(Tasks[[#This Row],[Stage]]="",0,IFERROR(INDEX(stg_Pct,MATCH(Tasks[[#This Row],[Stage]],stg_Name,0)),0)))</f>
        <v>0</v>
      </c>
      <c r="EH58" s="42" t="n">
        <f aca="false">IF(NOT(Tasks[[#This Row],[_IsLeaf]]=1),0,IF(N(Tasks[[#This Row],[Actual Finish]])&gt;0,1,MIN(1,Tasks[[#This Row],[_Pct]])))</f>
        <v>0</v>
      </c>
      <c r="EI58" s="42" t="n">
        <f aca="false">IF(OR(NOT(Tasks[[#This Row],[_IsLeaf]]=1),Tasks[[#This Row],[_Res1Row]]=0),0,N(Tasks[[#This Row],[_Days]])*HoursPerDay*IF(Tasks[[#This Row],[_Units1]]="",DefaultUnits,Tasks[[#This Row],[_Units1]]))</f>
        <v>0</v>
      </c>
      <c r="EJ58" s="42" t="n">
        <f aca="false">Tasks[[#This Row],[_LeafWork]]+Tasks[[#This Row],[_Res2Work]]+Tasks[[#This Row],[_Res3Work]]+Tasks[[#This Row],[_Res4Work]]</f>
        <v>0</v>
      </c>
      <c r="EK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8" s="42" t="n">
        <f aca="false">IF(NOT(Tasks[[#This Row],[_IsLeaf]]=1),0,MAX(_xlfn.MAXIFS(Tasks[_Row],Tasks[_Pred1UID],Tasks[[#This Row],[UID]]),_xlfn.MAXIFS(Tasks[_Row],Tasks[_Pred2UID],Tasks[[#This Row],[UID]]),_xlfn.MAXIFS(Tasks[_Row],Tasks[_Pred3UID],Tasks[[#This Row],[UID]]),_xlfn.MAXIFS(Tasks[_Row],Tasks[_Pred4UID],Tasks[[#This Row],[UID]])))</f>
        <v>0</v>
      </c>
      <c r="ET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8" s="89" t="str">
        <f aca="false">IF(NOT(Tasks[[#This Row],[_IsLeaf]]=1),"",IF(N(Tasks[[#This Row],[_Days]])&lt;=0,Tasks[[#This Row],[_LeafLateFinish]],WORKDAY.INTL(Tasks[[#This Row],[_LeafLateFinish]],-(Tasks[[#This Row],[_Days]]-1),WorkWeek,Holidays)))</f>
        <v/>
      </c>
      <c r="EW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8" s="88" t="b">
        <f aca="false">AND(Tasks[[#This Row],[_IsLeaf]]=1,Tasks[[#This Row],[_LeafProgress]]&lt;1,N(Tasks[[#This Row],[_LeafTotalSlack]])&lt;=CriticalSlackDays)</f>
        <v>0</v>
      </c>
      <c r="EY58" s="42" t="n">
        <f aca="false">IF(AND(Tasks[[#This Row],[_IsLeaf]]=1,Tasks[[#This Row],[_ConstraintCode]]=1,Tasks[[#This Row],[Mode]]&lt;&gt;"Manual",N(Tasks[[#This Row],[Actual Start]])=0),MAX(0,N(Tasks[[#This Row],[Free Slack]])),0)</f>
        <v>0</v>
      </c>
      <c r="EZ58" s="89" t="str">
        <f aca="false">IF(NOT(Tasks[[#This Row],[_IsLeaf]]=1),"",IF(Tasks[[#This Row],[_AlapShift]]=0,Tasks[[#This Row],[_LeafCalcStart]],WORKDAY.INTL(Tasks[[#This Row],[_LeafCalcStart]],Tasks[[#This Row],[_AlapShift]],WorkWeek,Holidays)))</f>
        <v/>
      </c>
      <c r="FA58" s="89" t="str">
        <f aca="false">IF(NOT(Tasks[[#This Row],[_IsLeaf]]=1),"",IF(Tasks[[#This Row],[_AlapShift]]=0,Tasks[[#This Row],[_LeafCalcFinish]],WORKDAY.INTL(Tasks[[#This Row],[_LeafCalcFinish]],Tasks[[#This Row],[_AlapShift]],WorkWeek,Holidays)))</f>
        <v/>
      </c>
      <c r="FB58" s="89" t="str">
        <f aca="false">IF(NOT(Tasks[[#This Row],[_IsLeaf]]=1),"",IF(Tasks[[#This Row],[_AlapShift]]=0,Tasks[[#This Row],[_LeafFcstStart]],WORKDAY.INTL(Tasks[[#This Row],[_LeafFcstStart]],Tasks[[#This Row],[_AlapShift]],WorkWeek,Holidays)))</f>
        <v/>
      </c>
      <c r="FC58" s="89" t="str">
        <f aca="false">IF(NOT(Tasks[[#This Row],[_IsLeaf]]=1),"",IF(Tasks[[#This Row],[_AlapShift]]=0,Tasks[[#This Row],[_LeafFcstFinish]],WORKDAY.INTL(Tasks[[#This Row],[_LeafFcstFinish]],Tasks[[#This Row],[_AlapShift]],WorkWeek,Holidays)))</f>
        <v/>
      </c>
      <c r="FD58" s="89" t="str">
        <f aca="false">IF(Tasks[[#This Row],[Task Name]]="","",IF(Tasks[[#This Row],[_IsSummary]],MIN(INDEX(Tasks[_ShownCalcStart],Tasks[[#This Row],[_Row]]+1):INDEX(Tasks[_ShownCalcStart],Tasks[[#This Row],[_Row]]+Tasks[[#This Row],[_Descendants]])),Tasks[[#This Row],[_ShownCalcStart]]))</f>
        <v/>
      </c>
      <c r="FE58" s="89" t="str">
        <f aca="false">IF(Tasks[[#This Row],[Task Name]]="","",IF(Tasks[[#This Row],[_IsSummary]],MAX(INDEX(Tasks[_ShownCalcFinish],Tasks[[#This Row],[_Row]]+1):INDEX(Tasks[_ShownCalcFinish],Tasks[[#This Row],[_Row]]+Tasks[[#This Row],[_Descendants]])),Tasks[[#This Row],[_ShownCalcFinish]]))</f>
        <v/>
      </c>
      <c r="FF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8" s="42" t="n">
        <f aca="false">IF(AND(Tasks[[#This Row],[_IsLeaf]]=1,Tasks[[#This Row],[_LeafTotalWork]]&gt;0),NETWORKDAYS.INTL(ProjectStart,Tasks[[#This Row],[_ShownFcstStart]],WorkWeek,Holidays),0)</f>
        <v>0</v>
      </c>
      <c r="FS58" s="42" t="n">
        <f aca="false">IF(AND(Tasks[[#This Row],[_IsLeaf]]=1,Tasks[[#This Row],[_LeafTotalWork]]&gt;0),MAX(Tasks[[#This Row],[_StartWorkday]],NETWORKDAYS.INTL(ProjectStart,Tasks[[#This Row],[_ShownFcstFinish]],WorkWeek,Holidays)),0)</f>
        <v>0</v>
      </c>
      <c r="FT58" s="42" t="n">
        <f aca="false">IF(AND(Tasks[[#This Row],[_IsLeaf]]=1,Tasks[[#This Row],[_LeafTotalWork]]&gt;0),Tasks[[#This Row],[_LeafWork]]/(Tasks[[#This Row],[_FinishWorkday]]-Tasks[[#This Row],[_StartWorkday]]+1),0)</f>
        <v>0</v>
      </c>
      <c r="FU58" s="42" t="n">
        <f aca="false">Tasks[[#This Row],[_WorkPerWorkday]]*(Tasks[[#This Row],[_StartWorkday]]-1)</f>
        <v>-0</v>
      </c>
      <c r="FV58" s="42" t="n">
        <f aca="false">IF(Tasks[[#This Row],[_IsLeaf]]=1,MAX(N(Tasks[[#This Row],[_Days]]),0.1),0)</f>
        <v>0</v>
      </c>
      <c r="FW58" s="42" t="n">
        <f aca="false">Tasks[[#This Row],[_WeightDur]]*Tasks[[#This Row],[_LeafProgress]]</f>
        <v>0</v>
      </c>
      <c r="FX58" s="42" t="n">
        <f aca="false">Tasks[[#This Row],[_WeightDur]]*Tasks[[#This Row],[_PlannedPct]]</f>
        <v>0</v>
      </c>
      <c r="FY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8" s="42" t="str">
        <f aca="false">IF(AND(Tasks[[#This Row],[_IsLeaf]]=1,N(Tasks[[#This Row],[_Days]])=0,Tasks[[#This Row],[_LeafProgress]]&lt;1),Tasks[[#This Row],[_ShownFcstFinish]]+Tasks[[#This Row],[_Row]]/100000,"")</f>
        <v/>
      </c>
      <c r="GA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8" s="42" t="str">
        <f aca="false">IF(Tasks[[#This Row],[Task Name]]="","",LEFT(Tasks[[#This Row],[WBS]],FIND(".",Tasks[[#This Row],[WBS]]&amp;".")-1))</f>
        <v/>
      </c>
      <c r="GC58" s="42" t="str">
        <f aca="false">IF(AND(Tasks[[#This Row],[Task Name]]&lt;&gt;"",Tasks[[#This Row],[_Level]]=1),Tasks[[#This Row],[_Row]],"")</f>
        <v/>
      </c>
      <c r="GD58" s="42" t="str">
        <f aca="false">IF(AND(Tasks[[#This Row],[_IsLeaf]]=1,N(Tasks[[#This Row],[_Days]])=0),Tasks[[#This Row],[Planned Finish]]+Tasks[[#This Row],[_Row]]/100000,"")</f>
        <v/>
      </c>
      <c r="GE58" s="42" t="str">
        <f aca="false">IF(AND(Tasks[[#This Row],[_IsLeaf]]=1,Tasks[[#This Row],[_LeafProgress]]&lt;1,OR(N(Tasks[[#This Row],[Finish Var]])&gt;0,Tasks[[#This Row],[Status]]="Late Start")),MAX(0,Tasks[[#This Row],[Finish Var]])+1-Tasks[[#This Row],[_Row]]/1000000,"")</f>
        <v/>
      </c>
      <c r="GF58" s="42" t="str">
        <f aca="false">IF(AND(Tasks[[#This Row],[_IsLeaf]]=1,N(Tasks[[#This Row],[Actual Start]])=0,Tasks[[#This Row],[_ShownFcstStart]]&gt;=StatusDate,Tasks[[#This Row],[_ShownFcstStart]]&lt;=LookaheadEnd),Tasks[[#This Row],[_ShownFcstStart]]+Tasks[[#This Row],[_Row]]/100000,"")</f>
        <v/>
      </c>
      <c r="GG58" s="42" t="str">
        <f aca="false">IF(AND(Tasks[[#This Row],[_IsLeaf]]=1,Tasks[[#This Row],[_LeafProgress]]&lt;1,Tasks[[#This Row],[_ShownFcstFinish]]&gt;=StatusDate,Tasks[[#This Row],[_ShownFcstFinish]]&lt;=LookaheadEnd),Tasks[[#This Row],[_ShownFcstFinish]]+Tasks[[#This Row],[_Row]]/100000,"")</f>
        <v/>
      </c>
      <c r="GH58" s="42" t="str">
        <f aca="false">IF(Tasks[[#This Row],[_LeafCritical]],Tasks[[#This Row],[_ShownFcstStart]]+Tasks[[#This Row],[_Row]]/100000,"")</f>
        <v/>
      </c>
      <c r="GI58" s="42" t="n">
        <f aca="false">Tasks[[#This Row],[_LeafWork]]*Tasks[[#This Row],[_LeafProgress]]</f>
        <v>0</v>
      </c>
      <c r="GJ58" s="89" t="str">
        <f aca="false">IF(AND(Tasks[[#This Row],[_IsLeaf]]=1,Tasks[[#This Row],[_LeafProgress]]&gt;=1),IF(N(Tasks[[#This Row],[Actual Finish]])&gt;0,Tasks[[#This Row],[Actual Finish]],Tasks[[#This Row],[_ShownFcstFinish]]),"")</f>
        <v/>
      </c>
      <c r="GK58" s="42" t="n">
        <f aca="false">IF(Tasks[[#This Row],[_IsLeaf]]=1,N(Tasks[[#This Row],[Story Points]]),0)</f>
        <v>0</v>
      </c>
      <c r="GL58" s="42" t="str">
        <f aca="false">""</f>
        <v/>
      </c>
      <c r="GM58" s="88" t="b">
        <f aca="false">IF(Tasks[[#This Row],[Task Name]]="",FALSE(),AND(Tasks[[#This Row],[_IsLeaf]]=1,N(Tasks[[#This Row],[_Days]])=0))</f>
        <v>0</v>
      </c>
      <c r="GN58" s="89" t="n">
        <f aca="false">IF(Tasks[[#This Row],[Task Name]]="",0,IF(AND(Tasks[[#This Row],[_IsLeaf]]=1,NOT(Tasks[[#This Row],[_IsMilestone]]),N(Tasks[[#This Row],[Progress]])&gt;0),Tasks[[#This Row],[Start]],0))</f>
        <v>0</v>
      </c>
      <c r="GO58" s="89" t="n">
        <f aca="false">IF(Tasks[[#This Row],[_DoneFrom]]=0,0,IF(Tasks[[#This Row],[Progress]]&gt;=1,Tasks[[#This Row],[Finish]],MAX(Tasks[[#This Row],[_DoneFrom]],Tasks[[#This Row],[Start]]+ROUND((Tasks[[#This Row],[Finish]]-Tasks[[#This Row],[Start]]+1)*Tasks[[#This Row],[Progress]],0)-1)))</f>
        <v>0</v>
      </c>
      <c r="GP58" s="89" t="n">
        <f aca="false">IF(Tasks[[#This Row],[Task Name]]="",0,IF(OR(NOT(Tasks[[#This Row],[_IsLeaf]]=1),Tasks[[#This Row],[_IsMilestone]],N(Tasks[[#This Row],[Progress]])&gt;=1),0,IF(Tasks[[#This Row],[_DoneTo]]&gt;0,Tasks[[#This Row],[_DoneTo]]+1,Tasks[[#This Row],[Start]])))</f>
        <v>0</v>
      </c>
      <c r="GQ58" s="89" t="n">
        <f aca="false">IF(Tasks[[#This Row],[_RemFrom]]=0,0,Tasks[[#This Row],[Finish]])</f>
        <v>0</v>
      </c>
      <c r="GR58" s="88" t="b">
        <f aca="false">IF(Tasks[[#This Row],[Task Name]]="",FALSE(),OR(NOT(BaselineSet),N(Tasks[[#This Row],[Baseline Start]])&gt;0))</f>
        <v>0</v>
      </c>
      <c r="GS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8" s="90" t="str">
        <f aca="false">IF(Tasks[[#This Row],[_IsLeaf]]=1,Tasks[[#This Row],[_Row]],"")</f>
        <v/>
      </c>
      <c r="GW58" s="90" t="str">
        <f aca="false">IFERROR(INDEX(Tasks[UID],SMALL(Tasks[_PickKey],Tasks[[#This Row],[_Row]]))&amp;" "&amp;INDEX(Tasks[Task Name],SMALL(Tasks[_PickKey],Tasks[[#This Row],[_Row]])),"")</f>
        <v/>
      </c>
      <c r="GX58" s="42" t="str">
        <f aca="false">IF(Tasks[[#This Row],[Task Name]]="","",IF(Tasks[[#This Row],[_IsSummary]],NETWORKDAYS.INTL(Tasks[[#This Row],[Start]],Tasks[[#This Row],[Finish]],WorkWeek,Holidays),N(Tasks[[#This Row],[_Days]])))</f>
        <v/>
      </c>
    </row>
    <row r="59" customFormat="false" ht="15" hidden="false" customHeight="false" outlineLevel="0" collapsed="false">
      <c r="A59" s="21" t="str">
        <f aca="false">IF(Tasks[[#This Row],[Task Name]]="","",COUNTA(Tasks[[#Headers],[Task Name]]:Tasks[[#This Row],[Task Name]])-1)</f>
        <v/>
      </c>
      <c r="B59" s="22" t="n">
        <v>67</v>
      </c>
      <c r="C59" s="22"/>
      <c r="D59" s="23"/>
      <c r="E59" s="22"/>
      <c r="F59" s="23"/>
      <c r="G59" s="22"/>
      <c r="H59" s="22"/>
      <c r="I59" s="23"/>
      <c r="J59" s="22"/>
      <c r="K59" s="22"/>
      <c r="L59" s="23"/>
      <c r="M59" s="22"/>
      <c r="N59" s="22"/>
      <c r="O59" s="23"/>
      <c r="P59" s="22"/>
      <c r="Q59" s="22"/>
      <c r="R59" s="23"/>
      <c r="S59" s="23"/>
      <c r="T59" s="83"/>
      <c r="U59" s="23"/>
      <c r="V59" s="83"/>
      <c r="W59" s="23"/>
      <c r="X59" s="83"/>
      <c r="Y59" s="23"/>
      <c r="Z59" s="83"/>
      <c r="AA59" s="23"/>
      <c r="AB59" s="23"/>
      <c r="AC59" s="7"/>
      <c r="AD59" s="7"/>
      <c r="AE59" s="62" t="str">
        <f aca="false">IF(Tasks[[#This Row],[Task Name]]="","",IF(Tasks[[#This Row],[_IsSummary]],MIN(INDEX(Tasks[_ShownFcstStart],Tasks[[#This Row],[_Row]]+1):INDEX(Tasks[_ShownFcstStart],Tasks[[#This Row],[_Row]]+Tasks[[#This Row],[_Descendants]])),Tasks[[#This Row],[_ShownFcstStart]]))</f>
        <v/>
      </c>
      <c r="AF59" s="62" t="str">
        <f aca="false">IF(Tasks[[#This Row],[Task Name]]="","",IF(Tasks[[#This Row],[_IsSummary]],MAX(INDEX(Tasks[_ShownFcstFinish],Tasks[[#This Row],[_Row]]+1):INDEX(Tasks[_ShownFcstFinish],Tasks[[#This Row],[_Row]]+Tasks[[#This Row],[_Descendants]])),Tasks[[#This Row],[_ShownFcstFinish]]))</f>
        <v/>
      </c>
      <c r="AG59" s="21" t="str">
        <f aca="false">""</f>
        <v/>
      </c>
      <c r="AH59" s="23"/>
      <c r="AI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59" s="7"/>
      <c r="AK59" s="22"/>
      <c r="AL59" s="23"/>
      <c r="AM59" s="7"/>
      <c r="AN59" s="46" t="str">
        <f aca="false">IF(Tasks[[#This Row],[Task Name]]="","",IF(Tasks[[#This Row],[Finish]]&gt;=Tasks[[#This Row],[Planned Finish]],NETWORKDAYS.INTL(Tasks[[#This Row],[Planned Finish]],Tasks[[#This Row],[Finish]],WorkWeek,Holidays)-1,1-NETWORKDAYS.INTL(Tasks[[#This Row],[Finish]],Tasks[[#This Row],[Planned Finish]],WorkWeek,Holidays)))</f>
        <v/>
      </c>
      <c r="AO59" s="21" t="str">
        <f aca="false">IF(Tasks[[#This Row],[Task Name]]="","",IF(Tasks[[#This Row],[Progress]]&gt;=1,"Complete",IF(OR(N(Tasks[[#This Row],[Actual Start]])&gt;0,Tasks[[#This Row],[Progress]]&gt;0),IF(Tasks[[#This Row],[Finish Var]]&gt;0,"Behind","In Progress"),IF(Tasks[[#This Row],[Planned Start]]&lt;StatusDate,"Late Start","Not Started"))))</f>
        <v/>
      </c>
      <c r="AP59" s="21" t="str">
        <f aca="false">IF(Tasks[[#This Row],[Task Name]]="","",IF(IF(Tasks[[#This Row],[_IsSummary]],COUNTIF(INDEX(Tasks[_LeafCritical],Tasks[[#This Row],[_Row]]+1):INDEX(Tasks[_LeafCritical],Tasks[[#This Row],[_Row]]+Tasks[[#This Row],[_Descendants]]),TRUE())&gt;0,Tasks[[#This Row],[_LeafCritical]]),"Yes",""))</f>
        <v/>
      </c>
      <c r="AQ59" s="62" t="str">
        <f aca="false">IF(Tasks[[#This Row],[Task Name]]="","",IF(N(Tasks[[#This Row],[Baseline Start]])&gt;0,Tasks[[#This Row],[Baseline Start]],Tasks[[#This Row],[_CalcStart]]))</f>
        <v/>
      </c>
      <c r="AR59" s="62" t="str">
        <f aca="false">IF(Tasks[[#This Row],[Task Name]]="","",IF(N(Tasks[[#This Row],[Baseline Finish]])&gt;0,Tasks[[#This Row],[Baseline Finish]],Tasks[[#This Row],[_CalcFinish]]))</f>
        <v/>
      </c>
      <c r="AS59" s="46" t="str">
        <f aca="false">IF(Tasks[[#This Row],[Task Name]]="","",IF(Tasks[[#This Row],[Start]]&gt;=Tasks[[#This Row],[Planned Start]],NETWORKDAYS.INTL(Tasks[[#This Row],[Planned Start]],Tasks[[#This Row],[Start]],WorkWeek,Holidays)-1,1-NETWORKDAYS.INTL(Tasks[[#This Row],[Start]],Tasks[[#This Row],[Planned Start]],WorkWeek,Holidays)))</f>
        <v/>
      </c>
      <c r="AT59" s="62" t="str">
        <f aca="false">IF(Tasks[[#This Row],[Task Name]]="","",IF(Tasks[[#This Row],[_IsSummary]],MIN(INDEX(Tasks[_LeafLateStart],Tasks[[#This Row],[_Row]]+1):INDEX(Tasks[_LeafLateStart],Tasks[[#This Row],[_Row]]+Tasks[[#This Row],[_Descendants]])),Tasks[[#This Row],[_LeafLateStart]]))</f>
        <v/>
      </c>
      <c r="AU59" s="62" t="str">
        <f aca="false">IF(Tasks[[#This Row],[Task Name]]="","",IF(Tasks[[#This Row],[_IsSummary]],MAX(INDEX(Tasks[_LeafLateFinish],Tasks[[#This Row],[_Row]]+1):INDEX(Tasks[_LeafLateFinish],Tasks[[#This Row],[_Row]]+Tasks[[#This Row],[_Descendants]])),Tasks[[#This Row],[_LeafLateFinish]]))</f>
        <v/>
      </c>
      <c r="AV59" s="46" t="str">
        <f aca="false">IF(Tasks[[#This Row],[Task Name]]="","",IF(Tasks[[#This Row],[_IsSummary]],MIN(INDEX(Tasks[_LeafTotalSlack],Tasks[[#This Row],[_Row]]+1):INDEX(Tasks[_LeafTotalSlack],Tasks[[#This Row],[_Row]]+Tasks[[#This Row],[_Descendants]])),Tasks[[#This Row],[_LeafTotalSlack]]))</f>
        <v/>
      </c>
      <c r="AW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4"/>
      <c r="BA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t="str">
        <f aca="false">IF(Tasks[[#This Row],[Task Name]]="","",IF(Tasks[[#This Row],[_Level]]&lt;=OutlineShowLevel,"Yes","No"))</f>
        <v/>
      </c>
      <c r="BE59" s="85" t="str">
        <f aca="false">IF(Tasks[[#This Row],[Task Name]]="","",IF(Tasks[[#This Row],[_IsSummary]],SUM(INDEX(Tasks[_LeafTotalWork],Tasks[[#This Row],[_Row]]+1):INDEX(Tasks[_LeafTotalWork],Tasks[[#This Row],[_Row]]+Tasks[[#This Row],[_Descendants]])),Tasks[[#This Row],[_LeafTotalWork]]))</f>
        <v/>
      </c>
      <c r="BF59" s="23"/>
      <c r="BG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t="str">
        <f aca="false">""</f>
        <v/>
      </c>
      <c r="BI59" s="86"/>
      <c r="BJ59" s="22"/>
      <c r="BK59" s="46" t="str">
        <f aca="false">IF(OR(Tasks[[#This Row],[Task Name]]="",Tasks[[#This Row],[Baseline Duration]]=""),"",Tasks[[#This Row],[_SpanDays]]-N(Tasks[[#This Row],[Baseline Duration]]))</f>
        <v/>
      </c>
      <c r="BL59" s="85" t="str">
        <f aca="false">IF(OR(Tasks[[#This Row],[Task Name]]="",Tasks[[#This Row],[Baseline Work]]=""),"",Tasks[[#This Row],[Work]]-N(Tasks[[#This Row],[Baseline Work]]))</f>
        <v/>
      </c>
      <c r="BM59" s="62" t="str">
        <f aca="false">IF(Tasks[[#This Row],[Task Name]]="","",IF(OR(TakeBaseline="Yes",N(Tasks[[#This Row],[Baseline Start]])=0),Tasks[[#This Row],[Start]],Tasks[[#This Row],[Baseline Start]]))</f>
        <v/>
      </c>
      <c r="BN59" s="62" t="str">
        <f aca="false">IF(Tasks[[#This Row],[Task Name]]="","",IF(OR(TakeBaseline="Yes",N(Tasks[[#This Row],[Baseline Finish]])=0),Tasks[[#This Row],[Finish]],Tasks[[#This Row],[Baseline Finish]]))</f>
        <v/>
      </c>
      <c r="BO59" s="21" t="str">
        <f aca="false">IF(Tasks[[#This Row],[Task Name]]="","",IF(OR(TakeBaseline="Yes",N(Tasks[[#This Row],[Baseline Duration]])=0),Tasks[[#This Row],[_SpanDays]],Tasks[[#This Row],[Baseline Duration]]))</f>
        <v/>
      </c>
      <c r="BP59" s="85" t="str">
        <f aca="false">IF(Tasks[[#This Row],[Task Name]]="","",IF(OR(TakeBaseline="Yes",N(Tasks[[#This Row],[Baseline Work]])=0),Tasks[[#This Row],[Work]],Tasks[[#This Row],[Baseline Work]]))</f>
        <v/>
      </c>
      <c r="BQ59" s="7"/>
      <c r="BR59" s="7"/>
      <c r="BS59" s="22"/>
      <c r="BT59" s="87"/>
      <c r="BU59" s="42" t="str">
        <f aca="false">IF(Tasks[[#This Row],[Task Name]]="","",MAX(1,N(Tasks[[#This Row],[Level]])))</f>
        <v/>
      </c>
      <c r="BV59" s="42" t="n">
        <f aca="false">ROW()-ROW(Tasks[[#Headers],[ID]])</f>
        <v>54</v>
      </c>
      <c r="BW59" s="42" t="n">
        <f aca="false">IF(OR(Tasks[[#This Row],[Task Name]]="",Tasks[[#This Row],[_Level]]&lt;=1),0,IFERROR(LOOKUP(2,1/(Tasks[[#Headers],[_Level]]:Tasks[[#This Row],[_Level]]=Tasks[[#This Row],[_Level]]-1),ROW(Tasks[[#Headers],[_Level]]:Tasks[[#This Row],[_Level]])),0))</f>
        <v>0</v>
      </c>
      <c r="BX59" s="42" t="n">
        <f aca="false">IFERROR(N(INDEX(Tasks[_Level],Tasks[[#This Row],[_Row]]+1)),0)</f>
        <v>0</v>
      </c>
      <c r="BY59" s="88" t="b">
        <f aca="false">AND(Tasks[[#This Row],[Task Name]]&lt;&gt;"",Tasks[[#This Row],[_NextLevel]]&gt;Tasks[[#This Row],[_Level]])</f>
        <v>0</v>
      </c>
      <c r="BZ59" s="42" t="n">
        <f aca="false">IF(Tasks[[#This Row],[_IsSummary]],COUNTIF(Tasks[WBS],Tasks[[#This Row],[WBS]]&amp;".*"),0)</f>
        <v>0</v>
      </c>
      <c r="CA59" s="42" t="n">
        <f aca="false">IF(AND(Tasks[[#This Row],[Task Name]]&lt;&gt;"",NOT(Tasks[[#This Row],[_IsSummary]])),1,0)</f>
        <v>0</v>
      </c>
      <c r="CB59" s="42" t="n">
        <f aca="false">IF(N(Tasks[[#This Row],[_Pred1UID]])=0,0,IFERROR(MATCH(Tasks[[#This Row],[_Pred1UID]],Tasks[UID],0),-1))</f>
        <v>0</v>
      </c>
      <c r="CC59" s="42" t="n">
        <f aca="false">IF(N(Tasks[[#This Row],[_Pred2UID]])=0,0,IFERROR(MATCH(Tasks[[#This Row],[_Pred2UID]],Tasks[UID],0),-1))</f>
        <v>0</v>
      </c>
      <c r="CD59" s="42" t="n">
        <f aca="false">IF(N(Tasks[[#This Row],[_Pred3UID]])=0,0,IFERROR(MATCH(Tasks[[#This Row],[_Pred3UID]],Tasks[UID],0),-1))</f>
        <v>0</v>
      </c>
      <c r="CE59" s="42" t="n">
        <f aca="false">IF(N(Tasks[[#This Row],[_Pred4UID]])=0,0,IFERROR(MATCH(Tasks[[#This Row],[_Pred4UID]],Tasks[UID],0),-1))</f>
        <v>0</v>
      </c>
      <c r="CF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59" s="89" t="n">
        <f aca="false">IF(OR(Tasks[[#This Row],[_ConstraintCode]]=2,Tasks[[#This Row],[_ConstraintCode]]=3,Tasks[[#This Row],[_ConstraintCode]]=4,Tasks[[#This Row],[_ConstraintCode]]=6),Tasks[[#This Row],[_ConstraintStart]],0)</f>
        <v>0</v>
      </c>
      <c r="CI59" s="89" t="n">
        <f aca="false">IF(OR(Tasks[[#This Row],[_ConstraintCode]]=2,Tasks[[#This Row],[_ConstraintCode]]=3,Tasks[[#This Row],[_ConstraintCode]]=5,Tasks[[#This Row],[_ConstraintCode]]=7),Tasks[[#This Row],[_ConstraintStart]],2958465)</f>
        <v>2958465</v>
      </c>
      <c r="CJ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59" s="89" t="str">
        <f aca="false">IF(NOT(Tasks[[#This Row],[_IsLeaf]]=1),"",IF(N(Tasks[[#This Row],[_Days]])&lt;=0,Tasks[[#This Row],[_LeafCalcStart]],WORKDAY.INTL(Tasks[[#This Row],[_LeafCalcStart]],Tasks[[#This Row],[_Days]]-1,WorkWeek,Holidays)))</f>
        <v/>
      </c>
      <c r="CL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59" s="42" t="str">
        <f aca="false">IF(Tasks[[#This Row],[_Predecessors]]="","",TRIM(MID(SUBSTITUTE(SUBSTITUTE(SUBSTITUTE(UPPER(Tasks[[#This Row],[_Predecessors]]),";",",")," ",""),",",REPT(" ",99)),1,99)))</f>
        <v/>
      </c>
      <c r="CO59" s="42" t="str">
        <f aca="false">IF(Tasks[[#This Row],[_Pred1Text]]="","",IFERROR(VALUE(LEFT(Tasks[[#This Row],[_Pred1Text]],MIN(FIND("F",Tasks[[#This Row],[_Pred1Text]]&amp;"F"),FIND("S",Tasks[[#This Row],[_Pred1Text]]&amp;"S"),FIND("+",Tasks[[#This Row],[_Pred1Text]]&amp;"+"),FIND("-",Tasks[[#This Row],[_Pred1Text]]&amp;"-"))-1)),""))</f>
        <v/>
      </c>
      <c r="CP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59" s="42" t="str">
        <f aca="false">IF(Tasks[[#This Row],[_Pred1Text]]="","",TRIM(MID(SUBSTITUTE(SUBSTITUTE(SUBSTITUTE(UPPER(Tasks[[#This Row],[_Predecessors]]),";",",")," ",""),",",REPT(" ",99)),100,99)))</f>
        <v/>
      </c>
      <c r="CS59" s="42" t="str">
        <f aca="false">IF(Tasks[[#This Row],[_Pred2Text]]="","",IFERROR(VALUE(LEFT(Tasks[[#This Row],[_Pred2Text]],MIN(FIND("F",Tasks[[#This Row],[_Pred2Text]]&amp;"F"),FIND("S",Tasks[[#This Row],[_Pred2Text]]&amp;"S"),FIND("+",Tasks[[#This Row],[_Pred2Text]]&amp;"+"),FIND("-",Tasks[[#This Row],[_Pred2Text]]&amp;"-"))-1)),""))</f>
        <v/>
      </c>
      <c r="CT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59" s="42" t="str">
        <f aca="false">IF(Tasks[[#This Row],[_Pred2Text]]="","",TRIM(MID(SUBSTITUTE(SUBSTITUTE(SUBSTITUTE(UPPER(Tasks[[#This Row],[_Predecessors]]),";",",")," ",""),",",REPT(" ",99)),199,99)))</f>
        <v/>
      </c>
      <c r="CW59" s="42" t="str">
        <f aca="false">IF(Tasks[[#This Row],[_Pred3Text]]="","",IFERROR(VALUE(LEFT(Tasks[[#This Row],[_Pred3Text]],MIN(FIND("F",Tasks[[#This Row],[_Pred3Text]]&amp;"F"),FIND("S",Tasks[[#This Row],[_Pred3Text]]&amp;"S"),FIND("+",Tasks[[#This Row],[_Pred3Text]]&amp;"+"),FIND("-",Tasks[[#This Row],[_Pred3Text]]&amp;"-"))-1)),""))</f>
        <v/>
      </c>
      <c r="CX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59" s="42" t="str">
        <f aca="false">IF(Tasks[[#This Row],[_Pred3Text]]="","",TRIM(MID(SUBSTITUTE(SUBSTITUTE(SUBSTITUTE(UPPER(Tasks[[#This Row],[_Predecessors]]),";",",")," ",""),",",REPT(" ",99)),298,99)))</f>
        <v/>
      </c>
      <c r="DA59" s="42" t="str">
        <f aca="false">IF(Tasks[[#This Row],[_Pred4Text]]="","",IFERROR(VALUE(LEFT(Tasks[[#This Row],[_Pred4Text]],MIN(FIND("F",Tasks[[#This Row],[_Pred4Text]]&amp;"F"),FIND("S",Tasks[[#This Row],[_Pred4Text]]&amp;"S"),FIND("+",Tasks[[#This Row],[_Pred4Text]]&amp;"+"),FIND("-",Tasks[[#This Row],[_Pred4Text]]&amp;"-"))-1)),""))</f>
        <v/>
      </c>
      <c r="DB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59" s="42" t="str">
        <f aca="false">IF(OR(Tasks[[#This Row],[Task Name]]="",Tasks[[#This Row],[_Resources]]=""),"",TRIM(MID(SUBSTITUTE(Tasks[[#This Row],[_Resources]],",",REPT(" ",99)),1,99)))</f>
        <v/>
      </c>
      <c r="DE59" s="42" t="str">
        <f aca="false">IF(Tasks[[#This Row],[_Res1Text]]="","",TRIM(MID(SUBSTITUTE(Tasks[[#This Row],[_Resources]],",",REPT(" ",99)),100,99)))</f>
        <v/>
      </c>
      <c r="DF59" s="42" t="str">
        <f aca="false">IF(Tasks[[#This Row],[_Res2Text]]="","",TRIM(MID(SUBSTITUTE(Tasks[[#This Row],[_Resources]],",",REPT(" ",99)),199,99)))</f>
        <v/>
      </c>
      <c r="DG59" s="42" t="str">
        <f aca="false">IF(Tasks[[#This Row],[_Res3Text]]="","",TRIM(MID(SUBSTITUTE(Tasks[[#This Row],[_Resources]],",",REPT(" ",99)),298,99)))</f>
        <v/>
      </c>
      <c r="DH59" s="42" t="n">
        <f aca="false">IF(Tasks[[#This Row],[_Res1Text]]="",0,IFERROR(MATCH(TRIM(LEFT(Tasks[[#This Row],[_Res1Text]],FIND("[",Tasks[[#This Row],[_Res1Text]]&amp;"[")-1)),res_Name,0),IFERROR(MATCH(TRIM(LEFT(Tasks[[#This Row],[_Res1Text]],FIND("[",Tasks[[#This Row],[_Res1Text]]&amp;"[")-1)),res_Initials,0),0)))</f>
        <v>0</v>
      </c>
      <c r="DI59" s="42" t="n">
        <f aca="false">IF(Tasks[[#This Row],[_Res2Text]]="",0,IFERROR(MATCH(TRIM(LEFT(Tasks[[#This Row],[_Res2Text]],FIND("[",Tasks[[#This Row],[_Res2Text]]&amp;"[")-1)),res_Name,0),IFERROR(MATCH(TRIM(LEFT(Tasks[[#This Row],[_Res2Text]],FIND("[",Tasks[[#This Row],[_Res2Text]]&amp;"[")-1)),res_Initials,0),0)))</f>
        <v>0</v>
      </c>
      <c r="DJ59" s="42" t="n">
        <f aca="false">IF(Tasks[[#This Row],[_Res3Text]]="",0,IFERROR(MATCH(TRIM(LEFT(Tasks[[#This Row],[_Res3Text]],FIND("[",Tasks[[#This Row],[_Res3Text]]&amp;"[")-1)),res_Name,0),IFERROR(MATCH(TRIM(LEFT(Tasks[[#This Row],[_Res3Text]],FIND("[",Tasks[[#This Row],[_Res3Text]]&amp;"[")-1)),res_Initials,0),0)))</f>
        <v>0</v>
      </c>
      <c r="DK59" s="42" t="n">
        <f aca="false">IF(Tasks[[#This Row],[_Res4Text]]="",0,IFERROR(MATCH(TRIM(LEFT(Tasks[[#This Row],[_Res4Text]],FIND("[",Tasks[[#This Row],[_Res4Text]]&amp;"[")-1)),res_Name,0),IFERROR(MATCH(TRIM(LEFT(Tasks[[#This Row],[_Res4Text]],FIND("[",Tasks[[#This Row],[_Res4Text]]&amp;"[")-1)),res_Initials,0),0)))</f>
        <v>0</v>
      </c>
      <c r="DL59" s="42" t="str">
        <f aca="false">IF(Tasks[[#This Row],[_Res1Text]]="","",IF(Tasks[[#This Row],[_Res1Row]]&gt;0,INDEX(res_Name,Tasks[[#This Row],[_Res1Row]]),TRIM(LEFT(Tasks[[#This Row],[_Res1Text]],FIND("[",Tasks[[#This Row],[_Res1Text]]&amp;"[")-1))))</f>
        <v/>
      </c>
      <c r="DM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59" s="42" t="n">
        <f aca="false">IF(NOT(Tasks[[#This Row],[_IsLeaf]]=1),0,(Tasks[[#This Row],[_Resource1]]&lt;&gt;"")+(Tasks[[#This Row],[_Res2]]&lt;&gt;"")+(Tasks[[#This Row],[_Res3]]&lt;&gt;"")+(Tasks[[#This Row],[_Res4]]&lt;&gt;""))</f>
        <v>0</v>
      </c>
      <c r="DO59" s="42" t="str">
        <f aca="false">IF(Tasks[[#This Row],[_Res2Text]]="","",IF(Tasks[[#This Row],[_Res2Row]]&gt;0,INDEX(res_Name,Tasks[[#This Row],[_Res2Row]]),TRIM(LEFT(Tasks[[#This Row],[_Res2Text]],FIND("[",Tasks[[#This Row],[_Res2Text]]&amp;"[")-1))))</f>
        <v/>
      </c>
      <c r="DP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59" s="42" t="n">
        <f aca="false">IF(OR(NOT(Tasks[[#This Row],[_IsLeaf]]=1),Tasks[[#This Row],[_Res2Row]]=0),0,N(Tasks[[#This Row],[_Days]])*HoursPerDay*IF(Tasks[[#This Row],[_Res2Units]]="",DefaultUnits,Tasks[[#This Row],[_Res2Units]]))</f>
        <v>0</v>
      </c>
      <c r="DR59" s="42" t="n">
        <f aca="false">IF(AND(AND(Tasks[[#This Row],[_IsLeaf]]=1,Tasks[[#This Row],[_LeafTotalWork]]&gt;0),Tasks[[#This Row],[_Res2Work]]&gt;0),Tasks[[#This Row],[_Res2Work]]/(Tasks[[#This Row],[_FinishWorkday]]-Tasks[[#This Row],[_StartWorkday]]+1),0)</f>
        <v>0</v>
      </c>
      <c r="DS59" s="42" t="n">
        <f aca="false">Tasks[[#This Row],[_Res2WorkPerWD]]*MAX(0,Tasks[[#This Row],[_StartWorkday]]-1)</f>
        <v>0</v>
      </c>
      <c r="DT59" s="42" t="n">
        <f aca="false">Tasks[[#This Row],[_Res2Work]]*Tasks[[#This Row],[_LeafProgress]]</f>
        <v>0</v>
      </c>
      <c r="DU59" s="42" t="str">
        <f aca="false">IF(Tasks[[#This Row],[_Res3Text]]="","",IF(Tasks[[#This Row],[_Res3Row]]&gt;0,INDEX(res_Name,Tasks[[#This Row],[_Res3Row]]),TRIM(LEFT(Tasks[[#This Row],[_Res3Text]],FIND("[",Tasks[[#This Row],[_Res3Text]]&amp;"[")-1))))</f>
        <v/>
      </c>
      <c r="DV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59" s="42" t="n">
        <f aca="false">IF(OR(NOT(Tasks[[#This Row],[_IsLeaf]]=1),Tasks[[#This Row],[_Res3Row]]=0),0,N(Tasks[[#This Row],[_Days]])*HoursPerDay*IF(Tasks[[#This Row],[_Res3Units]]="",DefaultUnits,Tasks[[#This Row],[_Res3Units]]))</f>
        <v>0</v>
      </c>
      <c r="DX59" s="42" t="n">
        <f aca="false">IF(AND(AND(Tasks[[#This Row],[_IsLeaf]]=1,Tasks[[#This Row],[_LeafTotalWork]]&gt;0),Tasks[[#This Row],[_Res3Work]]&gt;0),Tasks[[#This Row],[_Res3Work]]/(Tasks[[#This Row],[_FinishWorkday]]-Tasks[[#This Row],[_StartWorkday]]+1),0)</f>
        <v>0</v>
      </c>
      <c r="DY59" s="42" t="n">
        <f aca="false">Tasks[[#This Row],[_Res3WorkPerWD]]*MAX(0,Tasks[[#This Row],[_StartWorkday]]-1)</f>
        <v>0</v>
      </c>
      <c r="DZ59" s="42" t="n">
        <f aca="false">Tasks[[#This Row],[_Res3Work]]*Tasks[[#This Row],[_LeafProgress]]</f>
        <v>0</v>
      </c>
      <c r="EA59" s="42" t="str">
        <f aca="false">IF(Tasks[[#This Row],[_Res4Text]]="","",IF(Tasks[[#This Row],[_Res4Row]]&gt;0,INDEX(res_Name,Tasks[[#This Row],[_Res4Row]]),TRIM(LEFT(Tasks[[#This Row],[_Res4Text]],FIND("[",Tasks[[#This Row],[_Res4Text]]&amp;"[")-1))))</f>
        <v/>
      </c>
      <c r="EB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59" s="42" t="n">
        <f aca="false">IF(OR(NOT(Tasks[[#This Row],[_IsLeaf]]=1),Tasks[[#This Row],[_Res4Row]]=0),0,N(Tasks[[#This Row],[_Days]])*HoursPerDay*IF(Tasks[[#This Row],[_Res4Units]]="",DefaultUnits,Tasks[[#This Row],[_Res4Units]]))</f>
        <v>0</v>
      </c>
      <c r="ED59" s="42" t="n">
        <f aca="false">IF(AND(AND(Tasks[[#This Row],[_IsLeaf]]=1,Tasks[[#This Row],[_LeafTotalWork]]&gt;0),Tasks[[#This Row],[_Res4Work]]&gt;0),Tasks[[#This Row],[_Res4Work]]/(Tasks[[#This Row],[_FinishWorkday]]-Tasks[[#This Row],[_StartWorkday]]+1),0)</f>
        <v>0</v>
      </c>
      <c r="EE59" s="42" t="n">
        <f aca="false">Tasks[[#This Row],[_Res4WorkPerWD]]*MAX(0,Tasks[[#This Row],[_StartWorkday]]-1)</f>
        <v>0</v>
      </c>
      <c r="EF59" s="42" t="n">
        <f aca="false">Tasks[[#This Row],[_Res4Work]]*Tasks[[#This Row],[_LeafProgress]]</f>
        <v>0</v>
      </c>
      <c r="EG59" s="42" t="n">
        <f aca="false">IF(ISNUMBER(Tasks[[#This Row],[% Complete]]),Tasks[[#This Row],[% Complete]],IF(Tasks[[#This Row],[Stage]]="",0,IFERROR(INDEX(stg_Pct,MATCH(Tasks[[#This Row],[Stage]],stg_Name,0)),0)))</f>
        <v>0</v>
      </c>
      <c r="EH59" s="42" t="n">
        <f aca="false">IF(NOT(Tasks[[#This Row],[_IsLeaf]]=1),0,IF(N(Tasks[[#This Row],[Actual Finish]])&gt;0,1,MIN(1,Tasks[[#This Row],[_Pct]])))</f>
        <v>0</v>
      </c>
      <c r="EI59" s="42" t="n">
        <f aca="false">IF(OR(NOT(Tasks[[#This Row],[_IsLeaf]]=1),Tasks[[#This Row],[_Res1Row]]=0),0,N(Tasks[[#This Row],[_Days]])*HoursPerDay*IF(Tasks[[#This Row],[_Units1]]="",DefaultUnits,Tasks[[#This Row],[_Units1]]))</f>
        <v>0</v>
      </c>
      <c r="EJ59" s="42" t="n">
        <f aca="false">Tasks[[#This Row],[_LeafWork]]+Tasks[[#This Row],[_Res2Work]]+Tasks[[#This Row],[_Res3Work]]+Tasks[[#This Row],[_Res4Work]]</f>
        <v>0</v>
      </c>
      <c r="EK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59" s="42" t="n">
        <f aca="false">IF(NOT(Tasks[[#This Row],[_IsLeaf]]=1),0,MAX(_xlfn.MAXIFS(Tasks[_Row],Tasks[_Pred1UID],Tasks[[#This Row],[UID]]),_xlfn.MAXIFS(Tasks[_Row],Tasks[_Pred2UID],Tasks[[#This Row],[UID]]),_xlfn.MAXIFS(Tasks[_Row],Tasks[_Pred3UID],Tasks[[#This Row],[UID]]),_xlfn.MAXIFS(Tasks[_Row],Tasks[_Pred4UID],Tasks[[#This Row],[UID]])))</f>
        <v>0</v>
      </c>
      <c r="ET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59" s="89" t="str">
        <f aca="false">IF(NOT(Tasks[[#This Row],[_IsLeaf]]=1),"",IF(N(Tasks[[#This Row],[_Days]])&lt;=0,Tasks[[#This Row],[_LeafLateFinish]],WORKDAY.INTL(Tasks[[#This Row],[_LeafLateFinish]],-(Tasks[[#This Row],[_Days]]-1),WorkWeek,Holidays)))</f>
        <v/>
      </c>
      <c r="EW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59" s="88" t="b">
        <f aca="false">AND(Tasks[[#This Row],[_IsLeaf]]=1,Tasks[[#This Row],[_LeafProgress]]&lt;1,N(Tasks[[#This Row],[_LeafTotalSlack]])&lt;=CriticalSlackDays)</f>
        <v>0</v>
      </c>
      <c r="EY59" s="42" t="n">
        <f aca="false">IF(AND(Tasks[[#This Row],[_IsLeaf]]=1,Tasks[[#This Row],[_ConstraintCode]]=1,Tasks[[#This Row],[Mode]]&lt;&gt;"Manual",N(Tasks[[#This Row],[Actual Start]])=0),MAX(0,N(Tasks[[#This Row],[Free Slack]])),0)</f>
        <v>0</v>
      </c>
      <c r="EZ59" s="89" t="str">
        <f aca="false">IF(NOT(Tasks[[#This Row],[_IsLeaf]]=1),"",IF(Tasks[[#This Row],[_AlapShift]]=0,Tasks[[#This Row],[_LeafCalcStart]],WORKDAY.INTL(Tasks[[#This Row],[_LeafCalcStart]],Tasks[[#This Row],[_AlapShift]],WorkWeek,Holidays)))</f>
        <v/>
      </c>
      <c r="FA59" s="89" t="str">
        <f aca="false">IF(NOT(Tasks[[#This Row],[_IsLeaf]]=1),"",IF(Tasks[[#This Row],[_AlapShift]]=0,Tasks[[#This Row],[_LeafCalcFinish]],WORKDAY.INTL(Tasks[[#This Row],[_LeafCalcFinish]],Tasks[[#This Row],[_AlapShift]],WorkWeek,Holidays)))</f>
        <v/>
      </c>
      <c r="FB59" s="89" t="str">
        <f aca="false">IF(NOT(Tasks[[#This Row],[_IsLeaf]]=1),"",IF(Tasks[[#This Row],[_AlapShift]]=0,Tasks[[#This Row],[_LeafFcstStart]],WORKDAY.INTL(Tasks[[#This Row],[_LeafFcstStart]],Tasks[[#This Row],[_AlapShift]],WorkWeek,Holidays)))</f>
        <v/>
      </c>
      <c r="FC59" s="89" t="str">
        <f aca="false">IF(NOT(Tasks[[#This Row],[_IsLeaf]]=1),"",IF(Tasks[[#This Row],[_AlapShift]]=0,Tasks[[#This Row],[_LeafFcstFinish]],WORKDAY.INTL(Tasks[[#This Row],[_LeafFcstFinish]],Tasks[[#This Row],[_AlapShift]],WorkWeek,Holidays)))</f>
        <v/>
      </c>
      <c r="FD59" s="89" t="str">
        <f aca="false">IF(Tasks[[#This Row],[Task Name]]="","",IF(Tasks[[#This Row],[_IsSummary]],MIN(INDEX(Tasks[_ShownCalcStart],Tasks[[#This Row],[_Row]]+1):INDEX(Tasks[_ShownCalcStart],Tasks[[#This Row],[_Row]]+Tasks[[#This Row],[_Descendants]])),Tasks[[#This Row],[_ShownCalcStart]]))</f>
        <v/>
      </c>
      <c r="FE59" s="89" t="str">
        <f aca="false">IF(Tasks[[#This Row],[Task Name]]="","",IF(Tasks[[#This Row],[_IsSummary]],MAX(INDEX(Tasks[_ShownCalcFinish],Tasks[[#This Row],[_Row]]+1):INDEX(Tasks[_ShownCalcFinish],Tasks[[#This Row],[_Row]]+Tasks[[#This Row],[_Descendants]])),Tasks[[#This Row],[_ShownCalcFinish]]))</f>
        <v/>
      </c>
      <c r="FF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59" s="42" t="n">
        <f aca="false">IF(AND(Tasks[[#This Row],[_IsLeaf]]=1,Tasks[[#This Row],[_LeafTotalWork]]&gt;0),NETWORKDAYS.INTL(ProjectStart,Tasks[[#This Row],[_ShownFcstStart]],WorkWeek,Holidays),0)</f>
        <v>0</v>
      </c>
      <c r="FS59" s="42" t="n">
        <f aca="false">IF(AND(Tasks[[#This Row],[_IsLeaf]]=1,Tasks[[#This Row],[_LeafTotalWork]]&gt;0),MAX(Tasks[[#This Row],[_StartWorkday]],NETWORKDAYS.INTL(ProjectStart,Tasks[[#This Row],[_ShownFcstFinish]],WorkWeek,Holidays)),0)</f>
        <v>0</v>
      </c>
      <c r="FT59" s="42" t="n">
        <f aca="false">IF(AND(Tasks[[#This Row],[_IsLeaf]]=1,Tasks[[#This Row],[_LeafTotalWork]]&gt;0),Tasks[[#This Row],[_LeafWork]]/(Tasks[[#This Row],[_FinishWorkday]]-Tasks[[#This Row],[_StartWorkday]]+1),0)</f>
        <v>0</v>
      </c>
      <c r="FU59" s="42" t="n">
        <f aca="false">Tasks[[#This Row],[_WorkPerWorkday]]*(Tasks[[#This Row],[_StartWorkday]]-1)</f>
        <v>-0</v>
      </c>
      <c r="FV59" s="42" t="n">
        <f aca="false">IF(Tasks[[#This Row],[_IsLeaf]]=1,MAX(N(Tasks[[#This Row],[_Days]]),0.1),0)</f>
        <v>0</v>
      </c>
      <c r="FW59" s="42" t="n">
        <f aca="false">Tasks[[#This Row],[_WeightDur]]*Tasks[[#This Row],[_LeafProgress]]</f>
        <v>0</v>
      </c>
      <c r="FX59" s="42" t="n">
        <f aca="false">Tasks[[#This Row],[_WeightDur]]*Tasks[[#This Row],[_PlannedPct]]</f>
        <v>0</v>
      </c>
      <c r="FY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59" s="42" t="str">
        <f aca="false">IF(AND(Tasks[[#This Row],[_IsLeaf]]=1,N(Tasks[[#This Row],[_Days]])=0,Tasks[[#This Row],[_LeafProgress]]&lt;1),Tasks[[#This Row],[_ShownFcstFinish]]+Tasks[[#This Row],[_Row]]/100000,"")</f>
        <v/>
      </c>
      <c r="GA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59" s="42" t="str">
        <f aca="false">IF(Tasks[[#This Row],[Task Name]]="","",LEFT(Tasks[[#This Row],[WBS]],FIND(".",Tasks[[#This Row],[WBS]]&amp;".")-1))</f>
        <v/>
      </c>
      <c r="GC59" s="42" t="str">
        <f aca="false">IF(AND(Tasks[[#This Row],[Task Name]]&lt;&gt;"",Tasks[[#This Row],[_Level]]=1),Tasks[[#This Row],[_Row]],"")</f>
        <v/>
      </c>
      <c r="GD59" s="42" t="str">
        <f aca="false">IF(AND(Tasks[[#This Row],[_IsLeaf]]=1,N(Tasks[[#This Row],[_Days]])=0),Tasks[[#This Row],[Planned Finish]]+Tasks[[#This Row],[_Row]]/100000,"")</f>
        <v/>
      </c>
      <c r="GE59" s="42" t="str">
        <f aca="false">IF(AND(Tasks[[#This Row],[_IsLeaf]]=1,Tasks[[#This Row],[_LeafProgress]]&lt;1,OR(N(Tasks[[#This Row],[Finish Var]])&gt;0,Tasks[[#This Row],[Status]]="Late Start")),MAX(0,Tasks[[#This Row],[Finish Var]])+1-Tasks[[#This Row],[_Row]]/1000000,"")</f>
        <v/>
      </c>
      <c r="GF59" s="42" t="str">
        <f aca="false">IF(AND(Tasks[[#This Row],[_IsLeaf]]=1,N(Tasks[[#This Row],[Actual Start]])=0,Tasks[[#This Row],[_ShownFcstStart]]&gt;=StatusDate,Tasks[[#This Row],[_ShownFcstStart]]&lt;=LookaheadEnd),Tasks[[#This Row],[_ShownFcstStart]]+Tasks[[#This Row],[_Row]]/100000,"")</f>
        <v/>
      </c>
      <c r="GG59" s="42" t="str">
        <f aca="false">IF(AND(Tasks[[#This Row],[_IsLeaf]]=1,Tasks[[#This Row],[_LeafProgress]]&lt;1,Tasks[[#This Row],[_ShownFcstFinish]]&gt;=StatusDate,Tasks[[#This Row],[_ShownFcstFinish]]&lt;=LookaheadEnd),Tasks[[#This Row],[_ShownFcstFinish]]+Tasks[[#This Row],[_Row]]/100000,"")</f>
        <v/>
      </c>
      <c r="GH59" s="42" t="str">
        <f aca="false">IF(Tasks[[#This Row],[_LeafCritical]],Tasks[[#This Row],[_ShownFcstStart]]+Tasks[[#This Row],[_Row]]/100000,"")</f>
        <v/>
      </c>
      <c r="GI59" s="42" t="n">
        <f aca="false">Tasks[[#This Row],[_LeafWork]]*Tasks[[#This Row],[_LeafProgress]]</f>
        <v>0</v>
      </c>
      <c r="GJ59" s="89" t="str">
        <f aca="false">IF(AND(Tasks[[#This Row],[_IsLeaf]]=1,Tasks[[#This Row],[_LeafProgress]]&gt;=1),IF(N(Tasks[[#This Row],[Actual Finish]])&gt;0,Tasks[[#This Row],[Actual Finish]],Tasks[[#This Row],[_ShownFcstFinish]]),"")</f>
        <v/>
      </c>
      <c r="GK59" s="42" t="n">
        <f aca="false">IF(Tasks[[#This Row],[_IsLeaf]]=1,N(Tasks[[#This Row],[Story Points]]),0)</f>
        <v>0</v>
      </c>
      <c r="GL59" s="42" t="str">
        <f aca="false">""</f>
        <v/>
      </c>
      <c r="GM59" s="88" t="b">
        <f aca="false">IF(Tasks[[#This Row],[Task Name]]="",FALSE(),AND(Tasks[[#This Row],[_IsLeaf]]=1,N(Tasks[[#This Row],[_Days]])=0))</f>
        <v>0</v>
      </c>
      <c r="GN59" s="89" t="n">
        <f aca="false">IF(Tasks[[#This Row],[Task Name]]="",0,IF(AND(Tasks[[#This Row],[_IsLeaf]]=1,NOT(Tasks[[#This Row],[_IsMilestone]]),N(Tasks[[#This Row],[Progress]])&gt;0),Tasks[[#This Row],[Start]],0))</f>
        <v>0</v>
      </c>
      <c r="GO59" s="89" t="n">
        <f aca="false">IF(Tasks[[#This Row],[_DoneFrom]]=0,0,IF(Tasks[[#This Row],[Progress]]&gt;=1,Tasks[[#This Row],[Finish]],MAX(Tasks[[#This Row],[_DoneFrom]],Tasks[[#This Row],[Start]]+ROUND((Tasks[[#This Row],[Finish]]-Tasks[[#This Row],[Start]]+1)*Tasks[[#This Row],[Progress]],0)-1)))</f>
        <v>0</v>
      </c>
      <c r="GP59" s="89" t="n">
        <f aca="false">IF(Tasks[[#This Row],[Task Name]]="",0,IF(OR(NOT(Tasks[[#This Row],[_IsLeaf]]=1),Tasks[[#This Row],[_IsMilestone]],N(Tasks[[#This Row],[Progress]])&gt;=1),0,IF(Tasks[[#This Row],[_DoneTo]]&gt;0,Tasks[[#This Row],[_DoneTo]]+1,Tasks[[#This Row],[Start]])))</f>
        <v>0</v>
      </c>
      <c r="GQ59" s="89" t="n">
        <f aca="false">IF(Tasks[[#This Row],[_RemFrom]]=0,0,Tasks[[#This Row],[Finish]])</f>
        <v>0</v>
      </c>
      <c r="GR59" s="88" t="b">
        <f aca="false">IF(Tasks[[#This Row],[Task Name]]="",FALSE(),OR(NOT(BaselineSet),N(Tasks[[#This Row],[Baseline Start]])&gt;0))</f>
        <v>0</v>
      </c>
      <c r="GS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59" s="90" t="str">
        <f aca="false">IF(Tasks[[#This Row],[_IsLeaf]]=1,Tasks[[#This Row],[_Row]],"")</f>
        <v/>
      </c>
      <c r="GW59" s="90" t="str">
        <f aca="false">IFERROR(INDEX(Tasks[UID],SMALL(Tasks[_PickKey],Tasks[[#This Row],[_Row]]))&amp;" "&amp;INDEX(Tasks[Task Name],SMALL(Tasks[_PickKey],Tasks[[#This Row],[_Row]])),"")</f>
        <v/>
      </c>
      <c r="GX59" s="42" t="str">
        <f aca="false">IF(Tasks[[#This Row],[Task Name]]="","",IF(Tasks[[#This Row],[_IsSummary]],NETWORKDAYS.INTL(Tasks[[#This Row],[Start]],Tasks[[#This Row],[Finish]],WorkWeek,Holidays),N(Tasks[[#This Row],[_Days]])))</f>
        <v/>
      </c>
    </row>
    <row r="60" customFormat="false" ht="15" hidden="false" customHeight="false" outlineLevel="0" collapsed="false">
      <c r="A60" s="21" t="str">
        <f aca="false">IF(Tasks[[#This Row],[Task Name]]="","",COUNTA(Tasks[[#Headers],[Task Name]]:Tasks[[#This Row],[Task Name]])-1)</f>
        <v/>
      </c>
      <c r="B60" s="22" t="n">
        <v>68</v>
      </c>
      <c r="C60" s="22"/>
      <c r="D60" s="23"/>
      <c r="E60" s="22"/>
      <c r="F60" s="23"/>
      <c r="G60" s="22"/>
      <c r="H60" s="22"/>
      <c r="I60" s="23"/>
      <c r="J60" s="22"/>
      <c r="K60" s="22"/>
      <c r="L60" s="23"/>
      <c r="M60" s="22"/>
      <c r="N60" s="22"/>
      <c r="O60" s="23"/>
      <c r="P60" s="22"/>
      <c r="Q60" s="22"/>
      <c r="R60" s="23"/>
      <c r="S60" s="23"/>
      <c r="T60" s="83"/>
      <c r="U60" s="23"/>
      <c r="V60" s="83"/>
      <c r="W60" s="23"/>
      <c r="X60" s="83"/>
      <c r="Y60" s="23"/>
      <c r="Z60" s="83"/>
      <c r="AA60" s="23"/>
      <c r="AB60" s="23"/>
      <c r="AC60" s="7"/>
      <c r="AD60" s="7"/>
      <c r="AE60" s="62" t="str">
        <f aca="false">IF(Tasks[[#This Row],[Task Name]]="","",IF(Tasks[[#This Row],[_IsSummary]],MIN(INDEX(Tasks[_ShownFcstStart],Tasks[[#This Row],[_Row]]+1):INDEX(Tasks[_ShownFcstStart],Tasks[[#This Row],[_Row]]+Tasks[[#This Row],[_Descendants]])),Tasks[[#This Row],[_ShownFcstStart]]))</f>
        <v/>
      </c>
      <c r="AF60" s="62" t="str">
        <f aca="false">IF(Tasks[[#This Row],[Task Name]]="","",IF(Tasks[[#This Row],[_IsSummary]],MAX(INDEX(Tasks[_ShownFcstFinish],Tasks[[#This Row],[_Row]]+1):INDEX(Tasks[_ShownFcstFinish],Tasks[[#This Row],[_Row]]+Tasks[[#This Row],[_Descendants]])),Tasks[[#This Row],[_ShownFcstFinish]]))</f>
        <v/>
      </c>
      <c r="AG60" s="21" t="str">
        <f aca="false">""</f>
        <v/>
      </c>
      <c r="AH60" s="23"/>
      <c r="AI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0" s="7"/>
      <c r="AK60" s="22"/>
      <c r="AL60" s="23"/>
      <c r="AM60" s="7"/>
      <c r="AN60" s="46" t="str">
        <f aca="false">IF(Tasks[[#This Row],[Task Name]]="","",IF(Tasks[[#This Row],[Finish]]&gt;=Tasks[[#This Row],[Planned Finish]],NETWORKDAYS.INTL(Tasks[[#This Row],[Planned Finish]],Tasks[[#This Row],[Finish]],WorkWeek,Holidays)-1,1-NETWORKDAYS.INTL(Tasks[[#This Row],[Finish]],Tasks[[#This Row],[Planned Finish]],WorkWeek,Holidays)))</f>
        <v/>
      </c>
      <c r="AO60" s="21" t="str">
        <f aca="false">IF(Tasks[[#This Row],[Task Name]]="","",IF(Tasks[[#This Row],[Progress]]&gt;=1,"Complete",IF(OR(N(Tasks[[#This Row],[Actual Start]])&gt;0,Tasks[[#This Row],[Progress]]&gt;0),IF(Tasks[[#This Row],[Finish Var]]&gt;0,"Behind","In Progress"),IF(Tasks[[#This Row],[Planned Start]]&lt;StatusDate,"Late Start","Not Started"))))</f>
        <v/>
      </c>
      <c r="AP60" s="21" t="str">
        <f aca="false">IF(Tasks[[#This Row],[Task Name]]="","",IF(IF(Tasks[[#This Row],[_IsSummary]],COUNTIF(INDEX(Tasks[_LeafCritical],Tasks[[#This Row],[_Row]]+1):INDEX(Tasks[_LeafCritical],Tasks[[#This Row],[_Row]]+Tasks[[#This Row],[_Descendants]]),TRUE())&gt;0,Tasks[[#This Row],[_LeafCritical]]),"Yes",""))</f>
        <v/>
      </c>
      <c r="AQ60" s="62" t="str">
        <f aca="false">IF(Tasks[[#This Row],[Task Name]]="","",IF(N(Tasks[[#This Row],[Baseline Start]])&gt;0,Tasks[[#This Row],[Baseline Start]],Tasks[[#This Row],[_CalcStart]]))</f>
        <v/>
      </c>
      <c r="AR60" s="62" t="str">
        <f aca="false">IF(Tasks[[#This Row],[Task Name]]="","",IF(N(Tasks[[#This Row],[Baseline Finish]])&gt;0,Tasks[[#This Row],[Baseline Finish]],Tasks[[#This Row],[_CalcFinish]]))</f>
        <v/>
      </c>
      <c r="AS60" s="46" t="str">
        <f aca="false">IF(Tasks[[#This Row],[Task Name]]="","",IF(Tasks[[#This Row],[Start]]&gt;=Tasks[[#This Row],[Planned Start]],NETWORKDAYS.INTL(Tasks[[#This Row],[Planned Start]],Tasks[[#This Row],[Start]],WorkWeek,Holidays)-1,1-NETWORKDAYS.INTL(Tasks[[#This Row],[Start]],Tasks[[#This Row],[Planned Start]],WorkWeek,Holidays)))</f>
        <v/>
      </c>
      <c r="AT60" s="62" t="str">
        <f aca="false">IF(Tasks[[#This Row],[Task Name]]="","",IF(Tasks[[#This Row],[_IsSummary]],MIN(INDEX(Tasks[_LeafLateStart],Tasks[[#This Row],[_Row]]+1):INDEX(Tasks[_LeafLateStart],Tasks[[#This Row],[_Row]]+Tasks[[#This Row],[_Descendants]])),Tasks[[#This Row],[_LeafLateStart]]))</f>
        <v/>
      </c>
      <c r="AU60" s="62" t="str">
        <f aca="false">IF(Tasks[[#This Row],[Task Name]]="","",IF(Tasks[[#This Row],[_IsSummary]],MAX(INDEX(Tasks[_LeafLateFinish],Tasks[[#This Row],[_Row]]+1):INDEX(Tasks[_LeafLateFinish],Tasks[[#This Row],[_Row]]+Tasks[[#This Row],[_Descendants]])),Tasks[[#This Row],[_LeafLateFinish]]))</f>
        <v/>
      </c>
      <c r="AV60" s="46" t="str">
        <f aca="false">IF(Tasks[[#This Row],[Task Name]]="","",IF(Tasks[[#This Row],[_IsSummary]],MIN(INDEX(Tasks[_LeafTotalSlack],Tasks[[#This Row],[_Row]]+1):INDEX(Tasks[_LeafTotalSlack],Tasks[[#This Row],[_Row]]+Tasks[[#This Row],[_Descendants]])),Tasks[[#This Row],[_LeafTotalSlack]]))</f>
        <v/>
      </c>
      <c r="AW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4"/>
      <c r="BA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t="str">
        <f aca="false">IF(Tasks[[#This Row],[Task Name]]="","",IF(Tasks[[#This Row],[_Level]]&lt;=OutlineShowLevel,"Yes","No"))</f>
        <v/>
      </c>
      <c r="BE60" s="85" t="str">
        <f aca="false">IF(Tasks[[#This Row],[Task Name]]="","",IF(Tasks[[#This Row],[_IsSummary]],SUM(INDEX(Tasks[_LeafTotalWork],Tasks[[#This Row],[_Row]]+1):INDEX(Tasks[_LeafTotalWork],Tasks[[#This Row],[_Row]]+Tasks[[#This Row],[_Descendants]])),Tasks[[#This Row],[_LeafTotalWork]]))</f>
        <v/>
      </c>
      <c r="BF60" s="23"/>
      <c r="BG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t="str">
        <f aca="false">""</f>
        <v/>
      </c>
      <c r="BI60" s="86"/>
      <c r="BJ60" s="22"/>
      <c r="BK60" s="46" t="str">
        <f aca="false">IF(OR(Tasks[[#This Row],[Task Name]]="",Tasks[[#This Row],[Baseline Duration]]=""),"",Tasks[[#This Row],[_SpanDays]]-N(Tasks[[#This Row],[Baseline Duration]]))</f>
        <v/>
      </c>
      <c r="BL60" s="85" t="str">
        <f aca="false">IF(OR(Tasks[[#This Row],[Task Name]]="",Tasks[[#This Row],[Baseline Work]]=""),"",Tasks[[#This Row],[Work]]-N(Tasks[[#This Row],[Baseline Work]]))</f>
        <v/>
      </c>
      <c r="BM60" s="62" t="str">
        <f aca="false">IF(Tasks[[#This Row],[Task Name]]="","",IF(OR(TakeBaseline="Yes",N(Tasks[[#This Row],[Baseline Start]])=0),Tasks[[#This Row],[Start]],Tasks[[#This Row],[Baseline Start]]))</f>
        <v/>
      </c>
      <c r="BN60" s="62" t="str">
        <f aca="false">IF(Tasks[[#This Row],[Task Name]]="","",IF(OR(TakeBaseline="Yes",N(Tasks[[#This Row],[Baseline Finish]])=0),Tasks[[#This Row],[Finish]],Tasks[[#This Row],[Baseline Finish]]))</f>
        <v/>
      </c>
      <c r="BO60" s="21" t="str">
        <f aca="false">IF(Tasks[[#This Row],[Task Name]]="","",IF(OR(TakeBaseline="Yes",N(Tasks[[#This Row],[Baseline Duration]])=0),Tasks[[#This Row],[_SpanDays]],Tasks[[#This Row],[Baseline Duration]]))</f>
        <v/>
      </c>
      <c r="BP60" s="85" t="str">
        <f aca="false">IF(Tasks[[#This Row],[Task Name]]="","",IF(OR(TakeBaseline="Yes",N(Tasks[[#This Row],[Baseline Work]])=0),Tasks[[#This Row],[Work]],Tasks[[#This Row],[Baseline Work]]))</f>
        <v/>
      </c>
      <c r="BQ60" s="7"/>
      <c r="BR60" s="7"/>
      <c r="BS60" s="22"/>
      <c r="BT60" s="87"/>
      <c r="BU60" s="42" t="str">
        <f aca="false">IF(Tasks[[#This Row],[Task Name]]="","",MAX(1,N(Tasks[[#This Row],[Level]])))</f>
        <v/>
      </c>
      <c r="BV60" s="42" t="n">
        <f aca="false">ROW()-ROW(Tasks[[#Headers],[ID]])</f>
        <v>55</v>
      </c>
      <c r="BW60" s="42" t="n">
        <f aca="false">IF(OR(Tasks[[#This Row],[Task Name]]="",Tasks[[#This Row],[_Level]]&lt;=1),0,IFERROR(LOOKUP(2,1/(Tasks[[#Headers],[_Level]]:Tasks[[#This Row],[_Level]]=Tasks[[#This Row],[_Level]]-1),ROW(Tasks[[#Headers],[_Level]]:Tasks[[#This Row],[_Level]])),0))</f>
        <v>0</v>
      </c>
      <c r="BX60" s="42" t="n">
        <f aca="false">IFERROR(N(INDEX(Tasks[_Level],Tasks[[#This Row],[_Row]]+1)),0)</f>
        <v>0</v>
      </c>
      <c r="BY60" s="88" t="b">
        <f aca="false">AND(Tasks[[#This Row],[Task Name]]&lt;&gt;"",Tasks[[#This Row],[_NextLevel]]&gt;Tasks[[#This Row],[_Level]])</f>
        <v>0</v>
      </c>
      <c r="BZ60" s="42" t="n">
        <f aca="false">IF(Tasks[[#This Row],[_IsSummary]],COUNTIF(Tasks[WBS],Tasks[[#This Row],[WBS]]&amp;".*"),0)</f>
        <v>0</v>
      </c>
      <c r="CA60" s="42" t="n">
        <f aca="false">IF(AND(Tasks[[#This Row],[Task Name]]&lt;&gt;"",NOT(Tasks[[#This Row],[_IsSummary]])),1,0)</f>
        <v>0</v>
      </c>
      <c r="CB60" s="42" t="n">
        <f aca="false">IF(N(Tasks[[#This Row],[_Pred1UID]])=0,0,IFERROR(MATCH(Tasks[[#This Row],[_Pred1UID]],Tasks[UID],0),-1))</f>
        <v>0</v>
      </c>
      <c r="CC60" s="42" t="n">
        <f aca="false">IF(N(Tasks[[#This Row],[_Pred2UID]])=0,0,IFERROR(MATCH(Tasks[[#This Row],[_Pred2UID]],Tasks[UID],0),-1))</f>
        <v>0</v>
      </c>
      <c r="CD60" s="42" t="n">
        <f aca="false">IF(N(Tasks[[#This Row],[_Pred3UID]])=0,0,IFERROR(MATCH(Tasks[[#This Row],[_Pred3UID]],Tasks[UID],0),-1))</f>
        <v>0</v>
      </c>
      <c r="CE60" s="42" t="n">
        <f aca="false">IF(N(Tasks[[#This Row],[_Pred4UID]])=0,0,IFERROR(MATCH(Tasks[[#This Row],[_Pred4UID]],Tasks[UID],0),-1))</f>
        <v>0</v>
      </c>
      <c r="CF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0" s="89" t="n">
        <f aca="false">IF(OR(Tasks[[#This Row],[_ConstraintCode]]=2,Tasks[[#This Row],[_ConstraintCode]]=3,Tasks[[#This Row],[_ConstraintCode]]=4,Tasks[[#This Row],[_ConstraintCode]]=6),Tasks[[#This Row],[_ConstraintStart]],0)</f>
        <v>0</v>
      </c>
      <c r="CI60" s="89" t="n">
        <f aca="false">IF(OR(Tasks[[#This Row],[_ConstraintCode]]=2,Tasks[[#This Row],[_ConstraintCode]]=3,Tasks[[#This Row],[_ConstraintCode]]=5,Tasks[[#This Row],[_ConstraintCode]]=7),Tasks[[#This Row],[_ConstraintStart]],2958465)</f>
        <v>2958465</v>
      </c>
      <c r="CJ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0" s="89" t="str">
        <f aca="false">IF(NOT(Tasks[[#This Row],[_IsLeaf]]=1),"",IF(N(Tasks[[#This Row],[_Days]])&lt;=0,Tasks[[#This Row],[_LeafCalcStart]],WORKDAY.INTL(Tasks[[#This Row],[_LeafCalcStart]],Tasks[[#This Row],[_Days]]-1,WorkWeek,Holidays)))</f>
        <v/>
      </c>
      <c r="CL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0" s="42" t="str">
        <f aca="false">IF(Tasks[[#This Row],[_Predecessors]]="","",TRIM(MID(SUBSTITUTE(SUBSTITUTE(SUBSTITUTE(UPPER(Tasks[[#This Row],[_Predecessors]]),";",",")," ",""),",",REPT(" ",99)),1,99)))</f>
        <v/>
      </c>
      <c r="CO60" s="42" t="str">
        <f aca="false">IF(Tasks[[#This Row],[_Pred1Text]]="","",IFERROR(VALUE(LEFT(Tasks[[#This Row],[_Pred1Text]],MIN(FIND("F",Tasks[[#This Row],[_Pred1Text]]&amp;"F"),FIND("S",Tasks[[#This Row],[_Pred1Text]]&amp;"S"),FIND("+",Tasks[[#This Row],[_Pred1Text]]&amp;"+"),FIND("-",Tasks[[#This Row],[_Pred1Text]]&amp;"-"))-1)),""))</f>
        <v/>
      </c>
      <c r="CP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0" s="42" t="str">
        <f aca="false">IF(Tasks[[#This Row],[_Pred1Text]]="","",TRIM(MID(SUBSTITUTE(SUBSTITUTE(SUBSTITUTE(UPPER(Tasks[[#This Row],[_Predecessors]]),";",",")," ",""),",",REPT(" ",99)),100,99)))</f>
        <v/>
      </c>
      <c r="CS60" s="42" t="str">
        <f aca="false">IF(Tasks[[#This Row],[_Pred2Text]]="","",IFERROR(VALUE(LEFT(Tasks[[#This Row],[_Pred2Text]],MIN(FIND("F",Tasks[[#This Row],[_Pred2Text]]&amp;"F"),FIND("S",Tasks[[#This Row],[_Pred2Text]]&amp;"S"),FIND("+",Tasks[[#This Row],[_Pred2Text]]&amp;"+"),FIND("-",Tasks[[#This Row],[_Pred2Text]]&amp;"-"))-1)),""))</f>
        <v/>
      </c>
      <c r="CT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0" s="42" t="str">
        <f aca="false">IF(Tasks[[#This Row],[_Pred2Text]]="","",TRIM(MID(SUBSTITUTE(SUBSTITUTE(SUBSTITUTE(UPPER(Tasks[[#This Row],[_Predecessors]]),";",",")," ",""),",",REPT(" ",99)),199,99)))</f>
        <v/>
      </c>
      <c r="CW60" s="42" t="str">
        <f aca="false">IF(Tasks[[#This Row],[_Pred3Text]]="","",IFERROR(VALUE(LEFT(Tasks[[#This Row],[_Pred3Text]],MIN(FIND("F",Tasks[[#This Row],[_Pred3Text]]&amp;"F"),FIND("S",Tasks[[#This Row],[_Pred3Text]]&amp;"S"),FIND("+",Tasks[[#This Row],[_Pred3Text]]&amp;"+"),FIND("-",Tasks[[#This Row],[_Pred3Text]]&amp;"-"))-1)),""))</f>
        <v/>
      </c>
      <c r="CX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0" s="42" t="str">
        <f aca="false">IF(Tasks[[#This Row],[_Pred3Text]]="","",TRIM(MID(SUBSTITUTE(SUBSTITUTE(SUBSTITUTE(UPPER(Tasks[[#This Row],[_Predecessors]]),";",",")," ",""),",",REPT(" ",99)),298,99)))</f>
        <v/>
      </c>
      <c r="DA60" s="42" t="str">
        <f aca="false">IF(Tasks[[#This Row],[_Pred4Text]]="","",IFERROR(VALUE(LEFT(Tasks[[#This Row],[_Pred4Text]],MIN(FIND("F",Tasks[[#This Row],[_Pred4Text]]&amp;"F"),FIND("S",Tasks[[#This Row],[_Pred4Text]]&amp;"S"),FIND("+",Tasks[[#This Row],[_Pred4Text]]&amp;"+"),FIND("-",Tasks[[#This Row],[_Pred4Text]]&amp;"-"))-1)),""))</f>
        <v/>
      </c>
      <c r="DB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0" s="42" t="str">
        <f aca="false">IF(OR(Tasks[[#This Row],[Task Name]]="",Tasks[[#This Row],[_Resources]]=""),"",TRIM(MID(SUBSTITUTE(Tasks[[#This Row],[_Resources]],",",REPT(" ",99)),1,99)))</f>
        <v/>
      </c>
      <c r="DE60" s="42" t="str">
        <f aca="false">IF(Tasks[[#This Row],[_Res1Text]]="","",TRIM(MID(SUBSTITUTE(Tasks[[#This Row],[_Resources]],",",REPT(" ",99)),100,99)))</f>
        <v/>
      </c>
      <c r="DF60" s="42" t="str">
        <f aca="false">IF(Tasks[[#This Row],[_Res2Text]]="","",TRIM(MID(SUBSTITUTE(Tasks[[#This Row],[_Resources]],",",REPT(" ",99)),199,99)))</f>
        <v/>
      </c>
      <c r="DG60" s="42" t="str">
        <f aca="false">IF(Tasks[[#This Row],[_Res3Text]]="","",TRIM(MID(SUBSTITUTE(Tasks[[#This Row],[_Resources]],",",REPT(" ",99)),298,99)))</f>
        <v/>
      </c>
      <c r="DH60" s="42" t="n">
        <f aca="false">IF(Tasks[[#This Row],[_Res1Text]]="",0,IFERROR(MATCH(TRIM(LEFT(Tasks[[#This Row],[_Res1Text]],FIND("[",Tasks[[#This Row],[_Res1Text]]&amp;"[")-1)),res_Name,0),IFERROR(MATCH(TRIM(LEFT(Tasks[[#This Row],[_Res1Text]],FIND("[",Tasks[[#This Row],[_Res1Text]]&amp;"[")-1)),res_Initials,0),0)))</f>
        <v>0</v>
      </c>
      <c r="DI60" s="42" t="n">
        <f aca="false">IF(Tasks[[#This Row],[_Res2Text]]="",0,IFERROR(MATCH(TRIM(LEFT(Tasks[[#This Row],[_Res2Text]],FIND("[",Tasks[[#This Row],[_Res2Text]]&amp;"[")-1)),res_Name,0),IFERROR(MATCH(TRIM(LEFT(Tasks[[#This Row],[_Res2Text]],FIND("[",Tasks[[#This Row],[_Res2Text]]&amp;"[")-1)),res_Initials,0),0)))</f>
        <v>0</v>
      </c>
      <c r="DJ60" s="42" t="n">
        <f aca="false">IF(Tasks[[#This Row],[_Res3Text]]="",0,IFERROR(MATCH(TRIM(LEFT(Tasks[[#This Row],[_Res3Text]],FIND("[",Tasks[[#This Row],[_Res3Text]]&amp;"[")-1)),res_Name,0),IFERROR(MATCH(TRIM(LEFT(Tasks[[#This Row],[_Res3Text]],FIND("[",Tasks[[#This Row],[_Res3Text]]&amp;"[")-1)),res_Initials,0),0)))</f>
        <v>0</v>
      </c>
      <c r="DK60" s="42" t="n">
        <f aca="false">IF(Tasks[[#This Row],[_Res4Text]]="",0,IFERROR(MATCH(TRIM(LEFT(Tasks[[#This Row],[_Res4Text]],FIND("[",Tasks[[#This Row],[_Res4Text]]&amp;"[")-1)),res_Name,0),IFERROR(MATCH(TRIM(LEFT(Tasks[[#This Row],[_Res4Text]],FIND("[",Tasks[[#This Row],[_Res4Text]]&amp;"[")-1)),res_Initials,0),0)))</f>
        <v>0</v>
      </c>
      <c r="DL60" s="42" t="str">
        <f aca="false">IF(Tasks[[#This Row],[_Res1Text]]="","",IF(Tasks[[#This Row],[_Res1Row]]&gt;0,INDEX(res_Name,Tasks[[#This Row],[_Res1Row]]),TRIM(LEFT(Tasks[[#This Row],[_Res1Text]],FIND("[",Tasks[[#This Row],[_Res1Text]]&amp;"[")-1))))</f>
        <v/>
      </c>
      <c r="DM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0" s="42" t="n">
        <f aca="false">IF(NOT(Tasks[[#This Row],[_IsLeaf]]=1),0,(Tasks[[#This Row],[_Resource1]]&lt;&gt;"")+(Tasks[[#This Row],[_Res2]]&lt;&gt;"")+(Tasks[[#This Row],[_Res3]]&lt;&gt;"")+(Tasks[[#This Row],[_Res4]]&lt;&gt;""))</f>
        <v>0</v>
      </c>
      <c r="DO60" s="42" t="str">
        <f aca="false">IF(Tasks[[#This Row],[_Res2Text]]="","",IF(Tasks[[#This Row],[_Res2Row]]&gt;0,INDEX(res_Name,Tasks[[#This Row],[_Res2Row]]),TRIM(LEFT(Tasks[[#This Row],[_Res2Text]],FIND("[",Tasks[[#This Row],[_Res2Text]]&amp;"[")-1))))</f>
        <v/>
      </c>
      <c r="DP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0" s="42" t="n">
        <f aca="false">IF(OR(NOT(Tasks[[#This Row],[_IsLeaf]]=1),Tasks[[#This Row],[_Res2Row]]=0),0,N(Tasks[[#This Row],[_Days]])*HoursPerDay*IF(Tasks[[#This Row],[_Res2Units]]="",DefaultUnits,Tasks[[#This Row],[_Res2Units]]))</f>
        <v>0</v>
      </c>
      <c r="DR60" s="42" t="n">
        <f aca="false">IF(AND(AND(Tasks[[#This Row],[_IsLeaf]]=1,Tasks[[#This Row],[_LeafTotalWork]]&gt;0),Tasks[[#This Row],[_Res2Work]]&gt;0),Tasks[[#This Row],[_Res2Work]]/(Tasks[[#This Row],[_FinishWorkday]]-Tasks[[#This Row],[_StartWorkday]]+1),0)</f>
        <v>0</v>
      </c>
      <c r="DS60" s="42" t="n">
        <f aca="false">Tasks[[#This Row],[_Res2WorkPerWD]]*MAX(0,Tasks[[#This Row],[_StartWorkday]]-1)</f>
        <v>0</v>
      </c>
      <c r="DT60" s="42" t="n">
        <f aca="false">Tasks[[#This Row],[_Res2Work]]*Tasks[[#This Row],[_LeafProgress]]</f>
        <v>0</v>
      </c>
      <c r="DU60" s="42" t="str">
        <f aca="false">IF(Tasks[[#This Row],[_Res3Text]]="","",IF(Tasks[[#This Row],[_Res3Row]]&gt;0,INDEX(res_Name,Tasks[[#This Row],[_Res3Row]]),TRIM(LEFT(Tasks[[#This Row],[_Res3Text]],FIND("[",Tasks[[#This Row],[_Res3Text]]&amp;"[")-1))))</f>
        <v/>
      </c>
      <c r="DV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0" s="42" t="n">
        <f aca="false">IF(OR(NOT(Tasks[[#This Row],[_IsLeaf]]=1),Tasks[[#This Row],[_Res3Row]]=0),0,N(Tasks[[#This Row],[_Days]])*HoursPerDay*IF(Tasks[[#This Row],[_Res3Units]]="",DefaultUnits,Tasks[[#This Row],[_Res3Units]]))</f>
        <v>0</v>
      </c>
      <c r="DX60" s="42" t="n">
        <f aca="false">IF(AND(AND(Tasks[[#This Row],[_IsLeaf]]=1,Tasks[[#This Row],[_LeafTotalWork]]&gt;0),Tasks[[#This Row],[_Res3Work]]&gt;0),Tasks[[#This Row],[_Res3Work]]/(Tasks[[#This Row],[_FinishWorkday]]-Tasks[[#This Row],[_StartWorkday]]+1),0)</f>
        <v>0</v>
      </c>
      <c r="DY60" s="42" t="n">
        <f aca="false">Tasks[[#This Row],[_Res3WorkPerWD]]*MAX(0,Tasks[[#This Row],[_StartWorkday]]-1)</f>
        <v>0</v>
      </c>
      <c r="DZ60" s="42" t="n">
        <f aca="false">Tasks[[#This Row],[_Res3Work]]*Tasks[[#This Row],[_LeafProgress]]</f>
        <v>0</v>
      </c>
      <c r="EA60" s="42" t="str">
        <f aca="false">IF(Tasks[[#This Row],[_Res4Text]]="","",IF(Tasks[[#This Row],[_Res4Row]]&gt;0,INDEX(res_Name,Tasks[[#This Row],[_Res4Row]]),TRIM(LEFT(Tasks[[#This Row],[_Res4Text]],FIND("[",Tasks[[#This Row],[_Res4Text]]&amp;"[")-1))))</f>
        <v/>
      </c>
      <c r="EB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0" s="42" t="n">
        <f aca="false">IF(OR(NOT(Tasks[[#This Row],[_IsLeaf]]=1),Tasks[[#This Row],[_Res4Row]]=0),0,N(Tasks[[#This Row],[_Days]])*HoursPerDay*IF(Tasks[[#This Row],[_Res4Units]]="",DefaultUnits,Tasks[[#This Row],[_Res4Units]]))</f>
        <v>0</v>
      </c>
      <c r="ED60" s="42" t="n">
        <f aca="false">IF(AND(AND(Tasks[[#This Row],[_IsLeaf]]=1,Tasks[[#This Row],[_LeafTotalWork]]&gt;0),Tasks[[#This Row],[_Res4Work]]&gt;0),Tasks[[#This Row],[_Res4Work]]/(Tasks[[#This Row],[_FinishWorkday]]-Tasks[[#This Row],[_StartWorkday]]+1),0)</f>
        <v>0</v>
      </c>
      <c r="EE60" s="42" t="n">
        <f aca="false">Tasks[[#This Row],[_Res4WorkPerWD]]*MAX(0,Tasks[[#This Row],[_StartWorkday]]-1)</f>
        <v>0</v>
      </c>
      <c r="EF60" s="42" t="n">
        <f aca="false">Tasks[[#This Row],[_Res4Work]]*Tasks[[#This Row],[_LeafProgress]]</f>
        <v>0</v>
      </c>
      <c r="EG60" s="42" t="n">
        <f aca="false">IF(ISNUMBER(Tasks[[#This Row],[% Complete]]),Tasks[[#This Row],[% Complete]],IF(Tasks[[#This Row],[Stage]]="",0,IFERROR(INDEX(stg_Pct,MATCH(Tasks[[#This Row],[Stage]],stg_Name,0)),0)))</f>
        <v>0</v>
      </c>
      <c r="EH60" s="42" t="n">
        <f aca="false">IF(NOT(Tasks[[#This Row],[_IsLeaf]]=1),0,IF(N(Tasks[[#This Row],[Actual Finish]])&gt;0,1,MIN(1,Tasks[[#This Row],[_Pct]])))</f>
        <v>0</v>
      </c>
      <c r="EI60" s="42" t="n">
        <f aca="false">IF(OR(NOT(Tasks[[#This Row],[_IsLeaf]]=1),Tasks[[#This Row],[_Res1Row]]=0),0,N(Tasks[[#This Row],[_Days]])*HoursPerDay*IF(Tasks[[#This Row],[_Units1]]="",DefaultUnits,Tasks[[#This Row],[_Units1]]))</f>
        <v>0</v>
      </c>
      <c r="EJ60" s="42" t="n">
        <f aca="false">Tasks[[#This Row],[_LeafWork]]+Tasks[[#This Row],[_Res2Work]]+Tasks[[#This Row],[_Res3Work]]+Tasks[[#This Row],[_Res4Work]]</f>
        <v>0</v>
      </c>
      <c r="EK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0" s="42" t="n">
        <f aca="false">IF(NOT(Tasks[[#This Row],[_IsLeaf]]=1),0,MAX(_xlfn.MAXIFS(Tasks[_Row],Tasks[_Pred1UID],Tasks[[#This Row],[UID]]),_xlfn.MAXIFS(Tasks[_Row],Tasks[_Pred2UID],Tasks[[#This Row],[UID]]),_xlfn.MAXIFS(Tasks[_Row],Tasks[_Pred3UID],Tasks[[#This Row],[UID]]),_xlfn.MAXIFS(Tasks[_Row],Tasks[_Pred4UID],Tasks[[#This Row],[UID]])))</f>
        <v>0</v>
      </c>
      <c r="ET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0" s="89" t="str">
        <f aca="false">IF(NOT(Tasks[[#This Row],[_IsLeaf]]=1),"",IF(N(Tasks[[#This Row],[_Days]])&lt;=0,Tasks[[#This Row],[_LeafLateFinish]],WORKDAY.INTL(Tasks[[#This Row],[_LeafLateFinish]],-(Tasks[[#This Row],[_Days]]-1),WorkWeek,Holidays)))</f>
        <v/>
      </c>
      <c r="EW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0" s="88" t="b">
        <f aca="false">AND(Tasks[[#This Row],[_IsLeaf]]=1,Tasks[[#This Row],[_LeafProgress]]&lt;1,N(Tasks[[#This Row],[_LeafTotalSlack]])&lt;=CriticalSlackDays)</f>
        <v>0</v>
      </c>
      <c r="EY60" s="42" t="n">
        <f aca="false">IF(AND(Tasks[[#This Row],[_IsLeaf]]=1,Tasks[[#This Row],[_ConstraintCode]]=1,Tasks[[#This Row],[Mode]]&lt;&gt;"Manual",N(Tasks[[#This Row],[Actual Start]])=0),MAX(0,N(Tasks[[#This Row],[Free Slack]])),0)</f>
        <v>0</v>
      </c>
      <c r="EZ60" s="89" t="str">
        <f aca="false">IF(NOT(Tasks[[#This Row],[_IsLeaf]]=1),"",IF(Tasks[[#This Row],[_AlapShift]]=0,Tasks[[#This Row],[_LeafCalcStart]],WORKDAY.INTL(Tasks[[#This Row],[_LeafCalcStart]],Tasks[[#This Row],[_AlapShift]],WorkWeek,Holidays)))</f>
        <v/>
      </c>
      <c r="FA60" s="89" t="str">
        <f aca="false">IF(NOT(Tasks[[#This Row],[_IsLeaf]]=1),"",IF(Tasks[[#This Row],[_AlapShift]]=0,Tasks[[#This Row],[_LeafCalcFinish]],WORKDAY.INTL(Tasks[[#This Row],[_LeafCalcFinish]],Tasks[[#This Row],[_AlapShift]],WorkWeek,Holidays)))</f>
        <v/>
      </c>
      <c r="FB60" s="89" t="str">
        <f aca="false">IF(NOT(Tasks[[#This Row],[_IsLeaf]]=1),"",IF(Tasks[[#This Row],[_AlapShift]]=0,Tasks[[#This Row],[_LeafFcstStart]],WORKDAY.INTL(Tasks[[#This Row],[_LeafFcstStart]],Tasks[[#This Row],[_AlapShift]],WorkWeek,Holidays)))</f>
        <v/>
      </c>
      <c r="FC60" s="89" t="str">
        <f aca="false">IF(NOT(Tasks[[#This Row],[_IsLeaf]]=1),"",IF(Tasks[[#This Row],[_AlapShift]]=0,Tasks[[#This Row],[_LeafFcstFinish]],WORKDAY.INTL(Tasks[[#This Row],[_LeafFcstFinish]],Tasks[[#This Row],[_AlapShift]],WorkWeek,Holidays)))</f>
        <v/>
      </c>
      <c r="FD60" s="89" t="str">
        <f aca="false">IF(Tasks[[#This Row],[Task Name]]="","",IF(Tasks[[#This Row],[_IsSummary]],MIN(INDEX(Tasks[_ShownCalcStart],Tasks[[#This Row],[_Row]]+1):INDEX(Tasks[_ShownCalcStart],Tasks[[#This Row],[_Row]]+Tasks[[#This Row],[_Descendants]])),Tasks[[#This Row],[_ShownCalcStart]]))</f>
        <v/>
      </c>
      <c r="FE60" s="89" t="str">
        <f aca="false">IF(Tasks[[#This Row],[Task Name]]="","",IF(Tasks[[#This Row],[_IsSummary]],MAX(INDEX(Tasks[_ShownCalcFinish],Tasks[[#This Row],[_Row]]+1):INDEX(Tasks[_ShownCalcFinish],Tasks[[#This Row],[_Row]]+Tasks[[#This Row],[_Descendants]])),Tasks[[#This Row],[_ShownCalcFinish]]))</f>
        <v/>
      </c>
      <c r="FF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0" s="42" t="n">
        <f aca="false">IF(AND(Tasks[[#This Row],[_IsLeaf]]=1,Tasks[[#This Row],[_LeafTotalWork]]&gt;0),NETWORKDAYS.INTL(ProjectStart,Tasks[[#This Row],[_ShownFcstStart]],WorkWeek,Holidays),0)</f>
        <v>0</v>
      </c>
      <c r="FS60" s="42" t="n">
        <f aca="false">IF(AND(Tasks[[#This Row],[_IsLeaf]]=1,Tasks[[#This Row],[_LeafTotalWork]]&gt;0),MAX(Tasks[[#This Row],[_StartWorkday]],NETWORKDAYS.INTL(ProjectStart,Tasks[[#This Row],[_ShownFcstFinish]],WorkWeek,Holidays)),0)</f>
        <v>0</v>
      </c>
      <c r="FT60" s="42" t="n">
        <f aca="false">IF(AND(Tasks[[#This Row],[_IsLeaf]]=1,Tasks[[#This Row],[_LeafTotalWork]]&gt;0),Tasks[[#This Row],[_LeafWork]]/(Tasks[[#This Row],[_FinishWorkday]]-Tasks[[#This Row],[_StartWorkday]]+1),0)</f>
        <v>0</v>
      </c>
      <c r="FU60" s="42" t="n">
        <f aca="false">Tasks[[#This Row],[_WorkPerWorkday]]*(Tasks[[#This Row],[_StartWorkday]]-1)</f>
        <v>-0</v>
      </c>
      <c r="FV60" s="42" t="n">
        <f aca="false">IF(Tasks[[#This Row],[_IsLeaf]]=1,MAX(N(Tasks[[#This Row],[_Days]]),0.1),0)</f>
        <v>0</v>
      </c>
      <c r="FW60" s="42" t="n">
        <f aca="false">Tasks[[#This Row],[_WeightDur]]*Tasks[[#This Row],[_LeafProgress]]</f>
        <v>0</v>
      </c>
      <c r="FX60" s="42" t="n">
        <f aca="false">Tasks[[#This Row],[_WeightDur]]*Tasks[[#This Row],[_PlannedPct]]</f>
        <v>0</v>
      </c>
      <c r="FY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0" s="42" t="str">
        <f aca="false">IF(AND(Tasks[[#This Row],[_IsLeaf]]=1,N(Tasks[[#This Row],[_Days]])=0,Tasks[[#This Row],[_LeafProgress]]&lt;1),Tasks[[#This Row],[_ShownFcstFinish]]+Tasks[[#This Row],[_Row]]/100000,"")</f>
        <v/>
      </c>
      <c r="GA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0" s="42" t="str">
        <f aca="false">IF(Tasks[[#This Row],[Task Name]]="","",LEFT(Tasks[[#This Row],[WBS]],FIND(".",Tasks[[#This Row],[WBS]]&amp;".")-1))</f>
        <v/>
      </c>
      <c r="GC60" s="42" t="str">
        <f aca="false">IF(AND(Tasks[[#This Row],[Task Name]]&lt;&gt;"",Tasks[[#This Row],[_Level]]=1),Tasks[[#This Row],[_Row]],"")</f>
        <v/>
      </c>
      <c r="GD60" s="42" t="str">
        <f aca="false">IF(AND(Tasks[[#This Row],[_IsLeaf]]=1,N(Tasks[[#This Row],[_Days]])=0),Tasks[[#This Row],[Planned Finish]]+Tasks[[#This Row],[_Row]]/100000,"")</f>
        <v/>
      </c>
      <c r="GE60" s="42" t="str">
        <f aca="false">IF(AND(Tasks[[#This Row],[_IsLeaf]]=1,Tasks[[#This Row],[_LeafProgress]]&lt;1,OR(N(Tasks[[#This Row],[Finish Var]])&gt;0,Tasks[[#This Row],[Status]]="Late Start")),MAX(0,Tasks[[#This Row],[Finish Var]])+1-Tasks[[#This Row],[_Row]]/1000000,"")</f>
        <v/>
      </c>
      <c r="GF60" s="42" t="str">
        <f aca="false">IF(AND(Tasks[[#This Row],[_IsLeaf]]=1,N(Tasks[[#This Row],[Actual Start]])=0,Tasks[[#This Row],[_ShownFcstStart]]&gt;=StatusDate,Tasks[[#This Row],[_ShownFcstStart]]&lt;=LookaheadEnd),Tasks[[#This Row],[_ShownFcstStart]]+Tasks[[#This Row],[_Row]]/100000,"")</f>
        <v/>
      </c>
      <c r="GG60" s="42" t="str">
        <f aca="false">IF(AND(Tasks[[#This Row],[_IsLeaf]]=1,Tasks[[#This Row],[_LeafProgress]]&lt;1,Tasks[[#This Row],[_ShownFcstFinish]]&gt;=StatusDate,Tasks[[#This Row],[_ShownFcstFinish]]&lt;=LookaheadEnd),Tasks[[#This Row],[_ShownFcstFinish]]+Tasks[[#This Row],[_Row]]/100000,"")</f>
        <v/>
      </c>
      <c r="GH60" s="42" t="str">
        <f aca="false">IF(Tasks[[#This Row],[_LeafCritical]],Tasks[[#This Row],[_ShownFcstStart]]+Tasks[[#This Row],[_Row]]/100000,"")</f>
        <v/>
      </c>
      <c r="GI60" s="42" t="n">
        <f aca="false">Tasks[[#This Row],[_LeafWork]]*Tasks[[#This Row],[_LeafProgress]]</f>
        <v>0</v>
      </c>
      <c r="GJ60" s="89" t="str">
        <f aca="false">IF(AND(Tasks[[#This Row],[_IsLeaf]]=1,Tasks[[#This Row],[_LeafProgress]]&gt;=1),IF(N(Tasks[[#This Row],[Actual Finish]])&gt;0,Tasks[[#This Row],[Actual Finish]],Tasks[[#This Row],[_ShownFcstFinish]]),"")</f>
        <v/>
      </c>
      <c r="GK60" s="42" t="n">
        <f aca="false">IF(Tasks[[#This Row],[_IsLeaf]]=1,N(Tasks[[#This Row],[Story Points]]),0)</f>
        <v>0</v>
      </c>
      <c r="GL60" s="42" t="str">
        <f aca="false">""</f>
        <v/>
      </c>
      <c r="GM60" s="88" t="b">
        <f aca="false">IF(Tasks[[#This Row],[Task Name]]="",FALSE(),AND(Tasks[[#This Row],[_IsLeaf]]=1,N(Tasks[[#This Row],[_Days]])=0))</f>
        <v>0</v>
      </c>
      <c r="GN60" s="89" t="n">
        <f aca="false">IF(Tasks[[#This Row],[Task Name]]="",0,IF(AND(Tasks[[#This Row],[_IsLeaf]]=1,NOT(Tasks[[#This Row],[_IsMilestone]]),N(Tasks[[#This Row],[Progress]])&gt;0),Tasks[[#This Row],[Start]],0))</f>
        <v>0</v>
      </c>
      <c r="GO60" s="89" t="n">
        <f aca="false">IF(Tasks[[#This Row],[_DoneFrom]]=0,0,IF(Tasks[[#This Row],[Progress]]&gt;=1,Tasks[[#This Row],[Finish]],MAX(Tasks[[#This Row],[_DoneFrom]],Tasks[[#This Row],[Start]]+ROUND((Tasks[[#This Row],[Finish]]-Tasks[[#This Row],[Start]]+1)*Tasks[[#This Row],[Progress]],0)-1)))</f>
        <v>0</v>
      </c>
      <c r="GP60" s="89" t="n">
        <f aca="false">IF(Tasks[[#This Row],[Task Name]]="",0,IF(OR(NOT(Tasks[[#This Row],[_IsLeaf]]=1),Tasks[[#This Row],[_IsMilestone]],N(Tasks[[#This Row],[Progress]])&gt;=1),0,IF(Tasks[[#This Row],[_DoneTo]]&gt;0,Tasks[[#This Row],[_DoneTo]]+1,Tasks[[#This Row],[Start]])))</f>
        <v>0</v>
      </c>
      <c r="GQ60" s="89" t="n">
        <f aca="false">IF(Tasks[[#This Row],[_RemFrom]]=0,0,Tasks[[#This Row],[Finish]])</f>
        <v>0</v>
      </c>
      <c r="GR60" s="88" t="b">
        <f aca="false">IF(Tasks[[#This Row],[Task Name]]="",FALSE(),OR(NOT(BaselineSet),N(Tasks[[#This Row],[Baseline Start]])&gt;0))</f>
        <v>0</v>
      </c>
      <c r="GS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0" s="90" t="str">
        <f aca="false">IF(Tasks[[#This Row],[_IsLeaf]]=1,Tasks[[#This Row],[_Row]],"")</f>
        <v/>
      </c>
      <c r="GW60" s="90" t="str">
        <f aca="false">IFERROR(INDEX(Tasks[UID],SMALL(Tasks[_PickKey],Tasks[[#This Row],[_Row]]))&amp;" "&amp;INDEX(Tasks[Task Name],SMALL(Tasks[_PickKey],Tasks[[#This Row],[_Row]])),"")</f>
        <v/>
      </c>
      <c r="GX60" s="42" t="str">
        <f aca="false">IF(Tasks[[#This Row],[Task Name]]="","",IF(Tasks[[#This Row],[_IsSummary]],NETWORKDAYS.INTL(Tasks[[#This Row],[Start]],Tasks[[#This Row],[Finish]],WorkWeek,Holidays),N(Tasks[[#This Row],[_Days]])))</f>
        <v/>
      </c>
    </row>
    <row r="61" customFormat="false" ht="15" hidden="false" customHeight="false" outlineLevel="0" collapsed="false">
      <c r="A61" s="21" t="str">
        <f aca="false">IF(Tasks[[#This Row],[Task Name]]="","",COUNTA(Tasks[[#Headers],[Task Name]]:Tasks[[#This Row],[Task Name]])-1)</f>
        <v/>
      </c>
      <c r="B61" s="22" t="n">
        <v>69</v>
      </c>
      <c r="C61" s="22"/>
      <c r="D61" s="23"/>
      <c r="E61" s="22"/>
      <c r="F61" s="23"/>
      <c r="G61" s="22"/>
      <c r="H61" s="22"/>
      <c r="I61" s="23"/>
      <c r="J61" s="22"/>
      <c r="K61" s="22"/>
      <c r="L61" s="23"/>
      <c r="M61" s="22"/>
      <c r="N61" s="22"/>
      <c r="O61" s="23"/>
      <c r="P61" s="22"/>
      <c r="Q61" s="22"/>
      <c r="R61" s="23"/>
      <c r="S61" s="23"/>
      <c r="T61" s="83"/>
      <c r="U61" s="23"/>
      <c r="V61" s="83"/>
      <c r="W61" s="23"/>
      <c r="X61" s="83"/>
      <c r="Y61" s="23"/>
      <c r="Z61" s="83"/>
      <c r="AA61" s="23"/>
      <c r="AB61" s="23"/>
      <c r="AC61" s="7"/>
      <c r="AD61" s="7"/>
      <c r="AE61" s="62" t="str">
        <f aca="false">IF(Tasks[[#This Row],[Task Name]]="","",IF(Tasks[[#This Row],[_IsSummary]],MIN(INDEX(Tasks[_ShownFcstStart],Tasks[[#This Row],[_Row]]+1):INDEX(Tasks[_ShownFcstStart],Tasks[[#This Row],[_Row]]+Tasks[[#This Row],[_Descendants]])),Tasks[[#This Row],[_ShownFcstStart]]))</f>
        <v/>
      </c>
      <c r="AF61" s="62" t="str">
        <f aca="false">IF(Tasks[[#This Row],[Task Name]]="","",IF(Tasks[[#This Row],[_IsSummary]],MAX(INDEX(Tasks[_ShownFcstFinish],Tasks[[#This Row],[_Row]]+1):INDEX(Tasks[_ShownFcstFinish],Tasks[[#This Row],[_Row]]+Tasks[[#This Row],[_Descendants]])),Tasks[[#This Row],[_ShownFcstFinish]]))</f>
        <v/>
      </c>
      <c r="AG61" s="21" t="str">
        <f aca="false">""</f>
        <v/>
      </c>
      <c r="AH61" s="23"/>
      <c r="AI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1" s="7"/>
      <c r="AK61" s="22"/>
      <c r="AL61" s="23"/>
      <c r="AM61" s="7"/>
      <c r="AN61" s="46" t="str">
        <f aca="false">IF(Tasks[[#This Row],[Task Name]]="","",IF(Tasks[[#This Row],[Finish]]&gt;=Tasks[[#This Row],[Planned Finish]],NETWORKDAYS.INTL(Tasks[[#This Row],[Planned Finish]],Tasks[[#This Row],[Finish]],WorkWeek,Holidays)-1,1-NETWORKDAYS.INTL(Tasks[[#This Row],[Finish]],Tasks[[#This Row],[Planned Finish]],WorkWeek,Holidays)))</f>
        <v/>
      </c>
      <c r="AO61" s="21" t="str">
        <f aca="false">IF(Tasks[[#This Row],[Task Name]]="","",IF(Tasks[[#This Row],[Progress]]&gt;=1,"Complete",IF(OR(N(Tasks[[#This Row],[Actual Start]])&gt;0,Tasks[[#This Row],[Progress]]&gt;0),IF(Tasks[[#This Row],[Finish Var]]&gt;0,"Behind","In Progress"),IF(Tasks[[#This Row],[Planned Start]]&lt;StatusDate,"Late Start","Not Started"))))</f>
        <v/>
      </c>
      <c r="AP61" s="21" t="str">
        <f aca="false">IF(Tasks[[#This Row],[Task Name]]="","",IF(IF(Tasks[[#This Row],[_IsSummary]],COUNTIF(INDEX(Tasks[_LeafCritical],Tasks[[#This Row],[_Row]]+1):INDEX(Tasks[_LeafCritical],Tasks[[#This Row],[_Row]]+Tasks[[#This Row],[_Descendants]]),TRUE())&gt;0,Tasks[[#This Row],[_LeafCritical]]),"Yes",""))</f>
        <v/>
      </c>
      <c r="AQ61" s="62" t="str">
        <f aca="false">IF(Tasks[[#This Row],[Task Name]]="","",IF(N(Tasks[[#This Row],[Baseline Start]])&gt;0,Tasks[[#This Row],[Baseline Start]],Tasks[[#This Row],[_CalcStart]]))</f>
        <v/>
      </c>
      <c r="AR61" s="62" t="str">
        <f aca="false">IF(Tasks[[#This Row],[Task Name]]="","",IF(N(Tasks[[#This Row],[Baseline Finish]])&gt;0,Tasks[[#This Row],[Baseline Finish]],Tasks[[#This Row],[_CalcFinish]]))</f>
        <v/>
      </c>
      <c r="AS61" s="46" t="str">
        <f aca="false">IF(Tasks[[#This Row],[Task Name]]="","",IF(Tasks[[#This Row],[Start]]&gt;=Tasks[[#This Row],[Planned Start]],NETWORKDAYS.INTL(Tasks[[#This Row],[Planned Start]],Tasks[[#This Row],[Start]],WorkWeek,Holidays)-1,1-NETWORKDAYS.INTL(Tasks[[#This Row],[Start]],Tasks[[#This Row],[Planned Start]],WorkWeek,Holidays)))</f>
        <v/>
      </c>
      <c r="AT61" s="62" t="str">
        <f aca="false">IF(Tasks[[#This Row],[Task Name]]="","",IF(Tasks[[#This Row],[_IsSummary]],MIN(INDEX(Tasks[_LeafLateStart],Tasks[[#This Row],[_Row]]+1):INDEX(Tasks[_LeafLateStart],Tasks[[#This Row],[_Row]]+Tasks[[#This Row],[_Descendants]])),Tasks[[#This Row],[_LeafLateStart]]))</f>
        <v/>
      </c>
      <c r="AU61" s="62" t="str">
        <f aca="false">IF(Tasks[[#This Row],[Task Name]]="","",IF(Tasks[[#This Row],[_IsSummary]],MAX(INDEX(Tasks[_LeafLateFinish],Tasks[[#This Row],[_Row]]+1):INDEX(Tasks[_LeafLateFinish],Tasks[[#This Row],[_Row]]+Tasks[[#This Row],[_Descendants]])),Tasks[[#This Row],[_LeafLateFinish]]))</f>
        <v/>
      </c>
      <c r="AV61" s="46" t="str">
        <f aca="false">IF(Tasks[[#This Row],[Task Name]]="","",IF(Tasks[[#This Row],[_IsSummary]],MIN(INDEX(Tasks[_LeafTotalSlack],Tasks[[#This Row],[_Row]]+1):INDEX(Tasks[_LeafTotalSlack],Tasks[[#This Row],[_Row]]+Tasks[[#This Row],[_Descendants]])),Tasks[[#This Row],[_LeafTotalSlack]]))</f>
        <v/>
      </c>
      <c r="AW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4"/>
      <c r="BA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t="str">
        <f aca="false">IF(Tasks[[#This Row],[Task Name]]="","",IF(Tasks[[#This Row],[_Level]]&lt;=OutlineShowLevel,"Yes","No"))</f>
        <v/>
      </c>
      <c r="BE61" s="85" t="str">
        <f aca="false">IF(Tasks[[#This Row],[Task Name]]="","",IF(Tasks[[#This Row],[_IsSummary]],SUM(INDEX(Tasks[_LeafTotalWork],Tasks[[#This Row],[_Row]]+1):INDEX(Tasks[_LeafTotalWork],Tasks[[#This Row],[_Row]]+Tasks[[#This Row],[_Descendants]])),Tasks[[#This Row],[_LeafTotalWork]]))</f>
        <v/>
      </c>
      <c r="BF61" s="23"/>
      <c r="BG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t="str">
        <f aca="false">""</f>
        <v/>
      </c>
      <c r="BI61" s="86"/>
      <c r="BJ61" s="22"/>
      <c r="BK61" s="46" t="str">
        <f aca="false">IF(OR(Tasks[[#This Row],[Task Name]]="",Tasks[[#This Row],[Baseline Duration]]=""),"",Tasks[[#This Row],[_SpanDays]]-N(Tasks[[#This Row],[Baseline Duration]]))</f>
        <v/>
      </c>
      <c r="BL61" s="85" t="str">
        <f aca="false">IF(OR(Tasks[[#This Row],[Task Name]]="",Tasks[[#This Row],[Baseline Work]]=""),"",Tasks[[#This Row],[Work]]-N(Tasks[[#This Row],[Baseline Work]]))</f>
        <v/>
      </c>
      <c r="BM61" s="62" t="str">
        <f aca="false">IF(Tasks[[#This Row],[Task Name]]="","",IF(OR(TakeBaseline="Yes",N(Tasks[[#This Row],[Baseline Start]])=0),Tasks[[#This Row],[Start]],Tasks[[#This Row],[Baseline Start]]))</f>
        <v/>
      </c>
      <c r="BN61" s="62" t="str">
        <f aca="false">IF(Tasks[[#This Row],[Task Name]]="","",IF(OR(TakeBaseline="Yes",N(Tasks[[#This Row],[Baseline Finish]])=0),Tasks[[#This Row],[Finish]],Tasks[[#This Row],[Baseline Finish]]))</f>
        <v/>
      </c>
      <c r="BO61" s="21" t="str">
        <f aca="false">IF(Tasks[[#This Row],[Task Name]]="","",IF(OR(TakeBaseline="Yes",N(Tasks[[#This Row],[Baseline Duration]])=0),Tasks[[#This Row],[_SpanDays]],Tasks[[#This Row],[Baseline Duration]]))</f>
        <v/>
      </c>
      <c r="BP61" s="85" t="str">
        <f aca="false">IF(Tasks[[#This Row],[Task Name]]="","",IF(OR(TakeBaseline="Yes",N(Tasks[[#This Row],[Baseline Work]])=0),Tasks[[#This Row],[Work]],Tasks[[#This Row],[Baseline Work]]))</f>
        <v/>
      </c>
      <c r="BQ61" s="7"/>
      <c r="BR61" s="7"/>
      <c r="BS61" s="22"/>
      <c r="BT61" s="87"/>
      <c r="BU61" s="42" t="str">
        <f aca="false">IF(Tasks[[#This Row],[Task Name]]="","",MAX(1,N(Tasks[[#This Row],[Level]])))</f>
        <v/>
      </c>
      <c r="BV61" s="42" t="n">
        <f aca="false">ROW()-ROW(Tasks[[#Headers],[ID]])</f>
        <v>56</v>
      </c>
      <c r="BW61" s="42" t="n">
        <f aca="false">IF(OR(Tasks[[#This Row],[Task Name]]="",Tasks[[#This Row],[_Level]]&lt;=1),0,IFERROR(LOOKUP(2,1/(Tasks[[#Headers],[_Level]]:Tasks[[#This Row],[_Level]]=Tasks[[#This Row],[_Level]]-1),ROW(Tasks[[#Headers],[_Level]]:Tasks[[#This Row],[_Level]])),0))</f>
        <v>0</v>
      </c>
      <c r="BX61" s="42" t="n">
        <f aca="false">IFERROR(N(INDEX(Tasks[_Level],Tasks[[#This Row],[_Row]]+1)),0)</f>
        <v>0</v>
      </c>
      <c r="BY61" s="88" t="b">
        <f aca="false">AND(Tasks[[#This Row],[Task Name]]&lt;&gt;"",Tasks[[#This Row],[_NextLevel]]&gt;Tasks[[#This Row],[_Level]])</f>
        <v>0</v>
      </c>
      <c r="BZ61" s="42" t="n">
        <f aca="false">IF(Tasks[[#This Row],[_IsSummary]],COUNTIF(Tasks[WBS],Tasks[[#This Row],[WBS]]&amp;".*"),0)</f>
        <v>0</v>
      </c>
      <c r="CA61" s="42" t="n">
        <f aca="false">IF(AND(Tasks[[#This Row],[Task Name]]&lt;&gt;"",NOT(Tasks[[#This Row],[_IsSummary]])),1,0)</f>
        <v>0</v>
      </c>
      <c r="CB61" s="42" t="n">
        <f aca="false">IF(N(Tasks[[#This Row],[_Pred1UID]])=0,0,IFERROR(MATCH(Tasks[[#This Row],[_Pred1UID]],Tasks[UID],0),-1))</f>
        <v>0</v>
      </c>
      <c r="CC61" s="42" t="n">
        <f aca="false">IF(N(Tasks[[#This Row],[_Pred2UID]])=0,0,IFERROR(MATCH(Tasks[[#This Row],[_Pred2UID]],Tasks[UID],0),-1))</f>
        <v>0</v>
      </c>
      <c r="CD61" s="42" t="n">
        <f aca="false">IF(N(Tasks[[#This Row],[_Pred3UID]])=0,0,IFERROR(MATCH(Tasks[[#This Row],[_Pred3UID]],Tasks[UID],0),-1))</f>
        <v>0</v>
      </c>
      <c r="CE61" s="42" t="n">
        <f aca="false">IF(N(Tasks[[#This Row],[_Pred4UID]])=0,0,IFERROR(MATCH(Tasks[[#This Row],[_Pred4UID]],Tasks[UID],0),-1))</f>
        <v>0</v>
      </c>
      <c r="CF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1" s="89" t="n">
        <f aca="false">IF(OR(Tasks[[#This Row],[_ConstraintCode]]=2,Tasks[[#This Row],[_ConstraintCode]]=3,Tasks[[#This Row],[_ConstraintCode]]=4,Tasks[[#This Row],[_ConstraintCode]]=6),Tasks[[#This Row],[_ConstraintStart]],0)</f>
        <v>0</v>
      </c>
      <c r="CI61" s="89" t="n">
        <f aca="false">IF(OR(Tasks[[#This Row],[_ConstraintCode]]=2,Tasks[[#This Row],[_ConstraintCode]]=3,Tasks[[#This Row],[_ConstraintCode]]=5,Tasks[[#This Row],[_ConstraintCode]]=7),Tasks[[#This Row],[_ConstraintStart]],2958465)</f>
        <v>2958465</v>
      </c>
      <c r="CJ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1" s="89" t="str">
        <f aca="false">IF(NOT(Tasks[[#This Row],[_IsLeaf]]=1),"",IF(N(Tasks[[#This Row],[_Days]])&lt;=0,Tasks[[#This Row],[_LeafCalcStart]],WORKDAY.INTL(Tasks[[#This Row],[_LeafCalcStart]],Tasks[[#This Row],[_Days]]-1,WorkWeek,Holidays)))</f>
        <v/>
      </c>
      <c r="CL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1" s="42" t="str">
        <f aca="false">IF(Tasks[[#This Row],[_Predecessors]]="","",TRIM(MID(SUBSTITUTE(SUBSTITUTE(SUBSTITUTE(UPPER(Tasks[[#This Row],[_Predecessors]]),";",",")," ",""),",",REPT(" ",99)),1,99)))</f>
        <v/>
      </c>
      <c r="CO61" s="42" t="str">
        <f aca="false">IF(Tasks[[#This Row],[_Pred1Text]]="","",IFERROR(VALUE(LEFT(Tasks[[#This Row],[_Pred1Text]],MIN(FIND("F",Tasks[[#This Row],[_Pred1Text]]&amp;"F"),FIND("S",Tasks[[#This Row],[_Pred1Text]]&amp;"S"),FIND("+",Tasks[[#This Row],[_Pred1Text]]&amp;"+"),FIND("-",Tasks[[#This Row],[_Pred1Text]]&amp;"-"))-1)),""))</f>
        <v/>
      </c>
      <c r="CP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1" s="42" t="str">
        <f aca="false">IF(Tasks[[#This Row],[_Pred1Text]]="","",TRIM(MID(SUBSTITUTE(SUBSTITUTE(SUBSTITUTE(UPPER(Tasks[[#This Row],[_Predecessors]]),";",",")," ",""),",",REPT(" ",99)),100,99)))</f>
        <v/>
      </c>
      <c r="CS61" s="42" t="str">
        <f aca="false">IF(Tasks[[#This Row],[_Pred2Text]]="","",IFERROR(VALUE(LEFT(Tasks[[#This Row],[_Pred2Text]],MIN(FIND("F",Tasks[[#This Row],[_Pred2Text]]&amp;"F"),FIND("S",Tasks[[#This Row],[_Pred2Text]]&amp;"S"),FIND("+",Tasks[[#This Row],[_Pred2Text]]&amp;"+"),FIND("-",Tasks[[#This Row],[_Pred2Text]]&amp;"-"))-1)),""))</f>
        <v/>
      </c>
      <c r="CT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1" s="42" t="str">
        <f aca="false">IF(Tasks[[#This Row],[_Pred2Text]]="","",TRIM(MID(SUBSTITUTE(SUBSTITUTE(SUBSTITUTE(UPPER(Tasks[[#This Row],[_Predecessors]]),";",",")," ",""),",",REPT(" ",99)),199,99)))</f>
        <v/>
      </c>
      <c r="CW61" s="42" t="str">
        <f aca="false">IF(Tasks[[#This Row],[_Pred3Text]]="","",IFERROR(VALUE(LEFT(Tasks[[#This Row],[_Pred3Text]],MIN(FIND("F",Tasks[[#This Row],[_Pred3Text]]&amp;"F"),FIND("S",Tasks[[#This Row],[_Pred3Text]]&amp;"S"),FIND("+",Tasks[[#This Row],[_Pred3Text]]&amp;"+"),FIND("-",Tasks[[#This Row],[_Pred3Text]]&amp;"-"))-1)),""))</f>
        <v/>
      </c>
      <c r="CX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1" s="42" t="str">
        <f aca="false">IF(Tasks[[#This Row],[_Pred3Text]]="","",TRIM(MID(SUBSTITUTE(SUBSTITUTE(SUBSTITUTE(UPPER(Tasks[[#This Row],[_Predecessors]]),";",",")," ",""),",",REPT(" ",99)),298,99)))</f>
        <v/>
      </c>
      <c r="DA61" s="42" t="str">
        <f aca="false">IF(Tasks[[#This Row],[_Pred4Text]]="","",IFERROR(VALUE(LEFT(Tasks[[#This Row],[_Pred4Text]],MIN(FIND("F",Tasks[[#This Row],[_Pred4Text]]&amp;"F"),FIND("S",Tasks[[#This Row],[_Pred4Text]]&amp;"S"),FIND("+",Tasks[[#This Row],[_Pred4Text]]&amp;"+"),FIND("-",Tasks[[#This Row],[_Pred4Text]]&amp;"-"))-1)),""))</f>
        <v/>
      </c>
      <c r="DB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1" s="42" t="str">
        <f aca="false">IF(OR(Tasks[[#This Row],[Task Name]]="",Tasks[[#This Row],[_Resources]]=""),"",TRIM(MID(SUBSTITUTE(Tasks[[#This Row],[_Resources]],",",REPT(" ",99)),1,99)))</f>
        <v/>
      </c>
      <c r="DE61" s="42" t="str">
        <f aca="false">IF(Tasks[[#This Row],[_Res1Text]]="","",TRIM(MID(SUBSTITUTE(Tasks[[#This Row],[_Resources]],",",REPT(" ",99)),100,99)))</f>
        <v/>
      </c>
      <c r="DF61" s="42" t="str">
        <f aca="false">IF(Tasks[[#This Row],[_Res2Text]]="","",TRIM(MID(SUBSTITUTE(Tasks[[#This Row],[_Resources]],",",REPT(" ",99)),199,99)))</f>
        <v/>
      </c>
      <c r="DG61" s="42" t="str">
        <f aca="false">IF(Tasks[[#This Row],[_Res3Text]]="","",TRIM(MID(SUBSTITUTE(Tasks[[#This Row],[_Resources]],",",REPT(" ",99)),298,99)))</f>
        <v/>
      </c>
      <c r="DH61" s="42" t="n">
        <f aca="false">IF(Tasks[[#This Row],[_Res1Text]]="",0,IFERROR(MATCH(TRIM(LEFT(Tasks[[#This Row],[_Res1Text]],FIND("[",Tasks[[#This Row],[_Res1Text]]&amp;"[")-1)),res_Name,0),IFERROR(MATCH(TRIM(LEFT(Tasks[[#This Row],[_Res1Text]],FIND("[",Tasks[[#This Row],[_Res1Text]]&amp;"[")-1)),res_Initials,0),0)))</f>
        <v>0</v>
      </c>
      <c r="DI61" s="42" t="n">
        <f aca="false">IF(Tasks[[#This Row],[_Res2Text]]="",0,IFERROR(MATCH(TRIM(LEFT(Tasks[[#This Row],[_Res2Text]],FIND("[",Tasks[[#This Row],[_Res2Text]]&amp;"[")-1)),res_Name,0),IFERROR(MATCH(TRIM(LEFT(Tasks[[#This Row],[_Res2Text]],FIND("[",Tasks[[#This Row],[_Res2Text]]&amp;"[")-1)),res_Initials,0),0)))</f>
        <v>0</v>
      </c>
      <c r="DJ61" s="42" t="n">
        <f aca="false">IF(Tasks[[#This Row],[_Res3Text]]="",0,IFERROR(MATCH(TRIM(LEFT(Tasks[[#This Row],[_Res3Text]],FIND("[",Tasks[[#This Row],[_Res3Text]]&amp;"[")-1)),res_Name,0),IFERROR(MATCH(TRIM(LEFT(Tasks[[#This Row],[_Res3Text]],FIND("[",Tasks[[#This Row],[_Res3Text]]&amp;"[")-1)),res_Initials,0),0)))</f>
        <v>0</v>
      </c>
      <c r="DK61" s="42" t="n">
        <f aca="false">IF(Tasks[[#This Row],[_Res4Text]]="",0,IFERROR(MATCH(TRIM(LEFT(Tasks[[#This Row],[_Res4Text]],FIND("[",Tasks[[#This Row],[_Res4Text]]&amp;"[")-1)),res_Name,0),IFERROR(MATCH(TRIM(LEFT(Tasks[[#This Row],[_Res4Text]],FIND("[",Tasks[[#This Row],[_Res4Text]]&amp;"[")-1)),res_Initials,0),0)))</f>
        <v>0</v>
      </c>
      <c r="DL61" s="42" t="str">
        <f aca="false">IF(Tasks[[#This Row],[_Res1Text]]="","",IF(Tasks[[#This Row],[_Res1Row]]&gt;0,INDEX(res_Name,Tasks[[#This Row],[_Res1Row]]),TRIM(LEFT(Tasks[[#This Row],[_Res1Text]],FIND("[",Tasks[[#This Row],[_Res1Text]]&amp;"[")-1))))</f>
        <v/>
      </c>
      <c r="DM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1" s="42" t="n">
        <f aca="false">IF(NOT(Tasks[[#This Row],[_IsLeaf]]=1),0,(Tasks[[#This Row],[_Resource1]]&lt;&gt;"")+(Tasks[[#This Row],[_Res2]]&lt;&gt;"")+(Tasks[[#This Row],[_Res3]]&lt;&gt;"")+(Tasks[[#This Row],[_Res4]]&lt;&gt;""))</f>
        <v>0</v>
      </c>
      <c r="DO61" s="42" t="str">
        <f aca="false">IF(Tasks[[#This Row],[_Res2Text]]="","",IF(Tasks[[#This Row],[_Res2Row]]&gt;0,INDEX(res_Name,Tasks[[#This Row],[_Res2Row]]),TRIM(LEFT(Tasks[[#This Row],[_Res2Text]],FIND("[",Tasks[[#This Row],[_Res2Text]]&amp;"[")-1))))</f>
        <v/>
      </c>
      <c r="DP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1" s="42" t="n">
        <f aca="false">IF(OR(NOT(Tasks[[#This Row],[_IsLeaf]]=1),Tasks[[#This Row],[_Res2Row]]=0),0,N(Tasks[[#This Row],[_Days]])*HoursPerDay*IF(Tasks[[#This Row],[_Res2Units]]="",DefaultUnits,Tasks[[#This Row],[_Res2Units]]))</f>
        <v>0</v>
      </c>
      <c r="DR61" s="42" t="n">
        <f aca="false">IF(AND(AND(Tasks[[#This Row],[_IsLeaf]]=1,Tasks[[#This Row],[_LeafTotalWork]]&gt;0),Tasks[[#This Row],[_Res2Work]]&gt;0),Tasks[[#This Row],[_Res2Work]]/(Tasks[[#This Row],[_FinishWorkday]]-Tasks[[#This Row],[_StartWorkday]]+1),0)</f>
        <v>0</v>
      </c>
      <c r="DS61" s="42" t="n">
        <f aca="false">Tasks[[#This Row],[_Res2WorkPerWD]]*MAX(0,Tasks[[#This Row],[_StartWorkday]]-1)</f>
        <v>0</v>
      </c>
      <c r="DT61" s="42" t="n">
        <f aca="false">Tasks[[#This Row],[_Res2Work]]*Tasks[[#This Row],[_LeafProgress]]</f>
        <v>0</v>
      </c>
      <c r="DU61" s="42" t="str">
        <f aca="false">IF(Tasks[[#This Row],[_Res3Text]]="","",IF(Tasks[[#This Row],[_Res3Row]]&gt;0,INDEX(res_Name,Tasks[[#This Row],[_Res3Row]]),TRIM(LEFT(Tasks[[#This Row],[_Res3Text]],FIND("[",Tasks[[#This Row],[_Res3Text]]&amp;"[")-1))))</f>
        <v/>
      </c>
      <c r="DV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1" s="42" t="n">
        <f aca="false">IF(OR(NOT(Tasks[[#This Row],[_IsLeaf]]=1),Tasks[[#This Row],[_Res3Row]]=0),0,N(Tasks[[#This Row],[_Days]])*HoursPerDay*IF(Tasks[[#This Row],[_Res3Units]]="",DefaultUnits,Tasks[[#This Row],[_Res3Units]]))</f>
        <v>0</v>
      </c>
      <c r="DX61" s="42" t="n">
        <f aca="false">IF(AND(AND(Tasks[[#This Row],[_IsLeaf]]=1,Tasks[[#This Row],[_LeafTotalWork]]&gt;0),Tasks[[#This Row],[_Res3Work]]&gt;0),Tasks[[#This Row],[_Res3Work]]/(Tasks[[#This Row],[_FinishWorkday]]-Tasks[[#This Row],[_StartWorkday]]+1),0)</f>
        <v>0</v>
      </c>
      <c r="DY61" s="42" t="n">
        <f aca="false">Tasks[[#This Row],[_Res3WorkPerWD]]*MAX(0,Tasks[[#This Row],[_StartWorkday]]-1)</f>
        <v>0</v>
      </c>
      <c r="DZ61" s="42" t="n">
        <f aca="false">Tasks[[#This Row],[_Res3Work]]*Tasks[[#This Row],[_LeafProgress]]</f>
        <v>0</v>
      </c>
      <c r="EA61" s="42" t="str">
        <f aca="false">IF(Tasks[[#This Row],[_Res4Text]]="","",IF(Tasks[[#This Row],[_Res4Row]]&gt;0,INDEX(res_Name,Tasks[[#This Row],[_Res4Row]]),TRIM(LEFT(Tasks[[#This Row],[_Res4Text]],FIND("[",Tasks[[#This Row],[_Res4Text]]&amp;"[")-1))))</f>
        <v/>
      </c>
      <c r="EB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1" s="42" t="n">
        <f aca="false">IF(OR(NOT(Tasks[[#This Row],[_IsLeaf]]=1),Tasks[[#This Row],[_Res4Row]]=0),0,N(Tasks[[#This Row],[_Days]])*HoursPerDay*IF(Tasks[[#This Row],[_Res4Units]]="",DefaultUnits,Tasks[[#This Row],[_Res4Units]]))</f>
        <v>0</v>
      </c>
      <c r="ED61" s="42" t="n">
        <f aca="false">IF(AND(AND(Tasks[[#This Row],[_IsLeaf]]=1,Tasks[[#This Row],[_LeafTotalWork]]&gt;0),Tasks[[#This Row],[_Res4Work]]&gt;0),Tasks[[#This Row],[_Res4Work]]/(Tasks[[#This Row],[_FinishWorkday]]-Tasks[[#This Row],[_StartWorkday]]+1),0)</f>
        <v>0</v>
      </c>
      <c r="EE61" s="42" t="n">
        <f aca="false">Tasks[[#This Row],[_Res4WorkPerWD]]*MAX(0,Tasks[[#This Row],[_StartWorkday]]-1)</f>
        <v>0</v>
      </c>
      <c r="EF61" s="42" t="n">
        <f aca="false">Tasks[[#This Row],[_Res4Work]]*Tasks[[#This Row],[_LeafProgress]]</f>
        <v>0</v>
      </c>
      <c r="EG61" s="42" t="n">
        <f aca="false">IF(ISNUMBER(Tasks[[#This Row],[% Complete]]),Tasks[[#This Row],[% Complete]],IF(Tasks[[#This Row],[Stage]]="",0,IFERROR(INDEX(stg_Pct,MATCH(Tasks[[#This Row],[Stage]],stg_Name,0)),0)))</f>
        <v>0</v>
      </c>
      <c r="EH61" s="42" t="n">
        <f aca="false">IF(NOT(Tasks[[#This Row],[_IsLeaf]]=1),0,IF(N(Tasks[[#This Row],[Actual Finish]])&gt;0,1,MIN(1,Tasks[[#This Row],[_Pct]])))</f>
        <v>0</v>
      </c>
      <c r="EI61" s="42" t="n">
        <f aca="false">IF(OR(NOT(Tasks[[#This Row],[_IsLeaf]]=1),Tasks[[#This Row],[_Res1Row]]=0),0,N(Tasks[[#This Row],[_Days]])*HoursPerDay*IF(Tasks[[#This Row],[_Units1]]="",DefaultUnits,Tasks[[#This Row],[_Units1]]))</f>
        <v>0</v>
      </c>
      <c r="EJ61" s="42" t="n">
        <f aca="false">Tasks[[#This Row],[_LeafWork]]+Tasks[[#This Row],[_Res2Work]]+Tasks[[#This Row],[_Res3Work]]+Tasks[[#This Row],[_Res4Work]]</f>
        <v>0</v>
      </c>
      <c r="EK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1" s="42" t="n">
        <f aca="false">IF(NOT(Tasks[[#This Row],[_IsLeaf]]=1),0,MAX(_xlfn.MAXIFS(Tasks[_Row],Tasks[_Pred1UID],Tasks[[#This Row],[UID]]),_xlfn.MAXIFS(Tasks[_Row],Tasks[_Pred2UID],Tasks[[#This Row],[UID]]),_xlfn.MAXIFS(Tasks[_Row],Tasks[_Pred3UID],Tasks[[#This Row],[UID]]),_xlfn.MAXIFS(Tasks[_Row],Tasks[_Pred4UID],Tasks[[#This Row],[UID]])))</f>
        <v>0</v>
      </c>
      <c r="ET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1" s="89" t="str">
        <f aca="false">IF(NOT(Tasks[[#This Row],[_IsLeaf]]=1),"",IF(N(Tasks[[#This Row],[_Days]])&lt;=0,Tasks[[#This Row],[_LeafLateFinish]],WORKDAY.INTL(Tasks[[#This Row],[_LeafLateFinish]],-(Tasks[[#This Row],[_Days]]-1),WorkWeek,Holidays)))</f>
        <v/>
      </c>
      <c r="EW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1" s="88" t="b">
        <f aca="false">AND(Tasks[[#This Row],[_IsLeaf]]=1,Tasks[[#This Row],[_LeafProgress]]&lt;1,N(Tasks[[#This Row],[_LeafTotalSlack]])&lt;=CriticalSlackDays)</f>
        <v>0</v>
      </c>
      <c r="EY61" s="42" t="n">
        <f aca="false">IF(AND(Tasks[[#This Row],[_IsLeaf]]=1,Tasks[[#This Row],[_ConstraintCode]]=1,Tasks[[#This Row],[Mode]]&lt;&gt;"Manual",N(Tasks[[#This Row],[Actual Start]])=0),MAX(0,N(Tasks[[#This Row],[Free Slack]])),0)</f>
        <v>0</v>
      </c>
      <c r="EZ61" s="89" t="str">
        <f aca="false">IF(NOT(Tasks[[#This Row],[_IsLeaf]]=1),"",IF(Tasks[[#This Row],[_AlapShift]]=0,Tasks[[#This Row],[_LeafCalcStart]],WORKDAY.INTL(Tasks[[#This Row],[_LeafCalcStart]],Tasks[[#This Row],[_AlapShift]],WorkWeek,Holidays)))</f>
        <v/>
      </c>
      <c r="FA61" s="89" t="str">
        <f aca="false">IF(NOT(Tasks[[#This Row],[_IsLeaf]]=1),"",IF(Tasks[[#This Row],[_AlapShift]]=0,Tasks[[#This Row],[_LeafCalcFinish]],WORKDAY.INTL(Tasks[[#This Row],[_LeafCalcFinish]],Tasks[[#This Row],[_AlapShift]],WorkWeek,Holidays)))</f>
        <v/>
      </c>
      <c r="FB61" s="89" t="str">
        <f aca="false">IF(NOT(Tasks[[#This Row],[_IsLeaf]]=1),"",IF(Tasks[[#This Row],[_AlapShift]]=0,Tasks[[#This Row],[_LeafFcstStart]],WORKDAY.INTL(Tasks[[#This Row],[_LeafFcstStart]],Tasks[[#This Row],[_AlapShift]],WorkWeek,Holidays)))</f>
        <v/>
      </c>
      <c r="FC61" s="89" t="str">
        <f aca="false">IF(NOT(Tasks[[#This Row],[_IsLeaf]]=1),"",IF(Tasks[[#This Row],[_AlapShift]]=0,Tasks[[#This Row],[_LeafFcstFinish]],WORKDAY.INTL(Tasks[[#This Row],[_LeafFcstFinish]],Tasks[[#This Row],[_AlapShift]],WorkWeek,Holidays)))</f>
        <v/>
      </c>
      <c r="FD61" s="89" t="str">
        <f aca="false">IF(Tasks[[#This Row],[Task Name]]="","",IF(Tasks[[#This Row],[_IsSummary]],MIN(INDEX(Tasks[_ShownCalcStart],Tasks[[#This Row],[_Row]]+1):INDEX(Tasks[_ShownCalcStart],Tasks[[#This Row],[_Row]]+Tasks[[#This Row],[_Descendants]])),Tasks[[#This Row],[_ShownCalcStart]]))</f>
        <v/>
      </c>
      <c r="FE61" s="89" t="str">
        <f aca="false">IF(Tasks[[#This Row],[Task Name]]="","",IF(Tasks[[#This Row],[_IsSummary]],MAX(INDEX(Tasks[_ShownCalcFinish],Tasks[[#This Row],[_Row]]+1):INDEX(Tasks[_ShownCalcFinish],Tasks[[#This Row],[_Row]]+Tasks[[#This Row],[_Descendants]])),Tasks[[#This Row],[_ShownCalcFinish]]))</f>
        <v/>
      </c>
      <c r="FF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1" s="42" t="n">
        <f aca="false">IF(AND(Tasks[[#This Row],[_IsLeaf]]=1,Tasks[[#This Row],[_LeafTotalWork]]&gt;0),NETWORKDAYS.INTL(ProjectStart,Tasks[[#This Row],[_ShownFcstStart]],WorkWeek,Holidays),0)</f>
        <v>0</v>
      </c>
      <c r="FS61" s="42" t="n">
        <f aca="false">IF(AND(Tasks[[#This Row],[_IsLeaf]]=1,Tasks[[#This Row],[_LeafTotalWork]]&gt;0),MAX(Tasks[[#This Row],[_StartWorkday]],NETWORKDAYS.INTL(ProjectStart,Tasks[[#This Row],[_ShownFcstFinish]],WorkWeek,Holidays)),0)</f>
        <v>0</v>
      </c>
      <c r="FT61" s="42" t="n">
        <f aca="false">IF(AND(Tasks[[#This Row],[_IsLeaf]]=1,Tasks[[#This Row],[_LeafTotalWork]]&gt;0),Tasks[[#This Row],[_LeafWork]]/(Tasks[[#This Row],[_FinishWorkday]]-Tasks[[#This Row],[_StartWorkday]]+1),0)</f>
        <v>0</v>
      </c>
      <c r="FU61" s="42" t="n">
        <f aca="false">Tasks[[#This Row],[_WorkPerWorkday]]*(Tasks[[#This Row],[_StartWorkday]]-1)</f>
        <v>-0</v>
      </c>
      <c r="FV61" s="42" t="n">
        <f aca="false">IF(Tasks[[#This Row],[_IsLeaf]]=1,MAX(N(Tasks[[#This Row],[_Days]]),0.1),0)</f>
        <v>0</v>
      </c>
      <c r="FW61" s="42" t="n">
        <f aca="false">Tasks[[#This Row],[_WeightDur]]*Tasks[[#This Row],[_LeafProgress]]</f>
        <v>0</v>
      </c>
      <c r="FX61" s="42" t="n">
        <f aca="false">Tasks[[#This Row],[_WeightDur]]*Tasks[[#This Row],[_PlannedPct]]</f>
        <v>0</v>
      </c>
      <c r="FY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1" s="42" t="str">
        <f aca="false">IF(AND(Tasks[[#This Row],[_IsLeaf]]=1,N(Tasks[[#This Row],[_Days]])=0,Tasks[[#This Row],[_LeafProgress]]&lt;1),Tasks[[#This Row],[_ShownFcstFinish]]+Tasks[[#This Row],[_Row]]/100000,"")</f>
        <v/>
      </c>
      <c r="GA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1" s="42" t="str">
        <f aca="false">IF(Tasks[[#This Row],[Task Name]]="","",LEFT(Tasks[[#This Row],[WBS]],FIND(".",Tasks[[#This Row],[WBS]]&amp;".")-1))</f>
        <v/>
      </c>
      <c r="GC61" s="42" t="str">
        <f aca="false">IF(AND(Tasks[[#This Row],[Task Name]]&lt;&gt;"",Tasks[[#This Row],[_Level]]=1),Tasks[[#This Row],[_Row]],"")</f>
        <v/>
      </c>
      <c r="GD61" s="42" t="str">
        <f aca="false">IF(AND(Tasks[[#This Row],[_IsLeaf]]=1,N(Tasks[[#This Row],[_Days]])=0),Tasks[[#This Row],[Planned Finish]]+Tasks[[#This Row],[_Row]]/100000,"")</f>
        <v/>
      </c>
      <c r="GE61" s="42" t="str">
        <f aca="false">IF(AND(Tasks[[#This Row],[_IsLeaf]]=1,Tasks[[#This Row],[_LeafProgress]]&lt;1,OR(N(Tasks[[#This Row],[Finish Var]])&gt;0,Tasks[[#This Row],[Status]]="Late Start")),MAX(0,Tasks[[#This Row],[Finish Var]])+1-Tasks[[#This Row],[_Row]]/1000000,"")</f>
        <v/>
      </c>
      <c r="GF61" s="42" t="str">
        <f aca="false">IF(AND(Tasks[[#This Row],[_IsLeaf]]=1,N(Tasks[[#This Row],[Actual Start]])=0,Tasks[[#This Row],[_ShownFcstStart]]&gt;=StatusDate,Tasks[[#This Row],[_ShownFcstStart]]&lt;=LookaheadEnd),Tasks[[#This Row],[_ShownFcstStart]]+Tasks[[#This Row],[_Row]]/100000,"")</f>
        <v/>
      </c>
      <c r="GG61" s="42" t="str">
        <f aca="false">IF(AND(Tasks[[#This Row],[_IsLeaf]]=1,Tasks[[#This Row],[_LeafProgress]]&lt;1,Tasks[[#This Row],[_ShownFcstFinish]]&gt;=StatusDate,Tasks[[#This Row],[_ShownFcstFinish]]&lt;=LookaheadEnd),Tasks[[#This Row],[_ShownFcstFinish]]+Tasks[[#This Row],[_Row]]/100000,"")</f>
        <v/>
      </c>
      <c r="GH61" s="42" t="str">
        <f aca="false">IF(Tasks[[#This Row],[_LeafCritical]],Tasks[[#This Row],[_ShownFcstStart]]+Tasks[[#This Row],[_Row]]/100000,"")</f>
        <v/>
      </c>
      <c r="GI61" s="42" t="n">
        <f aca="false">Tasks[[#This Row],[_LeafWork]]*Tasks[[#This Row],[_LeafProgress]]</f>
        <v>0</v>
      </c>
      <c r="GJ61" s="89" t="str">
        <f aca="false">IF(AND(Tasks[[#This Row],[_IsLeaf]]=1,Tasks[[#This Row],[_LeafProgress]]&gt;=1),IF(N(Tasks[[#This Row],[Actual Finish]])&gt;0,Tasks[[#This Row],[Actual Finish]],Tasks[[#This Row],[_ShownFcstFinish]]),"")</f>
        <v/>
      </c>
      <c r="GK61" s="42" t="n">
        <f aca="false">IF(Tasks[[#This Row],[_IsLeaf]]=1,N(Tasks[[#This Row],[Story Points]]),0)</f>
        <v>0</v>
      </c>
      <c r="GL61" s="42" t="str">
        <f aca="false">""</f>
        <v/>
      </c>
      <c r="GM61" s="88" t="b">
        <f aca="false">IF(Tasks[[#This Row],[Task Name]]="",FALSE(),AND(Tasks[[#This Row],[_IsLeaf]]=1,N(Tasks[[#This Row],[_Days]])=0))</f>
        <v>0</v>
      </c>
      <c r="GN61" s="89" t="n">
        <f aca="false">IF(Tasks[[#This Row],[Task Name]]="",0,IF(AND(Tasks[[#This Row],[_IsLeaf]]=1,NOT(Tasks[[#This Row],[_IsMilestone]]),N(Tasks[[#This Row],[Progress]])&gt;0),Tasks[[#This Row],[Start]],0))</f>
        <v>0</v>
      </c>
      <c r="GO61" s="89" t="n">
        <f aca="false">IF(Tasks[[#This Row],[_DoneFrom]]=0,0,IF(Tasks[[#This Row],[Progress]]&gt;=1,Tasks[[#This Row],[Finish]],MAX(Tasks[[#This Row],[_DoneFrom]],Tasks[[#This Row],[Start]]+ROUND((Tasks[[#This Row],[Finish]]-Tasks[[#This Row],[Start]]+1)*Tasks[[#This Row],[Progress]],0)-1)))</f>
        <v>0</v>
      </c>
      <c r="GP61" s="89" t="n">
        <f aca="false">IF(Tasks[[#This Row],[Task Name]]="",0,IF(OR(NOT(Tasks[[#This Row],[_IsLeaf]]=1),Tasks[[#This Row],[_IsMilestone]],N(Tasks[[#This Row],[Progress]])&gt;=1),0,IF(Tasks[[#This Row],[_DoneTo]]&gt;0,Tasks[[#This Row],[_DoneTo]]+1,Tasks[[#This Row],[Start]])))</f>
        <v>0</v>
      </c>
      <c r="GQ61" s="89" t="n">
        <f aca="false">IF(Tasks[[#This Row],[_RemFrom]]=0,0,Tasks[[#This Row],[Finish]])</f>
        <v>0</v>
      </c>
      <c r="GR61" s="88" t="b">
        <f aca="false">IF(Tasks[[#This Row],[Task Name]]="",FALSE(),OR(NOT(BaselineSet),N(Tasks[[#This Row],[Baseline Start]])&gt;0))</f>
        <v>0</v>
      </c>
      <c r="GS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1" s="90" t="str">
        <f aca="false">IF(Tasks[[#This Row],[_IsLeaf]]=1,Tasks[[#This Row],[_Row]],"")</f>
        <v/>
      </c>
      <c r="GW61" s="90" t="str">
        <f aca="false">IFERROR(INDEX(Tasks[UID],SMALL(Tasks[_PickKey],Tasks[[#This Row],[_Row]]))&amp;" "&amp;INDEX(Tasks[Task Name],SMALL(Tasks[_PickKey],Tasks[[#This Row],[_Row]])),"")</f>
        <v/>
      </c>
      <c r="GX61" s="42" t="str">
        <f aca="false">IF(Tasks[[#This Row],[Task Name]]="","",IF(Tasks[[#This Row],[_IsSummary]],NETWORKDAYS.INTL(Tasks[[#This Row],[Start]],Tasks[[#This Row],[Finish]],WorkWeek,Holidays),N(Tasks[[#This Row],[_Days]])))</f>
        <v/>
      </c>
    </row>
    <row r="62" customFormat="false" ht="15" hidden="false" customHeight="false" outlineLevel="0" collapsed="false">
      <c r="A62" s="21" t="str">
        <f aca="false">IF(Tasks[[#This Row],[Task Name]]="","",COUNTA(Tasks[[#Headers],[Task Name]]:Tasks[[#This Row],[Task Name]])-1)</f>
        <v/>
      </c>
      <c r="B62" s="22" t="n">
        <v>70</v>
      </c>
      <c r="C62" s="22"/>
      <c r="D62" s="23"/>
      <c r="E62" s="22"/>
      <c r="F62" s="23"/>
      <c r="G62" s="22"/>
      <c r="H62" s="22"/>
      <c r="I62" s="23"/>
      <c r="J62" s="22"/>
      <c r="K62" s="22"/>
      <c r="L62" s="23"/>
      <c r="M62" s="22"/>
      <c r="N62" s="22"/>
      <c r="O62" s="23"/>
      <c r="P62" s="22"/>
      <c r="Q62" s="22"/>
      <c r="R62" s="23"/>
      <c r="S62" s="23"/>
      <c r="T62" s="83"/>
      <c r="U62" s="23"/>
      <c r="V62" s="83"/>
      <c r="W62" s="23"/>
      <c r="X62" s="83"/>
      <c r="Y62" s="23"/>
      <c r="Z62" s="83"/>
      <c r="AA62" s="23"/>
      <c r="AB62" s="23"/>
      <c r="AC62" s="7"/>
      <c r="AD62" s="7"/>
      <c r="AE62" s="62" t="str">
        <f aca="false">IF(Tasks[[#This Row],[Task Name]]="","",IF(Tasks[[#This Row],[_IsSummary]],MIN(INDEX(Tasks[_ShownFcstStart],Tasks[[#This Row],[_Row]]+1):INDEX(Tasks[_ShownFcstStart],Tasks[[#This Row],[_Row]]+Tasks[[#This Row],[_Descendants]])),Tasks[[#This Row],[_ShownFcstStart]]))</f>
        <v/>
      </c>
      <c r="AF62" s="62" t="str">
        <f aca="false">IF(Tasks[[#This Row],[Task Name]]="","",IF(Tasks[[#This Row],[_IsSummary]],MAX(INDEX(Tasks[_ShownFcstFinish],Tasks[[#This Row],[_Row]]+1):INDEX(Tasks[_ShownFcstFinish],Tasks[[#This Row],[_Row]]+Tasks[[#This Row],[_Descendants]])),Tasks[[#This Row],[_ShownFcstFinish]]))</f>
        <v/>
      </c>
      <c r="AG62" s="21" t="str">
        <f aca="false">""</f>
        <v/>
      </c>
      <c r="AH62" s="23"/>
      <c r="AI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2" s="7"/>
      <c r="AK62" s="22"/>
      <c r="AL62" s="23"/>
      <c r="AM62" s="7"/>
      <c r="AN62" s="46" t="str">
        <f aca="false">IF(Tasks[[#This Row],[Task Name]]="","",IF(Tasks[[#This Row],[Finish]]&gt;=Tasks[[#This Row],[Planned Finish]],NETWORKDAYS.INTL(Tasks[[#This Row],[Planned Finish]],Tasks[[#This Row],[Finish]],WorkWeek,Holidays)-1,1-NETWORKDAYS.INTL(Tasks[[#This Row],[Finish]],Tasks[[#This Row],[Planned Finish]],WorkWeek,Holidays)))</f>
        <v/>
      </c>
      <c r="AO62" s="21" t="str">
        <f aca="false">IF(Tasks[[#This Row],[Task Name]]="","",IF(Tasks[[#This Row],[Progress]]&gt;=1,"Complete",IF(OR(N(Tasks[[#This Row],[Actual Start]])&gt;0,Tasks[[#This Row],[Progress]]&gt;0),IF(Tasks[[#This Row],[Finish Var]]&gt;0,"Behind","In Progress"),IF(Tasks[[#This Row],[Planned Start]]&lt;StatusDate,"Late Start","Not Started"))))</f>
        <v/>
      </c>
      <c r="AP62" s="21" t="str">
        <f aca="false">IF(Tasks[[#This Row],[Task Name]]="","",IF(IF(Tasks[[#This Row],[_IsSummary]],COUNTIF(INDEX(Tasks[_LeafCritical],Tasks[[#This Row],[_Row]]+1):INDEX(Tasks[_LeafCritical],Tasks[[#This Row],[_Row]]+Tasks[[#This Row],[_Descendants]]),TRUE())&gt;0,Tasks[[#This Row],[_LeafCritical]]),"Yes",""))</f>
        <v/>
      </c>
      <c r="AQ62" s="62" t="str">
        <f aca="false">IF(Tasks[[#This Row],[Task Name]]="","",IF(N(Tasks[[#This Row],[Baseline Start]])&gt;0,Tasks[[#This Row],[Baseline Start]],Tasks[[#This Row],[_CalcStart]]))</f>
        <v/>
      </c>
      <c r="AR62" s="62" t="str">
        <f aca="false">IF(Tasks[[#This Row],[Task Name]]="","",IF(N(Tasks[[#This Row],[Baseline Finish]])&gt;0,Tasks[[#This Row],[Baseline Finish]],Tasks[[#This Row],[_CalcFinish]]))</f>
        <v/>
      </c>
      <c r="AS62" s="46" t="str">
        <f aca="false">IF(Tasks[[#This Row],[Task Name]]="","",IF(Tasks[[#This Row],[Start]]&gt;=Tasks[[#This Row],[Planned Start]],NETWORKDAYS.INTL(Tasks[[#This Row],[Planned Start]],Tasks[[#This Row],[Start]],WorkWeek,Holidays)-1,1-NETWORKDAYS.INTL(Tasks[[#This Row],[Start]],Tasks[[#This Row],[Planned Start]],WorkWeek,Holidays)))</f>
        <v/>
      </c>
      <c r="AT62" s="62" t="str">
        <f aca="false">IF(Tasks[[#This Row],[Task Name]]="","",IF(Tasks[[#This Row],[_IsSummary]],MIN(INDEX(Tasks[_LeafLateStart],Tasks[[#This Row],[_Row]]+1):INDEX(Tasks[_LeafLateStart],Tasks[[#This Row],[_Row]]+Tasks[[#This Row],[_Descendants]])),Tasks[[#This Row],[_LeafLateStart]]))</f>
        <v/>
      </c>
      <c r="AU62" s="62" t="str">
        <f aca="false">IF(Tasks[[#This Row],[Task Name]]="","",IF(Tasks[[#This Row],[_IsSummary]],MAX(INDEX(Tasks[_LeafLateFinish],Tasks[[#This Row],[_Row]]+1):INDEX(Tasks[_LeafLateFinish],Tasks[[#This Row],[_Row]]+Tasks[[#This Row],[_Descendants]])),Tasks[[#This Row],[_LeafLateFinish]]))</f>
        <v/>
      </c>
      <c r="AV62" s="46" t="str">
        <f aca="false">IF(Tasks[[#This Row],[Task Name]]="","",IF(Tasks[[#This Row],[_IsSummary]],MIN(INDEX(Tasks[_LeafTotalSlack],Tasks[[#This Row],[_Row]]+1):INDEX(Tasks[_LeafTotalSlack],Tasks[[#This Row],[_Row]]+Tasks[[#This Row],[_Descendants]])),Tasks[[#This Row],[_LeafTotalSlack]]))</f>
        <v/>
      </c>
      <c r="AW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4"/>
      <c r="BA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t="str">
        <f aca="false">IF(Tasks[[#This Row],[Task Name]]="","",IF(Tasks[[#This Row],[_Level]]&lt;=OutlineShowLevel,"Yes","No"))</f>
        <v/>
      </c>
      <c r="BE62" s="85" t="str">
        <f aca="false">IF(Tasks[[#This Row],[Task Name]]="","",IF(Tasks[[#This Row],[_IsSummary]],SUM(INDEX(Tasks[_LeafTotalWork],Tasks[[#This Row],[_Row]]+1):INDEX(Tasks[_LeafTotalWork],Tasks[[#This Row],[_Row]]+Tasks[[#This Row],[_Descendants]])),Tasks[[#This Row],[_LeafTotalWork]]))</f>
        <v/>
      </c>
      <c r="BF62" s="23"/>
      <c r="BG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t="str">
        <f aca="false">""</f>
        <v/>
      </c>
      <c r="BI62" s="86"/>
      <c r="BJ62" s="22"/>
      <c r="BK62" s="46" t="str">
        <f aca="false">IF(OR(Tasks[[#This Row],[Task Name]]="",Tasks[[#This Row],[Baseline Duration]]=""),"",Tasks[[#This Row],[_SpanDays]]-N(Tasks[[#This Row],[Baseline Duration]]))</f>
        <v/>
      </c>
      <c r="BL62" s="85" t="str">
        <f aca="false">IF(OR(Tasks[[#This Row],[Task Name]]="",Tasks[[#This Row],[Baseline Work]]=""),"",Tasks[[#This Row],[Work]]-N(Tasks[[#This Row],[Baseline Work]]))</f>
        <v/>
      </c>
      <c r="BM62" s="62" t="str">
        <f aca="false">IF(Tasks[[#This Row],[Task Name]]="","",IF(OR(TakeBaseline="Yes",N(Tasks[[#This Row],[Baseline Start]])=0),Tasks[[#This Row],[Start]],Tasks[[#This Row],[Baseline Start]]))</f>
        <v/>
      </c>
      <c r="BN62" s="62" t="str">
        <f aca="false">IF(Tasks[[#This Row],[Task Name]]="","",IF(OR(TakeBaseline="Yes",N(Tasks[[#This Row],[Baseline Finish]])=0),Tasks[[#This Row],[Finish]],Tasks[[#This Row],[Baseline Finish]]))</f>
        <v/>
      </c>
      <c r="BO62" s="21" t="str">
        <f aca="false">IF(Tasks[[#This Row],[Task Name]]="","",IF(OR(TakeBaseline="Yes",N(Tasks[[#This Row],[Baseline Duration]])=0),Tasks[[#This Row],[_SpanDays]],Tasks[[#This Row],[Baseline Duration]]))</f>
        <v/>
      </c>
      <c r="BP62" s="85" t="str">
        <f aca="false">IF(Tasks[[#This Row],[Task Name]]="","",IF(OR(TakeBaseline="Yes",N(Tasks[[#This Row],[Baseline Work]])=0),Tasks[[#This Row],[Work]],Tasks[[#This Row],[Baseline Work]]))</f>
        <v/>
      </c>
      <c r="BQ62" s="7"/>
      <c r="BR62" s="7"/>
      <c r="BS62" s="22"/>
      <c r="BT62" s="87"/>
      <c r="BU62" s="42" t="str">
        <f aca="false">IF(Tasks[[#This Row],[Task Name]]="","",MAX(1,N(Tasks[[#This Row],[Level]])))</f>
        <v/>
      </c>
      <c r="BV62" s="42" t="n">
        <f aca="false">ROW()-ROW(Tasks[[#Headers],[ID]])</f>
        <v>57</v>
      </c>
      <c r="BW62" s="42" t="n">
        <f aca="false">IF(OR(Tasks[[#This Row],[Task Name]]="",Tasks[[#This Row],[_Level]]&lt;=1),0,IFERROR(LOOKUP(2,1/(Tasks[[#Headers],[_Level]]:Tasks[[#This Row],[_Level]]=Tasks[[#This Row],[_Level]]-1),ROW(Tasks[[#Headers],[_Level]]:Tasks[[#This Row],[_Level]])),0))</f>
        <v>0</v>
      </c>
      <c r="BX62" s="42" t="n">
        <f aca="false">IFERROR(N(INDEX(Tasks[_Level],Tasks[[#This Row],[_Row]]+1)),0)</f>
        <v>0</v>
      </c>
      <c r="BY62" s="88" t="b">
        <f aca="false">AND(Tasks[[#This Row],[Task Name]]&lt;&gt;"",Tasks[[#This Row],[_NextLevel]]&gt;Tasks[[#This Row],[_Level]])</f>
        <v>0</v>
      </c>
      <c r="BZ62" s="42" t="n">
        <f aca="false">IF(Tasks[[#This Row],[_IsSummary]],COUNTIF(Tasks[WBS],Tasks[[#This Row],[WBS]]&amp;".*"),0)</f>
        <v>0</v>
      </c>
      <c r="CA62" s="42" t="n">
        <f aca="false">IF(AND(Tasks[[#This Row],[Task Name]]&lt;&gt;"",NOT(Tasks[[#This Row],[_IsSummary]])),1,0)</f>
        <v>0</v>
      </c>
      <c r="CB62" s="42" t="n">
        <f aca="false">IF(N(Tasks[[#This Row],[_Pred1UID]])=0,0,IFERROR(MATCH(Tasks[[#This Row],[_Pred1UID]],Tasks[UID],0),-1))</f>
        <v>0</v>
      </c>
      <c r="CC62" s="42" t="n">
        <f aca="false">IF(N(Tasks[[#This Row],[_Pred2UID]])=0,0,IFERROR(MATCH(Tasks[[#This Row],[_Pred2UID]],Tasks[UID],0),-1))</f>
        <v>0</v>
      </c>
      <c r="CD62" s="42" t="n">
        <f aca="false">IF(N(Tasks[[#This Row],[_Pred3UID]])=0,0,IFERROR(MATCH(Tasks[[#This Row],[_Pred3UID]],Tasks[UID],0),-1))</f>
        <v>0</v>
      </c>
      <c r="CE62" s="42" t="n">
        <f aca="false">IF(N(Tasks[[#This Row],[_Pred4UID]])=0,0,IFERROR(MATCH(Tasks[[#This Row],[_Pred4UID]],Tasks[UID],0),-1))</f>
        <v>0</v>
      </c>
      <c r="CF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2" s="89" t="n">
        <f aca="false">IF(OR(Tasks[[#This Row],[_ConstraintCode]]=2,Tasks[[#This Row],[_ConstraintCode]]=3,Tasks[[#This Row],[_ConstraintCode]]=4,Tasks[[#This Row],[_ConstraintCode]]=6),Tasks[[#This Row],[_ConstraintStart]],0)</f>
        <v>0</v>
      </c>
      <c r="CI62" s="89" t="n">
        <f aca="false">IF(OR(Tasks[[#This Row],[_ConstraintCode]]=2,Tasks[[#This Row],[_ConstraintCode]]=3,Tasks[[#This Row],[_ConstraintCode]]=5,Tasks[[#This Row],[_ConstraintCode]]=7),Tasks[[#This Row],[_ConstraintStart]],2958465)</f>
        <v>2958465</v>
      </c>
      <c r="CJ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2" s="89" t="str">
        <f aca="false">IF(NOT(Tasks[[#This Row],[_IsLeaf]]=1),"",IF(N(Tasks[[#This Row],[_Days]])&lt;=0,Tasks[[#This Row],[_LeafCalcStart]],WORKDAY.INTL(Tasks[[#This Row],[_LeafCalcStart]],Tasks[[#This Row],[_Days]]-1,WorkWeek,Holidays)))</f>
        <v/>
      </c>
      <c r="CL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2" s="42" t="str">
        <f aca="false">IF(Tasks[[#This Row],[_Predecessors]]="","",TRIM(MID(SUBSTITUTE(SUBSTITUTE(SUBSTITUTE(UPPER(Tasks[[#This Row],[_Predecessors]]),";",",")," ",""),",",REPT(" ",99)),1,99)))</f>
        <v/>
      </c>
      <c r="CO62" s="42" t="str">
        <f aca="false">IF(Tasks[[#This Row],[_Pred1Text]]="","",IFERROR(VALUE(LEFT(Tasks[[#This Row],[_Pred1Text]],MIN(FIND("F",Tasks[[#This Row],[_Pred1Text]]&amp;"F"),FIND("S",Tasks[[#This Row],[_Pred1Text]]&amp;"S"),FIND("+",Tasks[[#This Row],[_Pred1Text]]&amp;"+"),FIND("-",Tasks[[#This Row],[_Pred1Text]]&amp;"-"))-1)),""))</f>
        <v/>
      </c>
      <c r="CP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2" s="42" t="str">
        <f aca="false">IF(Tasks[[#This Row],[_Pred1Text]]="","",TRIM(MID(SUBSTITUTE(SUBSTITUTE(SUBSTITUTE(UPPER(Tasks[[#This Row],[_Predecessors]]),";",",")," ",""),",",REPT(" ",99)),100,99)))</f>
        <v/>
      </c>
      <c r="CS62" s="42" t="str">
        <f aca="false">IF(Tasks[[#This Row],[_Pred2Text]]="","",IFERROR(VALUE(LEFT(Tasks[[#This Row],[_Pred2Text]],MIN(FIND("F",Tasks[[#This Row],[_Pred2Text]]&amp;"F"),FIND("S",Tasks[[#This Row],[_Pred2Text]]&amp;"S"),FIND("+",Tasks[[#This Row],[_Pred2Text]]&amp;"+"),FIND("-",Tasks[[#This Row],[_Pred2Text]]&amp;"-"))-1)),""))</f>
        <v/>
      </c>
      <c r="CT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2" s="42" t="str">
        <f aca="false">IF(Tasks[[#This Row],[_Pred2Text]]="","",TRIM(MID(SUBSTITUTE(SUBSTITUTE(SUBSTITUTE(UPPER(Tasks[[#This Row],[_Predecessors]]),";",",")," ",""),",",REPT(" ",99)),199,99)))</f>
        <v/>
      </c>
      <c r="CW62" s="42" t="str">
        <f aca="false">IF(Tasks[[#This Row],[_Pred3Text]]="","",IFERROR(VALUE(LEFT(Tasks[[#This Row],[_Pred3Text]],MIN(FIND("F",Tasks[[#This Row],[_Pred3Text]]&amp;"F"),FIND("S",Tasks[[#This Row],[_Pred3Text]]&amp;"S"),FIND("+",Tasks[[#This Row],[_Pred3Text]]&amp;"+"),FIND("-",Tasks[[#This Row],[_Pred3Text]]&amp;"-"))-1)),""))</f>
        <v/>
      </c>
      <c r="CX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2" s="42" t="str">
        <f aca="false">IF(Tasks[[#This Row],[_Pred3Text]]="","",TRIM(MID(SUBSTITUTE(SUBSTITUTE(SUBSTITUTE(UPPER(Tasks[[#This Row],[_Predecessors]]),";",",")," ",""),",",REPT(" ",99)),298,99)))</f>
        <v/>
      </c>
      <c r="DA62" s="42" t="str">
        <f aca="false">IF(Tasks[[#This Row],[_Pred4Text]]="","",IFERROR(VALUE(LEFT(Tasks[[#This Row],[_Pred4Text]],MIN(FIND("F",Tasks[[#This Row],[_Pred4Text]]&amp;"F"),FIND("S",Tasks[[#This Row],[_Pred4Text]]&amp;"S"),FIND("+",Tasks[[#This Row],[_Pred4Text]]&amp;"+"),FIND("-",Tasks[[#This Row],[_Pred4Text]]&amp;"-"))-1)),""))</f>
        <v/>
      </c>
      <c r="DB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2" s="42" t="str">
        <f aca="false">IF(OR(Tasks[[#This Row],[Task Name]]="",Tasks[[#This Row],[_Resources]]=""),"",TRIM(MID(SUBSTITUTE(Tasks[[#This Row],[_Resources]],",",REPT(" ",99)),1,99)))</f>
        <v/>
      </c>
      <c r="DE62" s="42" t="str">
        <f aca="false">IF(Tasks[[#This Row],[_Res1Text]]="","",TRIM(MID(SUBSTITUTE(Tasks[[#This Row],[_Resources]],",",REPT(" ",99)),100,99)))</f>
        <v/>
      </c>
      <c r="DF62" s="42" t="str">
        <f aca="false">IF(Tasks[[#This Row],[_Res2Text]]="","",TRIM(MID(SUBSTITUTE(Tasks[[#This Row],[_Resources]],",",REPT(" ",99)),199,99)))</f>
        <v/>
      </c>
      <c r="DG62" s="42" t="str">
        <f aca="false">IF(Tasks[[#This Row],[_Res3Text]]="","",TRIM(MID(SUBSTITUTE(Tasks[[#This Row],[_Resources]],",",REPT(" ",99)),298,99)))</f>
        <v/>
      </c>
      <c r="DH62" s="42" t="n">
        <f aca="false">IF(Tasks[[#This Row],[_Res1Text]]="",0,IFERROR(MATCH(TRIM(LEFT(Tasks[[#This Row],[_Res1Text]],FIND("[",Tasks[[#This Row],[_Res1Text]]&amp;"[")-1)),res_Name,0),IFERROR(MATCH(TRIM(LEFT(Tasks[[#This Row],[_Res1Text]],FIND("[",Tasks[[#This Row],[_Res1Text]]&amp;"[")-1)),res_Initials,0),0)))</f>
        <v>0</v>
      </c>
      <c r="DI62" s="42" t="n">
        <f aca="false">IF(Tasks[[#This Row],[_Res2Text]]="",0,IFERROR(MATCH(TRIM(LEFT(Tasks[[#This Row],[_Res2Text]],FIND("[",Tasks[[#This Row],[_Res2Text]]&amp;"[")-1)),res_Name,0),IFERROR(MATCH(TRIM(LEFT(Tasks[[#This Row],[_Res2Text]],FIND("[",Tasks[[#This Row],[_Res2Text]]&amp;"[")-1)),res_Initials,0),0)))</f>
        <v>0</v>
      </c>
      <c r="DJ62" s="42" t="n">
        <f aca="false">IF(Tasks[[#This Row],[_Res3Text]]="",0,IFERROR(MATCH(TRIM(LEFT(Tasks[[#This Row],[_Res3Text]],FIND("[",Tasks[[#This Row],[_Res3Text]]&amp;"[")-1)),res_Name,0),IFERROR(MATCH(TRIM(LEFT(Tasks[[#This Row],[_Res3Text]],FIND("[",Tasks[[#This Row],[_Res3Text]]&amp;"[")-1)),res_Initials,0),0)))</f>
        <v>0</v>
      </c>
      <c r="DK62" s="42" t="n">
        <f aca="false">IF(Tasks[[#This Row],[_Res4Text]]="",0,IFERROR(MATCH(TRIM(LEFT(Tasks[[#This Row],[_Res4Text]],FIND("[",Tasks[[#This Row],[_Res4Text]]&amp;"[")-1)),res_Name,0),IFERROR(MATCH(TRIM(LEFT(Tasks[[#This Row],[_Res4Text]],FIND("[",Tasks[[#This Row],[_Res4Text]]&amp;"[")-1)),res_Initials,0),0)))</f>
        <v>0</v>
      </c>
      <c r="DL62" s="42" t="str">
        <f aca="false">IF(Tasks[[#This Row],[_Res1Text]]="","",IF(Tasks[[#This Row],[_Res1Row]]&gt;0,INDEX(res_Name,Tasks[[#This Row],[_Res1Row]]),TRIM(LEFT(Tasks[[#This Row],[_Res1Text]],FIND("[",Tasks[[#This Row],[_Res1Text]]&amp;"[")-1))))</f>
        <v/>
      </c>
      <c r="DM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2" s="42" t="n">
        <f aca="false">IF(NOT(Tasks[[#This Row],[_IsLeaf]]=1),0,(Tasks[[#This Row],[_Resource1]]&lt;&gt;"")+(Tasks[[#This Row],[_Res2]]&lt;&gt;"")+(Tasks[[#This Row],[_Res3]]&lt;&gt;"")+(Tasks[[#This Row],[_Res4]]&lt;&gt;""))</f>
        <v>0</v>
      </c>
      <c r="DO62" s="42" t="str">
        <f aca="false">IF(Tasks[[#This Row],[_Res2Text]]="","",IF(Tasks[[#This Row],[_Res2Row]]&gt;0,INDEX(res_Name,Tasks[[#This Row],[_Res2Row]]),TRIM(LEFT(Tasks[[#This Row],[_Res2Text]],FIND("[",Tasks[[#This Row],[_Res2Text]]&amp;"[")-1))))</f>
        <v/>
      </c>
      <c r="DP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2" s="42" t="n">
        <f aca="false">IF(OR(NOT(Tasks[[#This Row],[_IsLeaf]]=1),Tasks[[#This Row],[_Res2Row]]=0),0,N(Tasks[[#This Row],[_Days]])*HoursPerDay*IF(Tasks[[#This Row],[_Res2Units]]="",DefaultUnits,Tasks[[#This Row],[_Res2Units]]))</f>
        <v>0</v>
      </c>
      <c r="DR62" s="42" t="n">
        <f aca="false">IF(AND(AND(Tasks[[#This Row],[_IsLeaf]]=1,Tasks[[#This Row],[_LeafTotalWork]]&gt;0),Tasks[[#This Row],[_Res2Work]]&gt;0),Tasks[[#This Row],[_Res2Work]]/(Tasks[[#This Row],[_FinishWorkday]]-Tasks[[#This Row],[_StartWorkday]]+1),0)</f>
        <v>0</v>
      </c>
      <c r="DS62" s="42" t="n">
        <f aca="false">Tasks[[#This Row],[_Res2WorkPerWD]]*MAX(0,Tasks[[#This Row],[_StartWorkday]]-1)</f>
        <v>0</v>
      </c>
      <c r="DT62" s="42" t="n">
        <f aca="false">Tasks[[#This Row],[_Res2Work]]*Tasks[[#This Row],[_LeafProgress]]</f>
        <v>0</v>
      </c>
      <c r="DU62" s="42" t="str">
        <f aca="false">IF(Tasks[[#This Row],[_Res3Text]]="","",IF(Tasks[[#This Row],[_Res3Row]]&gt;0,INDEX(res_Name,Tasks[[#This Row],[_Res3Row]]),TRIM(LEFT(Tasks[[#This Row],[_Res3Text]],FIND("[",Tasks[[#This Row],[_Res3Text]]&amp;"[")-1))))</f>
        <v/>
      </c>
      <c r="DV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2" s="42" t="n">
        <f aca="false">IF(OR(NOT(Tasks[[#This Row],[_IsLeaf]]=1),Tasks[[#This Row],[_Res3Row]]=0),0,N(Tasks[[#This Row],[_Days]])*HoursPerDay*IF(Tasks[[#This Row],[_Res3Units]]="",DefaultUnits,Tasks[[#This Row],[_Res3Units]]))</f>
        <v>0</v>
      </c>
      <c r="DX62" s="42" t="n">
        <f aca="false">IF(AND(AND(Tasks[[#This Row],[_IsLeaf]]=1,Tasks[[#This Row],[_LeafTotalWork]]&gt;0),Tasks[[#This Row],[_Res3Work]]&gt;0),Tasks[[#This Row],[_Res3Work]]/(Tasks[[#This Row],[_FinishWorkday]]-Tasks[[#This Row],[_StartWorkday]]+1),0)</f>
        <v>0</v>
      </c>
      <c r="DY62" s="42" t="n">
        <f aca="false">Tasks[[#This Row],[_Res3WorkPerWD]]*MAX(0,Tasks[[#This Row],[_StartWorkday]]-1)</f>
        <v>0</v>
      </c>
      <c r="DZ62" s="42" t="n">
        <f aca="false">Tasks[[#This Row],[_Res3Work]]*Tasks[[#This Row],[_LeafProgress]]</f>
        <v>0</v>
      </c>
      <c r="EA62" s="42" t="str">
        <f aca="false">IF(Tasks[[#This Row],[_Res4Text]]="","",IF(Tasks[[#This Row],[_Res4Row]]&gt;0,INDEX(res_Name,Tasks[[#This Row],[_Res4Row]]),TRIM(LEFT(Tasks[[#This Row],[_Res4Text]],FIND("[",Tasks[[#This Row],[_Res4Text]]&amp;"[")-1))))</f>
        <v/>
      </c>
      <c r="EB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2" s="42" t="n">
        <f aca="false">IF(OR(NOT(Tasks[[#This Row],[_IsLeaf]]=1),Tasks[[#This Row],[_Res4Row]]=0),0,N(Tasks[[#This Row],[_Days]])*HoursPerDay*IF(Tasks[[#This Row],[_Res4Units]]="",DefaultUnits,Tasks[[#This Row],[_Res4Units]]))</f>
        <v>0</v>
      </c>
      <c r="ED62" s="42" t="n">
        <f aca="false">IF(AND(AND(Tasks[[#This Row],[_IsLeaf]]=1,Tasks[[#This Row],[_LeafTotalWork]]&gt;0),Tasks[[#This Row],[_Res4Work]]&gt;0),Tasks[[#This Row],[_Res4Work]]/(Tasks[[#This Row],[_FinishWorkday]]-Tasks[[#This Row],[_StartWorkday]]+1),0)</f>
        <v>0</v>
      </c>
      <c r="EE62" s="42" t="n">
        <f aca="false">Tasks[[#This Row],[_Res4WorkPerWD]]*MAX(0,Tasks[[#This Row],[_StartWorkday]]-1)</f>
        <v>0</v>
      </c>
      <c r="EF62" s="42" t="n">
        <f aca="false">Tasks[[#This Row],[_Res4Work]]*Tasks[[#This Row],[_LeafProgress]]</f>
        <v>0</v>
      </c>
      <c r="EG62" s="42" t="n">
        <f aca="false">IF(ISNUMBER(Tasks[[#This Row],[% Complete]]),Tasks[[#This Row],[% Complete]],IF(Tasks[[#This Row],[Stage]]="",0,IFERROR(INDEX(stg_Pct,MATCH(Tasks[[#This Row],[Stage]],stg_Name,0)),0)))</f>
        <v>0</v>
      </c>
      <c r="EH62" s="42" t="n">
        <f aca="false">IF(NOT(Tasks[[#This Row],[_IsLeaf]]=1),0,IF(N(Tasks[[#This Row],[Actual Finish]])&gt;0,1,MIN(1,Tasks[[#This Row],[_Pct]])))</f>
        <v>0</v>
      </c>
      <c r="EI62" s="42" t="n">
        <f aca="false">IF(OR(NOT(Tasks[[#This Row],[_IsLeaf]]=1),Tasks[[#This Row],[_Res1Row]]=0),0,N(Tasks[[#This Row],[_Days]])*HoursPerDay*IF(Tasks[[#This Row],[_Units1]]="",DefaultUnits,Tasks[[#This Row],[_Units1]]))</f>
        <v>0</v>
      </c>
      <c r="EJ62" s="42" t="n">
        <f aca="false">Tasks[[#This Row],[_LeafWork]]+Tasks[[#This Row],[_Res2Work]]+Tasks[[#This Row],[_Res3Work]]+Tasks[[#This Row],[_Res4Work]]</f>
        <v>0</v>
      </c>
      <c r="EK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2" s="42" t="n">
        <f aca="false">IF(NOT(Tasks[[#This Row],[_IsLeaf]]=1),0,MAX(_xlfn.MAXIFS(Tasks[_Row],Tasks[_Pred1UID],Tasks[[#This Row],[UID]]),_xlfn.MAXIFS(Tasks[_Row],Tasks[_Pred2UID],Tasks[[#This Row],[UID]]),_xlfn.MAXIFS(Tasks[_Row],Tasks[_Pred3UID],Tasks[[#This Row],[UID]]),_xlfn.MAXIFS(Tasks[_Row],Tasks[_Pred4UID],Tasks[[#This Row],[UID]])))</f>
        <v>0</v>
      </c>
      <c r="ET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2" s="89" t="str">
        <f aca="false">IF(NOT(Tasks[[#This Row],[_IsLeaf]]=1),"",IF(N(Tasks[[#This Row],[_Days]])&lt;=0,Tasks[[#This Row],[_LeafLateFinish]],WORKDAY.INTL(Tasks[[#This Row],[_LeafLateFinish]],-(Tasks[[#This Row],[_Days]]-1),WorkWeek,Holidays)))</f>
        <v/>
      </c>
      <c r="EW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2" s="88" t="b">
        <f aca="false">AND(Tasks[[#This Row],[_IsLeaf]]=1,Tasks[[#This Row],[_LeafProgress]]&lt;1,N(Tasks[[#This Row],[_LeafTotalSlack]])&lt;=CriticalSlackDays)</f>
        <v>0</v>
      </c>
      <c r="EY62" s="42" t="n">
        <f aca="false">IF(AND(Tasks[[#This Row],[_IsLeaf]]=1,Tasks[[#This Row],[_ConstraintCode]]=1,Tasks[[#This Row],[Mode]]&lt;&gt;"Manual",N(Tasks[[#This Row],[Actual Start]])=0),MAX(0,N(Tasks[[#This Row],[Free Slack]])),0)</f>
        <v>0</v>
      </c>
      <c r="EZ62" s="89" t="str">
        <f aca="false">IF(NOT(Tasks[[#This Row],[_IsLeaf]]=1),"",IF(Tasks[[#This Row],[_AlapShift]]=0,Tasks[[#This Row],[_LeafCalcStart]],WORKDAY.INTL(Tasks[[#This Row],[_LeafCalcStart]],Tasks[[#This Row],[_AlapShift]],WorkWeek,Holidays)))</f>
        <v/>
      </c>
      <c r="FA62" s="89" t="str">
        <f aca="false">IF(NOT(Tasks[[#This Row],[_IsLeaf]]=1),"",IF(Tasks[[#This Row],[_AlapShift]]=0,Tasks[[#This Row],[_LeafCalcFinish]],WORKDAY.INTL(Tasks[[#This Row],[_LeafCalcFinish]],Tasks[[#This Row],[_AlapShift]],WorkWeek,Holidays)))</f>
        <v/>
      </c>
      <c r="FB62" s="89" t="str">
        <f aca="false">IF(NOT(Tasks[[#This Row],[_IsLeaf]]=1),"",IF(Tasks[[#This Row],[_AlapShift]]=0,Tasks[[#This Row],[_LeafFcstStart]],WORKDAY.INTL(Tasks[[#This Row],[_LeafFcstStart]],Tasks[[#This Row],[_AlapShift]],WorkWeek,Holidays)))</f>
        <v/>
      </c>
      <c r="FC62" s="89" t="str">
        <f aca="false">IF(NOT(Tasks[[#This Row],[_IsLeaf]]=1),"",IF(Tasks[[#This Row],[_AlapShift]]=0,Tasks[[#This Row],[_LeafFcstFinish]],WORKDAY.INTL(Tasks[[#This Row],[_LeafFcstFinish]],Tasks[[#This Row],[_AlapShift]],WorkWeek,Holidays)))</f>
        <v/>
      </c>
      <c r="FD62" s="89" t="str">
        <f aca="false">IF(Tasks[[#This Row],[Task Name]]="","",IF(Tasks[[#This Row],[_IsSummary]],MIN(INDEX(Tasks[_ShownCalcStart],Tasks[[#This Row],[_Row]]+1):INDEX(Tasks[_ShownCalcStart],Tasks[[#This Row],[_Row]]+Tasks[[#This Row],[_Descendants]])),Tasks[[#This Row],[_ShownCalcStart]]))</f>
        <v/>
      </c>
      <c r="FE62" s="89" t="str">
        <f aca="false">IF(Tasks[[#This Row],[Task Name]]="","",IF(Tasks[[#This Row],[_IsSummary]],MAX(INDEX(Tasks[_ShownCalcFinish],Tasks[[#This Row],[_Row]]+1):INDEX(Tasks[_ShownCalcFinish],Tasks[[#This Row],[_Row]]+Tasks[[#This Row],[_Descendants]])),Tasks[[#This Row],[_ShownCalcFinish]]))</f>
        <v/>
      </c>
      <c r="FF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2" s="42" t="n">
        <f aca="false">IF(AND(Tasks[[#This Row],[_IsLeaf]]=1,Tasks[[#This Row],[_LeafTotalWork]]&gt;0),NETWORKDAYS.INTL(ProjectStart,Tasks[[#This Row],[_ShownFcstStart]],WorkWeek,Holidays),0)</f>
        <v>0</v>
      </c>
      <c r="FS62" s="42" t="n">
        <f aca="false">IF(AND(Tasks[[#This Row],[_IsLeaf]]=1,Tasks[[#This Row],[_LeafTotalWork]]&gt;0),MAX(Tasks[[#This Row],[_StartWorkday]],NETWORKDAYS.INTL(ProjectStart,Tasks[[#This Row],[_ShownFcstFinish]],WorkWeek,Holidays)),0)</f>
        <v>0</v>
      </c>
      <c r="FT62" s="42" t="n">
        <f aca="false">IF(AND(Tasks[[#This Row],[_IsLeaf]]=1,Tasks[[#This Row],[_LeafTotalWork]]&gt;0),Tasks[[#This Row],[_LeafWork]]/(Tasks[[#This Row],[_FinishWorkday]]-Tasks[[#This Row],[_StartWorkday]]+1),0)</f>
        <v>0</v>
      </c>
      <c r="FU62" s="42" t="n">
        <f aca="false">Tasks[[#This Row],[_WorkPerWorkday]]*(Tasks[[#This Row],[_StartWorkday]]-1)</f>
        <v>-0</v>
      </c>
      <c r="FV62" s="42" t="n">
        <f aca="false">IF(Tasks[[#This Row],[_IsLeaf]]=1,MAX(N(Tasks[[#This Row],[_Days]]),0.1),0)</f>
        <v>0</v>
      </c>
      <c r="FW62" s="42" t="n">
        <f aca="false">Tasks[[#This Row],[_WeightDur]]*Tasks[[#This Row],[_LeafProgress]]</f>
        <v>0</v>
      </c>
      <c r="FX62" s="42" t="n">
        <f aca="false">Tasks[[#This Row],[_WeightDur]]*Tasks[[#This Row],[_PlannedPct]]</f>
        <v>0</v>
      </c>
      <c r="FY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2" s="42" t="str">
        <f aca="false">IF(AND(Tasks[[#This Row],[_IsLeaf]]=1,N(Tasks[[#This Row],[_Days]])=0,Tasks[[#This Row],[_LeafProgress]]&lt;1),Tasks[[#This Row],[_ShownFcstFinish]]+Tasks[[#This Row],[_Row]]/100000,"")</f>
        <v/>
      </c>
      <c r="GA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2" s="42" t="str">
        <f aca="false">IF(Tasks[[#This Row],[Task Name]]="","",LEFT(Tasks[[#This Row],[WBS]],FIND(".",Tasks[[#This Row],[WBS]]&amp;".")-1))</f>
        <v/>
      </c>
      <c r="GC62" s="42" t="str">
        <f aca="false">IF(AND(Tasks[[#This Row],[Task Name]]&lt;&gt;"",Tasks[[#This Row],[_Level]]=1),Tasks[[#This Row],[_Row]],"")</f>
        <v/>
      </c>
      <c r="GD62" s="42" t="str">
        <f aca="false">IF(AND(Tasks[[#This Row],[_IsLeaf]]=1,N(Tasks[[#This Row],[_Days]])=0),Tasks[[#This Row],[Planned Finish]]+Tasks[[#This Row],[_Row]]/100000,"")</f>
        <v/>
      </c>
      <c r="GE62" s="42" t="str">
        <f aca="false">IF(AND(Tasks[[#This Row],[_IsLeaf]]=1,Tasks[[#This Row],[_LeafProgress]]&lt;1,OR(N(Tasks[[#This Row],[Finish Var]])&gt;0,Tasks[[#This Row],[Status]]="Late Start")),MAX(0,Tasks[[#This Row],[Finish Var]])+1-Tasks[[#This Row],[_Row]]/1000000,"")</f>
        <v/>
      </c>
      <c r="GF62" s="42" t="str">
        <f aca="false">IF(AND(Tasks[[#This Row],[_IsLeaf]]=1,N(Tasks[[#This Row],[Actual Start]])=0,Tasks[[#This Row],[_ShownFcstStart]]&gt;=StatusDate,Tasks[[#This Row],[_ShownFcstStart]]&lt;=LookaheadEnd),Tasks[[#This Row],[_ShownFcstStart]]+Tasks[[#This Row],[_Row]]/100000,"")</f>
        <v/>
      </c>
      <c r="GG62" s="42" t="str">
        <f aca="false">IF(AND(Tasks[[#This Row],[_IsLeaf]]=1,Tasks[[#This Row],[_LeafProgress]]&lt;1,Tasks[[#This Row],[_ShownFcstFinish]]&gt;=StatusDate,Tasks[[#This Row],[_ShownFcstFinish]]&lt;=LookaheadEnd),Tasks[[#This Row],[_ShownFcstFinish]]+Tasks[[#This Row],[_Row]]/100000,"")</f>
        <v/>
      </c>
      <c r="GH62" s="42" t="str">
        <f aca="false">IF(Tasks[[#This Row],[_LeafCritical]],Tasks[[#This Row],[_ShownFcstStart]]+Tasks[[#This Row],[_Row]]/100000,"")</f>
        <v/>
      </c>
      <c r="GI62" s="42" t="n">
        <f aca="false">Tasks[[#This Row],[_LeafWork]]*Tasks[[#This Row],[_LeafProgress]]</f>
        <v>0</v>
      </c>
      <c r="GJ62" s="89" t="str">
        <f aca="false">IF(AND(Tasks[[#This Row],[_IsLeaf]]=1,Tasks[[#This Row],[_LeafProgress]]&gt;=1),IF(N(Tasks[[#This Row],[Actual Finish]])&gt;0,Tasks[[#This Row],[Actual Finish]],Tasks[[#This Row],[_ShownFcstFinish]]),"")</f>
        <v/>
      </c>
      <c r="GK62" s="42" t="n">
        <f aca="false">IF(Tasks[[#This Row],[_IsLeaf]]=1,N(Tasks[[#This Row],[Story Points]]),0)</f>
        <v>0</v>
      </c>
      <c r="GL62" s="42" t="str">
        <f aca="false">""</f>
        <v/>
      </c>
      <c r="GM62" s="88" t="b">
        <f aca="false">IF(Tasks[[#This Row],[Task Name]]="",FALSE(),AND(Tasks[[#This Row],[_IsLeaf]]=1,N(Tasks[[#This Row],[_Days]])=0))</f>
        <v>0</v>
      </c>
      <c r="GN62" s="89" t="n">
        <f aca="false">IF(Tasks[[#This Row],[Task Name]]="",0,IF(AND(Tasks[[#This Row],[_IsLeaf]]=1,NOT(Tasks[[#This Row],[_IsMilestone]]),N(Tasks[[#This Row],[Progress]])&gt;0),Tasks[[#This Row],[Start]],0))</f>
        <v>0</v>
      </c>
      <c r="GO62" s="89" t="n">
        <f aca="false">IF(Tasks[[#This Row],[_DoneFrom]]=0,0,IF(Tasks[[#This Row],[Progress]]&gt;=1,Tasks[[#This Row],[Finish]],MAX(Tasks[[#This Row],[_DoneFrom]],Tasks[[#This Row],[Start]]+ROUND((Tasks[[#This Row],[Finish]]-Tasks[[#This Row],[Start]]+1)*Tasks[[#This Row],[Progress]],0)-1)))</f>
        <v>0</v>
      </c>
      <c r="GP62" s="89" t="n">
        <f aca="false">IF(Tasks[[#This Row],[Task Name]]="",0,IF(OR(NOT(Tasks[[#This Row],[_IsLeaf]]=1),Tasks[[#This Row],[_IsMilestone]],N(Tasks[[#This Row],[Progress]])&gt;=1),0,IF(Tasks[[#This Row],[_DoneTo]]&gt;0,Tasks[[#This Row],[_DoneTo]]+1,Tasks[[#This Row],[Start]])))</f>
        <v>0</v>
      </c>
      <c r="GQ62" s="89" t="n">
        <f aca="false">IF(Tasks[[#This Row],[_RemFrom]]=0,0,Tasks[[#This Row],[Finish]])</f>
        <v>0</v>
      </c>
      <c r="GR62" s="88" t="b">
        <f aca="false">IF(Tasks[[#This Row],[Task Name]]="",FALSE(),OR(NOT(BaselineSet),N(Tasks[[#This Row],[Baseline Start]])&gt;0))</f>
        <v>0</v>
      </c>
      <c r="GS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2" s="90" t="str">
        <f aca="false">IF(Tasks[[#This Row],[_IsLeaf]]=1,Tasks[[#This Row],[_Row]],"")</f>
        <v/>
      </c>
      <c r="GW62" s="90" t="str">
        <f aca="false">IFERROR(INDEX(Tasks[UID],SMALL(Tasks[_PickKey],Tasks[[#This Row],[_Row]]))&amp;" "&amp;INDEX(Tasks[Task Name],SMALL(Tasks[_PickKey],Tasks[[#This Row],[_Row]])),"")</f>
        <v/>
      </c>
      <c r="GX62" s="42" t="str">
        <f aca="false">IF(Tasks[[#This Row],[Task Name]]="","",IF(Tasks[[#This Row],[_IsSummary]],NETWORKDAYS.INTL(Tasks[[#This Row],[Start]],Tasks[[#This Row],[Finish]],WorkWeek,Holidays),N(Tasks[[#This Row],[_Days]])))</f>
        <v/>
      </c>
    </row>
    <row r="63" customFormat="false" ht="15" hidden="false" customHeight="false" outlineLevel="0" collapsed="false">
      <c r="A63" s="21" t="str">
        <f aca="false">IF(Tasks[[#This Row],[Task Name]]="","",COUNTA(Tasks[[#Headers],[Task Name]]:Tasks[[#This Row],[Task Name]])-1)</f>
        <v/>
      </c>
      <c r="B63" s="22" t="n">
        <v>71</v>
      </c>
      <c r="C63" s="22"/>
      <c r="D63" s="23"/>
      <c r="E63" s="22"/>
      <c r="F63" s="23"/>
      <c r="G63" s="22"/>
      <c r="H63" s="22"/>
      <c r="I63" s="23"/>
      <c r="J63" s="22"/>
      <c r="K63" s="22"/>
      <c r="L63" s="23"/>
      <c r="M63" s="22"/>
      <c r="N63" s="22"/>
      <c r="O63" s="23"/>
      <c r="P63" s="22"/>
      <c r="Q63" s="22"/>
      <c r="R63" s="23"/>
      <c r="S63" s="23"/>
      <c r="T63" s="83"/>
      <c r="U63" s="23"/>
      <c r="V63" s="83"/>
      <c r="W63" s="23"/>
      <c r="X63" s="83"/>
      <c r="Y63" s="23"/>
      <c r="Z63" s="83"/>
      <c r="AA63" s="23"/>
      <c r="AB63" s="23"/>
      <c r="AC63" s="7"/>
      <c r="AD63" s="7"/>
      <c r="AE63" s="62" t="str">
        <f aca="false">IF(Tasks[[#This Row],[Task Name]]="","",IF(Tasks[[#This Row],[_IsSummary]],MIN(INDEX(Tasks[_ShownFcstStart],Tasks[[#This Row],[_Row]]+1):INDEX(Tasks[_ShownFcstStart],Tasks[[#This Row],[_Row]]+Tasks[[#This Row],[_Descendants]])),Tasks[[#This Row],[_ShownFcstStart]]))</f>
        <v/>
      </c>
      <c r="AF63" s="62" t="str">
        <f aca="false">IF(Tasks[[#This Row],[Task Name]]="","",IF(Tasks[[#This Row],[_IsSummary]],MAX(INDEX(Tasks[_ShownFcstFinish],Tasks[[#This Row],[_Row]]+1):INDEX(Tasks[_ShownFcstFinish],Tasks[[#This Row],[_Row]]+Tasks[[#This Row],[_Descendants]])),Tasks[[#This Row],[_ShownFcstFinish]]))</f>
        <v/>
      </c>
      <c r="AG63" s="21" t="str">
        <f aca="false">""</f>
        <v/>
      </c>
      <c r="AH63" s="23"/>
      <c r="AI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3" s="7"/>
      <c r="AK63" s="22"/>
      <c r="AL63" s="23"/>
      <c r="AM63" s="7"/>
      <c r="AN63" s="46" t="str">
        <f aca="false">IF(Tasks[[#This Row],[Task Name]]="","",IF(Tasks[[#This Row],[Finish]]&gt;=Tasks[[#This Row],[Planned Finish]],NETWORKDAYS.INTL(Tasks[[#This Row],[Planned Finish]],Tasks[[#This Row],[Finish]],WorkWeek,Holidays)-1,1-NETWORKDAYS.INTL(Tasks[[#This Row],[Finish]],Tasks[[#This Row],[Planned Finish]],WorkWeek,Holidays)))</f>
        <v/>
      </c>
      <c r="AO63" s="21" t="str">
        <f aca="false">IF(Tasks[[#This Row],[Task Name]]="","",IF(Tasks[[#This Row],[Progress]]&gt;=1,"Complete",IF(OR(N(Tasks[[#This Row],[Actual Start]])&gt;0,Tasks[[#This Row],[Progress]]&gt;0),IF(Tasks[[#This Row],[Finish Var]]&gt;0,"Behind","In Progress"),IF(Tasks[[#This Row],[Planned Start]]&lt;StatusDate,"Late Start","Not Started"))))</f>
        <v/>
      </c>
      <c r="AP63" s="21" t="str">
        <f aca="false">IF(Tasks[[#This Row],[Task Name]]="","",IF(IF(Tasks[[#This Row],[_IsSummary]],COUNTIF(INDEX(Tasks[_LeafCritical],Tasks[[#This Row],[_Row]]+1):INDEX(Tasks[_LeafCritical],Tasks[[#This Row],[_Row]]+Tasks[[#This Row],[_Descendants]]),TRUE())&gt;0,Tasks[[#This Row],[_LeafCritical]]),"Yes",""))</f>
        <v/>
      </c>
      <c r="AQ63" s="62" t="str">
        <f aca="false">IF(Tasks[[#This Row],[Task Name]]="","",IF(N(Tasks[[#This Row],[Baseline Start]])&gt;0,Tasks[[#This Row],[Baseline Start]],Tasks[[#This Row],[_CalcStart]]))</f>
        <v/>
      </c>
      <c r="AR63" s="62" t="str">
        <f aca="false">IF(Tasks[[#This Row],[Task Name]]="","",IF(N(Tasks[[#This Row],[Baseline Finish]])&gt;0,Tasks[[#This Row],[Baseline Finish]],Tasks[[#This Row],[_CalcFinish]]))</f>
        <v/>
      </c>
      <c r="AS63" s="46" t="str">
        <f aca="false">IF(Tasks[[#This Row],[Task Name]]="","",IF(Tasks[[#This Row],[Start]]&gt;=Tasks[[#This Row],[Planned Start]],NETWORKDAYS.INTL(Tasks[[#This Row],[Planned Start]],Tasks[[#This Row],[Start]],WorkWeek,Holidays)-1,1-NETWORKDAYS.INTL(Tasks[[#This Row],[Start]],Tasks[[#This Row],[Planned Start]],WorkWeek,Holidays)))</f>
        <v/>
      </c>
      <c r="AT63" s="62" t="str">
        <f aca="false">IF(Tasks[[#This Row],[Task Name]]="","",IF(Tasks[[#This Row],[_IsSummary]],MIN(INDEX(Tasks[_LeafLateStart],Tasks[[#This Row],[_Row]]+1):INDEX(Tasks[_LeafLateStart],Tasks[[#This Row],[_Row]]+Tasks[[#This Row],[_Descendants]])),Tasks[[#This Row],[_LeafLateStart]]))</f>
        <v/>
      </c>
      <c r="AU63" s="62" t="str">
        <f aca="false">IF(Tasks[[#This Row],[Task Name]]="","",IF(Tasks[[#This Row],[_IsSummary]],MAX(INDEX(Tasks[_LeafLateFinish],Tasks[[#This Row],[_Row]]+1):INDEX(Tasks[_LeafLateFinish],Tasks[[#This Row],[_Row]]+Tasks[[#This Row],[_Descendants]])),Tasks[[#This Row],[_LeafLateFinish]]))</f>
        <v/>
      </c>
      <c r="AV63" s="46" t="str">
        <f aca="false">IF(Tasks[[#This Row],[Task Name]]="","",IF(Tasks[[#This Row],[_IsSummary]],MIN(INDEX(Tasks[_LeafTotalSlack],Tasks[[#This Row],[_Row]]+1):INDEX(Tasks[_LeafTotalSlack],Tasks[[#This Row],[_Row]]+Tasks[[#This Row],[_Descendants]])),Tasks[[#This Row],[_LeafTotalSlack]]))</f>
        <v/>
      </c>
      <c r="AW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4"/>
      <c r="BA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t="str">
        <f aca="false">IF(Tasks[[#This Row],[Task Name]]="","",IF(Tasks[[#This Row],[_Level]]&lt;=OutlineShowLevel,"Yes","No"))</f>
        <v/>
      </c>
      <c r="BE63" s="85" t="str">
        <f aca="false">IF(Tasks[[#This Row],[Task Name]]="","",IF(Tasks[[#This Row],[_IsSummary]],SUM(INDEX(Tasks[_LeafTotalWork],Tasks[[#This Row],[_Row]]+1):INDEX(Tasks[_LeafTotalWork],Tasks[[#This Row],[_Row]]+Tasks[[#This Row],[_Descendants]])),Tasks[[#This Row],[_LeafTotalWork]]))</f>
        <v/>
      </c>
      <c r="BF63" s="23"/>
      <c r="BG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t="str">
        <f aca="false">""</f>
        <v/>
      </c>
      <c r="BI63" s="86"/>
      <c r="BJ63" s="22"/>
      <c r="BK63" s="46" t="str">
        <f aca="false">IF(OR(Tasks[[#This Row],[Task Name]]="",Tasks[[#This Row],[Baseline Duration]]=""),"",Tasks[[#This Row],[_SpanDays]]-N(Tasks[[#This Row],[Baseline Duration]]))</f>
        <v/>
      </c>
      <c r="BL63" s="85" t="str">
        <f aca="false">IF(OR(Tasks[[#This Row],[Task Name]]="",Tasks[[#This Row],[Baseline Work]]=""),"",Tasks[[#This Row],[Work]]-N(Tasks[[#This Row],[Baseline Work]]))</f>
        <v/>
      </c>
      <c r="BM63" s="62" t="str">
        <f aca="false">IF(Tasks[[#This Row],[Task Name]]="","",IF(OR(TakeBaseline="Yes",N(Tasks[[#This Row],[Baseline Start]])=0),Tasks[[#This Row],[Start]],Tasks[[#This Row],[Baseline Start]]))</f>
        <v/>
      </c>
      <c r="BN63" s="62" t="str">
        <f aca="false">IF(Tasks[[#This Row],[Task Name]]="","",IF(OR(TakeBaseline="Yes",N(Tasks[[#This Row],[Baseline Finish]])=0),Tasks[[#This Row],[Finish]],Tasks[[#This Row],[Baseline Finish]]))</f>
        <v/>
      </c>
      <c r="BO63" s="21" t="str">
        <f aca="false">IF(Tasks[[#This Row],[Task Name]]="","",IF(OR(TakeBaseline="Yes",N(Tasks[[#This Row],[Baseline Duration]])=0),Tasks[[#This Row],[_SpanDays]],Tasks[[#This Row],[Baseline Duration]]))</f>
        <v/>
      </c>
      <c r="BP63" s="85" t="str">
        <f aca="false">IF(Tasks[[#This Row],[Task Name]]="","",IF(OR(TakeBaseline="Yes",N(Tasks[[#This Row],[Baseline Work]])=0),Tasks[[#This Row],[Work]],Tasks[[#This Row],[Baseline Work]]))</f>
        <v/>
      </c>
      <c r="BQ63" s="7"/>
      <c r="BR63" s="7"/>
      <c r="BS63" s="22"/>
      <c r="BT63" s="87"/>
      <c r="BU63" s="42" t="str">
        <f aca="false">IF(Tasks[[#This Row],[Task Name]]="","",MAX(1,N(Tasks[[#This Row],[Level]])))</f>
        <v/>
      </c>
      <c r="BV63" s="42" t="n">
        <f aca="false">ROW()-ROW(Tasks[[#Headers],[ID]])</f>
        <v>58</v>
      </c>
      <c r="BW63" s="42" t="n">
        <f aca="false">IF(OR(Tasks[[#This Row],[Task Name]]="",Tasks[[#This Row],[_Level]]&lt;=1),0,IFERROR(LOOKUP(2,1/(Tasks[[#Headers],[_Level]]:Tasks[[#This Row],[_Level]]=Tasks[[#This Row],[_Level]]-1),ROW(Tasks[[#Headers],[_Level]]:Tasks[[#This Row],[_Level]])),0))</f>
        <v>0</v>
      </c>
      <c r="BX63" s="42" t="n">
        <f aca="false">IFERROR(N(INDEX(Tasks[_Level],Tasks[[#This Row],[_Row]]+1)),0)</f>
        <v>0</v>
      </c>
      <c r="BY63" s="88" t="b">
        <f aca="false">AND(Tasks[[#This Row],[Task Name]]&lt;&gt;"",Tasks[[#This Row],[_NextLevel]]&gt;Tasks[[#This Row],[_Level]])</f>
        <v>0</v>
      </c>
      <c r="BZ63" s="42" t="n">
        <f aca="false">IF(Tasks[[#This Row],[_IsSummary]],COUNTIF(Tasks[WBS],Tasks[[#This Row],[WBS]]&amp;".*"),0)</f>
        <v>0</v>
      </c>
      <c r="CA63" s="42" t="n">
        <f aca="false">IF(AND(Tasks[[#This Row],[Task Name]]&lt;&gt;"",NOT(Tasks[[#This Row],[_IsSummary]])),1,0)</f>
        <v>0</v>
      </c>
      <c r="CB63" s="42" t="n">
        <f aca="false">IF(N(Tasks[[#This Row],[_Pred1UID]])=0,0,IFERROR(MATCH(Tasks[[#This Row],[_Pred1UID]],Tasks[UID],0),-1))</f>
        <v>0</v>
      </c>
      <c r="CC63" s="42" t="n">
        <f aca="false">IF(N(Tasks[[#This Row],[_Pred2UID]])=0,0,IFERROR(MATCH(Tasks[[#This Row],[_Pred2UID]],Tasks[UID],0),-1))</f>
        <v>0</v>
      </c>
      <c r="CD63" s="42" t="n">
        <f aca="false">IF(N(Tasks[[#This Row],[_Pred3UID]])=0,0,IFERROR(MATCH(Tasks[[#This Row],[_Pred3UID]],Tasks[UID],0),-1))</f>
        <v>0</v>
      </c>
      <c r="CE63" s="42" t="n">
        <f aca="false">IF(N(Tasks[[#This Row],[_Pred4UID]])=0,0,IFERROR(MATCH(Tasks[[#This Row],[_Pred4UID]],Tasks[UID],0),-1))</f>
        <v>0</v>
      </c>
      <c r="CF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3" s="89" t="n">
        <f aca="false">IF(OR(Tasks[[#This Row],[_ConstraintCode]]=2,Tasks[[#This Row],[_ConstraintCode]]=3,Tasks[[#This Row],[_ConstraintCode]]=4,Tasks[[#This Row],[_ConstraintCode]]=6),Tasks[[#This Row],[_ConstraintStart]],0)</f>
        <v>0</v>
      </c>
      <c r="CI63" s="89" t="n">
        <f aca="false">IF(OR(Tasks[[#This Row],[_ConstraintCode]]=2,Tasks[[#This Row],[_ConstraintCode]]=3,Tasks[[#This Row],[_ConstraintCode]]=5,Tasks[[#This Row],[_ConstraintCode]]=7),Tasks[[#This Row],[_ConstraintStart]],2958465)</f>
        <v>2958465</v>
      </c>
      <c r="CJ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3" s="89" t="str">
        <f aca="false">IF(NOT(Tasks[[#This Row],[_IsLeaf]]=1),"",IF(N(Tasks[[#This Row],[_Days]])&lt;=0,Tasks[[#This Row],[_LeafCalcStart]],WORKDAY.INTL(Tasks[[#This Row],[_LeafCalcStart]],Tasks[[#This Row],[_Days]]-1,WorkWeek,Holidays)))</f>
        <v/>
      </c>
      <c r="CL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3" s="42" t="str">
        <f aca="false">IF(Tasks[[#This Row],[_Predecessors]]="","",TRIM(MID(SUBSTITUTE(SUBSTITUTE(SUBSTITUTE(UPPER(Tasks[[#This Row],[_Predecessors]]),";",",")," ",""),",",REPT(" ",99)),1,99)))</f>
        <v/>
      </c>
      <c r="CO63" s="42" t="str">
        <f aca="false">IF(Tasks[[#This Row],[_Pred1Text]]="","",IFERROR(VALUE(LEFT(Tasks[[#This Row],[_Pred1Text]],MIN(FIND("F",Tasks[[#This Row],[_Pred1Text]]&amp;"F"),FIND("S",Tasks[[#This Row],[_Pred1Text]]&amp;"S"),FIND("+",Tasks[[#This Row],[_Pred1Text]]&amp;"+"),FIND("-",Tasks[[#This Row],[_Pred1Text]]&amp;"-"))-1)),""))</f>
        <v/>
      </c>
      <c r="CP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3" s="42" t="str">
        <f aca="false">IF(Tasks[[#This Row],[_Pred1Text]]="","",TRIM(MID(SUBSTITUTE(SUBSTITUTE(SUBSTITUTE(UPPER(Tasks[[#This Row],[_Predecessors]]),";",",")," ",""),",",REPT(" ",99)),100,99)))</f>
        <v/>
      </c>
      <c r="CS63" s="42" t="str">
        <f aca="false">IF(Tasks[[#This Row],[_Pred2Text]]="","",IFERROR(VALUE(LEFT(Tasks[[#This Row],[_Pred2Text]],MIN(FIND("F",Tasks[[#This Row],[_Pred2Text]]&amp;"F"),FIND("S",Tasks[[#This Row],[_Pred2Text]]&amp;"S"),FIND("+",Tasks[[#This Row],[_Pred2Text]]&amp;"+"),FIND("-",Tasks[[#This Row],[_Pred2Text]]&amp;"-"))-1)),""))</f>
        <v/>
      </c>
      <c r="CT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3" s="42" t="str">
        <f aca="false">IF(Tasks[[#This Row],[_Pred2Text]]="","",TRIM(MID(SUBSTITUTE(SUBSTITUTE(SUBSTITUTE(UPPER(Tasks[[#This Row],[_Predecessors]]),";",",")," ",""),",",REPT(" ",99)),199,99)))</f>
        <v/>
      </c>
      <c r="CW63" s="42" t="str">
        <f aca="false">IF(Tasks[[#This Row],[_Pred3Text]]="","",IFERROR(VALUE(LEFT(Tasks[[#This Row],[_Pred3Text]],MIN(FIND("F",Tasks[[#This Row],[_Pred3Text]]&amp;"F"),FIND("S",Tasks[[#This Row],[_Pred3Text]]&amp;"S"),FIND("+",Tasks[[#This Row],[_Pred3Text]]&amp;"+"),FIND("-",Tasks[[#This Row],[_Pred3Text]]&amp;"-"))-1)),""))</f>
        <v/>
      </c>
      <c r="CX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3" s="42" t="str">
        <f aca="false">IF(Tasks[[#This Row],[_Pred3Text]]="","",TRIM(MID(SUBSTITUTE(SUBSTITUTE(SUBSTITUTE(UPPER(Tasks[[#This Row],[_Predecessors]]),";",",")," ",""),",",REPT(" ",99)),298,99)))</f>
        <v/>
      </c>
      <c r="DA63" s="42" t="str">
        <f aca="false">IF(Tasks[[#This Row],[_Pred4Text]]="","",IFERROR(VALUE(LEFT(Tasks[[#This Row],[_Pred4Text]],MIN(FIND("F",Tasks[[#This Row],[_Pred4Text]]&amp;"F"),FIND("S",Tasks[[#This Row],[_Pred4Text]]&amp;"S"),FIND("+",Tasks[[#This Row],[_Pred4Text]]&amp;"+"),FIND("-",Tasks[[#This Row],[_Pred4Text]]&amp;"-"))-1)),""))</f>
        <v/>
      </c>
      <c r="DB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3" s="42" t="str">
        <f aca="false">IF(OR(Tasks[[#This Row],[Task Name]]="",Tasks[[#This Row],[_Resources]]=""),"",TRIM(MID(SUBSTITUTE(Tasks[[#This Row],[_Resources]],",",REPT(" ",99)),1,99)))</f>
        <v/>
      </c>
      <c r="DE63" s="42" t="str">
        <f aca="false">IF(Tasks[[#This Row],[_Res1Text]]="","",TRIM(MID(SUBSTITUTE(Tasks[[#This Row],[_Resources]],",",REPT(" ",99)),100,99)))</f>
        <v/>
      </c>
      <c r="DF63" s="42" t="str">
        <f aca="false">IF(Tasks[[#This Row],[_Res2Text]]="","",TRIM(MID(SUBSTITUTE(Tasks[[#This Row],[_Resources]],",",REPT(" ",99)),199,99)))</f>
        <v/>
      </c>
      <c r="DG63" s="42" t="str">
        <f aca="false">IF(Tasks[[#This Row],[_Res3Text]]="","",TRIM(MID(SUBSTITUTE(Tasks[[#This Row],[_Resources]],",",REPT(" ",99)),298,99)))</f>
        <v/>
      </c>
      <c r="DH63" s="42" t="n">
        <f aca="false">IF(Tasks[[#This Row],[_Res1Text]]="",0,IFERROR(MATCH(TRIM(LEFT(Tasks[[#This Row],[_Res1Text]],FIND("[",Tasks[[#This Row],[_Res1Text]]&amp;"[")-1)),res_Name,0),IFERROR(MATCH(TRIM(LEFT(Tasks[[#This Row],[_Res1Text]],FIND("[",Tasks[[#This Row],[_Res1Text]]&amp;"[")-1)),res_Initials,0),0)))</f>
        <v>0</v>
      </c>
      <c r="DI63" s="42" t="n">
        <f aca="false">IF(Tasks[[#This Row],[_Res2Text]]="",0,IFERROR(MATCH(TRIM(LEFT(Tasks[[#This Row],[_Res2Text]],FIND("[",Tasks[[#This Row],[_Res2Text]]&amp;"[")-1)),res_Name,0),IFERROR(MATCH(TRIM(LEFT(Tasks[[#This Row],[_Res2Text]],FIND("[",Tasks[[#This Row],[_Res2Text]]&amp;"[")-1)),res_Initials,0),0)))</f>
        <v>0</v>
      </c>
      <c r="DJ63" s="42" t="n">
        <f aca="false">IF(Tasks[[#This Row],[_Res3Text]]="",0,IFERROR(MATCH(TRIM(LEFT(Tasks[[#This Row],[_Res3Text]],FIND("[",Tasks[[#This Row],[_Res3Text]]&amp;"[")-1)),res_Name,0),IFERROR(MATCH(TRIM(LEFT(Tasks[[#This Row],[_Res3Text]],FIND("[",Tasks[[#This Row],[_Res3Text]]&amp;"[")-1)),res_Initials,0),0)))</f>
        <v>0</v>
      </c>
      <c r="DK63" s="42" t="n">
        <f aca="false">IF(Tasks[[#This Row],[_Res4Text]]="",0,IFERROR(MATCH(TRIM(LEFT(Tasks[[#This Row],[_Res4Text]],FIND("[",Tasks[[#This Row],[_Res4Text]]&amp;"[")-1)),res_Name,0),IFERROR(MATCH(TRIM(LEFT(Tasks[[#This Row],[_Res4Text]],FIND("[",Tasks[[#This Row],[_Res4Text]]&amp;"[")-1)),res_Initials,0),0)))</f>
        <v>0</v>
      </c>
      <c r="DL63" s="42" t="str">
        <f aca="false">IF(Tasks[[#This Row],[_Res1Text]]="","",IF(Tasks[[#This Row],[_Res1Row]]&gt;0,INDEX(res_Name,Tasks[[#This Row],[_Res1Row]]),TRIM(LEFT(Tasks[[#This Row],[_Res1Text]],FIND("[",Tasks[[#This Row],[_Res1Text]]&amp;"[")-1))))</f>
        <v/>
      </c>
      <c r="DM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3" s="42" t="n">
        <f aca="false">IF(NOT(Tasks[[#This Row],[_IsLeaf]]=1),0,(Tasks[[#This Row],[_Resource1]]&lt;&gt;"")+(Tasks[[#This Row],[_Res2]]&lt;&gt;"")+(Tasks[[#This Row],[_Res3]]&lt;&gt;"")+(Tasks[[#This Row],[_Res4]]&lt;&gt;""))</f>
        <v>0</v>
      </c>
      <c r="DO63" s="42" t="str">
        <f aca="false">IF(Tasks[[#This Row],[_Res2Text]]="","",IF(Tasks[[#This Row],[_Res2Row]]&gt;0,INDEX(res_Name,Tasks[[#This Row],[_Res2Row]]),TRIM(LEFT(Tasks[[#This Row],[_Res2Text]],FIND("[",Tasks[[#This Row],[_Res2Text]]&amp;"[")-1))))</f>
        <v/>
      </c>
      <c r="DP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3" s="42" t="n">
        <f aca="false">IF(OR(NOT(Tasks[[#This Row],[_IsLeaf]]=1),Tasks[[#This Row],[_Res2Row]]=0),0,N(Tasks[[#This Row],[_Days]])*HoursPerDay*IF(Tasks[[#This Row],[_Res2Units]]="",DefaultUnits,Tasks[[#This Row],[_Res2Units]]))</f>
        <v>0</v>
      </c>
      <c r="DR63" s="42" t="n">
        <f aca="false">IF(AND(AND(Tasks[[#This Row],[_IsLeaf]]=1,Tasks[[#This Row],[_LeafTotalWork]]&gt;0),Tasks[[#This Row],[_Res2Work]]&gt;0),Tasks[[#This Row],[_Res2Work]]/(Tasks[[#This Row],[_FinishWorkday]]-Tasks[[#This Row],[_StartWorkday]]+1),0)</f>
        <v>0</v>
      </c>
      <c r="DS63" s="42" t="n">
        <f aca="false">Tasks[[#This Row],[_Res2WorkPerWD]]*MAX(0,Tasks[[#This Row],[_StartWorkday]]-1)</f>
        <v>0</v>
      </c>
      <c r="DT63" s="42" t="n">
        <f aca="false">Tasks[[#This Row],[_Res2Work]]*Tasks[[#This Row],[_LeafProgress]]</f>
        <v>0</v>
      </c>
      <c r="DU63" s="42" t="str">
        <f aca="false">IF(Tasks[[#This Row],[_Res3Text]]="","",IF(Tasks[[#This Row],[_Res3Row]]&gt;0,INDEX(res_Name,Tasks[[#This Row],[_Res3Row]]),TRIM(LEFT(Tasks[[#This Row],[_Res3Text]],FIND("[",Tasks[[#This Row],[_Res3Text]]&amp;"[")-1))))</f>
        <v/>
      </c>
      <c r="DV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3" s="42" t="n">
        <f aca="false">IF(OR(NOT(Tasks[[#This Row],[_IsLeaf]]=1),Tasks[[#This Row],[_Res3Row]]=0),0,N(Tasks[[#This Row],[_Days]])*HoursPerDay*IF(Tasks[[#This Row],[_Res3Units]]="",DefaultUnits,Tasks[[#This Row],[_Res3Units]]))</f>
        <v>0</v>
      </c>
      <c r="DX63" s="42" t="n">
        <f aca="false">IF(AND(AND(Tasks[[#This Row],[_IsLeaf]]=1,Tasks[[#This Row],[_LeafTotalWork]]&gt;0),Tasks[[#This Row],[_Res3Work]]&gt;0),Tasks[[#This Row],[_Res3Work]]/(Tasks[[#This Row],[_FinishWorkday]]-Tasks[[#This Row],[_StartWorkday]]+1),0)</f>
        <v>0</v>
      </c>
      <c r="DY63" s="42" t="n">
        <f aca="false">Tasks[[#This Row],[_Res3WorkPerWD]]*MAX(0,Tasks[[#This Row],[_StartWorkday]]-1)</f>
        <v>0</v>
      </c>
      <c r="DZ63" s="42" t="n">
        <f aca="false">Tasks[[#This Row],[_Res3Work]]*Tasks[[#This Row],[_LeafProgress]]</f>
        <v>0</v>
      </c>
      <c r="EA63" s="42" t="str">
        <f aca="false">IF(Tasks[[#This Row],[_Res4Text]]="","",IF(Tasks[[#This Row],[_Res4Row]]&gt;0,INDEX(res_Name,Tasks[[#This Row],[_Res4Row]]),TRIM(LEFT(Tasks[[#This Row],[_Res4Text]],FIND("[",Tasks[[#This Row],[_Res4Text]]&amp;"[")-1))))</f>
        <v/>
      </c>
      <c r="EB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3" s="42" t="n">
        <f aca="false">IF(OR(NOT(Tasks[[#This Row],[_IsLeaf]]=1),Tasks[[#This Row],[_Res4Row]]=0),0,N(Tasks[[#This Row],[_Days]])*HoursPerDay*IF(Tasks[[#This Row],[_Res4Units]]="",DefaultUnits,Tasks[[#This Row],[_Res4Units]]))</f>
        <v>0</v>
      </c>
      <c r="ED63" s="42" t="n">
        <f aca="false">IF(AND(AND(Tasks[[#This Row],[_IsLeaf]]=1,Tasks[[#This Row],[_LeafTotalWork]]&gt;0),Tasks[[#This Row],[_Res4Work]]&gt;0),Tasks[[#This Row],[_Res4Work]]/(Tasks[[#This Row],[_FinishWorkday]]-Tasks[[#This Row],[_StartWorkday]]+1),0)</f>
        <v>0</v>
      </c>
      <c r="EE63" s="42" t="n">
        <f aca="false">Tasks[[#This Row],[_Res4WorkPerWD]]*MAX(0,Tasks[[#This Row],[_StartWorkday]]-1)</f>
        <v>0</v>
      </c>
      <c r="EF63" s="42" t="n">
        <f aca="false">Tasks[[#This Row],[_Res4Work]]*Tasks[[#This Row],[_LeafProgress]]</f>
        <v>0</v>
      </c>
      <c r="EG63" s="42" t="n">
        <f aca="false">IF(ISNUMBER(Tasks[[#This Row],[% Complete]]),Tasks[[#This Row],[% Complete]],IF(Tasks[[#This Row],[Stage]]="",0,IFERROR(INDEX(stg_Pct,MATCH(Tasks[[#This Row],[Stage]],stg_Name,0)),0)))</f>
        <v>0</v>
      </c>
      <c r="EH63" s="42" t="n">
        <f aca="false">IF(NOT(Tasks[[#This Row],[_IsLeaf]]=1),0,IF(N(Tasks[[#This Row],[Actual Finish]])&gt;0,1,MIN(1,Tasks[[#This Row],[_Pct]])))</f>
        <v>0</v>
      </c>
      <c r="EI63" s="42" t="n">
        <f aca="false">IF(OR(NOT(Tasks[[#This Row],[_IsLeaf]]=1),Tasks[[#This Row],[_Res1Row]]=0),0,N(Tasks[[#This Row],[_Days]])*HoursPerDay*IF(Tasks[[#This Row],[_Units1]]="",DefaultUnits,Tasks[[#This Row],[_Units1]]))</f>
        <v>0</v>
      </c>
      <c r="EJ63" s="42" t="n">
        <f aca="false">Tasks[[#This Row],[_LeafWork]]+Tasks[[#This Row],[_Res2Work]]+Tasks[[#This Row],[_Res3Work]]+Tasks[[#This Row],[_Res4Work]]</f>
        <v>0</v>
      </c>
      <c r="EK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3" s="42" t="n">
        <f aca="false">IF(NOT(Tasks[[#This Row],[_IsLeaf]]=1),0,MAX(_xlfn.MAXIFS(Tasks[_Row],Tasks[_Pred1UID],Tasks[[#This Row],[UID]]),_xlfn.MAXIFS(Tasks[_Row],Tasks[_Pred2UID],Tasks[[#This Row],[UID]]),_xlfn.MAXIFS(Tasks[_Row],Tasks[_Pred3UID],Tasks[[#This Row],[UID]]),_xlfn.MAXIFS(Tasks[_Row],Tasks[_Pred4UID],Tasks[[#This Row],[UID]])))</f>
        <v>0</v>
      </c>
      <c r="ET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3" s="89" t="str">
        <f aca="false">IF(NOT(Tasks[[#This Row],[_IsLeaf]]=1),"",IF(N(Tasks[[#This Row],[_Days]])&lt;=0,Tasks[[#This Row],[_LeafLateFinish]],WORKDAY.INTL(Tasks[[#This Row],[_LeafLateFinish]],-(Tasks[[#This Row],[_Days]]-1),WorkWeek,Holidays)))</f>
        <v/>
      </c>
      <c r="EW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3" s="88" t="b">
        <f aca="false">AND(Tasks[[#This Row],[_IsLeaf]]=1,Tasks[[#This Row],[_LeafProgress]]&lt;1,N(Tasks[[#This Row],[_LeafTotalSlack]])&lt;=CriticalSlackDays)</f>
        <v>0</v>
      </c>
      <c r="EY63" s="42" t="n">
        <f aca="false">IF(AND(Tasks[[#This Row],[_IsLeaf]]=1,Tasks[[#This Row],[_ConstraintCode]]=1,Tasks[[#This Row],[Mode]]&lt;&gt;"Manual",N(Tasks[[#This Row],[Actual Start]])=0),MAX(0,N(Tasks[[#This Row],[Free Slack]])),0)</f>
        <v>0</v>
      </c>
      <c r="EZ63" s="89" t="str">
        <f aca="false">IF(NOT(Tasks[[#This Row],[_IsLeaf]]=1),"",IF(Tasks[[#This Row],[_AlapShift]]=0,Tasks[[#This Row],[_LeafCalcStart]],WORKDAY.INTL(Tasks[[#This Row],[_LeafCalcStart]],Tasks[[#This Row],[_AlapShift]],WorkWeek,Holidays)))</f>
        <v/>
      </c>
      <c r="FA63" s="89" t="str">
        <f aca="false">IF(NOT(Tasks[[#This Row],[_IsLeaf]]=1),"",IF(Tasks[[#This Row],[_AlapShift]]=0,Tasks[[#This Row],[_LeafCalcFinish]],WORKDAY.INTL(Tasks[[#This Row],[_LeafCalcFinish]],Tasks[[#This Row],[_AlapShift]],WorkWeek,Holidays)))</f>
        <v/>
      </c>
      <c r="FB63" s="89" t="str">
        <f aca="false">IF(NOT(Tasks[[#This Row],[_IsLeaf]]=1),"",IF(Tasks[[#This Row],[_AlapShift]]=0,Tasks[[#This Row],[_LeafFcstStart]],WORKDAY.INTL(Tasks[[#This Row],[_LeafFcstStart]],Tasks[[#This Row],[_AlapShift]],WorkWeek,Holidays)))</f>
        <v/>
      </c>
      <c r="FC63" s="89" t="str">
        <f aca="false">IF(NOT(Tasks[[#This Row],[_IsLeaf]]=1),"",IF(Tasks[[#This Row],[_AlapShift]]=0,Tasks[[#This Row],[_LeafFcstFinish]],WORKDAY.INTL(Tasks[[#This Row],[_LeafFcstFinish]],Tasks[[#This Row],[_AlapShift]],WorkWeek,Holidays)))</f>
        <v/>
      </c>
      <c r="FD63" s="89" t="str">
        <f aca="false">IF(Tasks[[#This Row],[Task Name]]="","",IF(Tasks[[#This Row],[_IsSummary]],MIN(INDEX(Tasks[_ShownCalcStart],Tasks[[#This Row],[_Row]]+1):INDEX(Tasks[_ShownCalcStart],Tasks[[#This Row],[_Row]]+Tasks[[#This Row],[_Descendants]])),Tasks[[#This Row],[_ShownCalcStart]]))</f>
        <v/>
      </c>
      <c r="FE63" s="89" t="str">
        <f aca="false">IF(Tasks[[#This Row],[Task Name]]="","",IF(Tasks[[#This Row],[_IsSummary]],MAX(INDEX(Tasks[_ShownCalcFinish],Tasks[[#This Row],[_Row]]+1):INDEX(Tasks[_ShownCalcFinish],Tasks[[#This Row],[_Row]]+Tasks[[#This Row],[_Descendants]])),Tasks[[#This Row],[_ShownCalcFinish]]))</f>
        <v/>
      </c>
      <c r="FF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3" s="42" t="n">
        <f aca="false">IF(AND(Tasks[[#This Row],[_IsLeaf]]=1,Tasks[[#This Row],[_LeafTotalWork]]&gt;0),NETWORKDAYS.INTL(ProjectStart,Tasks[[#This Row],[_ShownFcstStart]],WorkWeek,Holidays),0)</f>
        <v>0</v>
      </c>
      <c r="FS63" s="42" t="n">
        <f aca="false">IF(AND(Tasks[[#This Row],[_IsLeaf]]=1,Tasks[[#This Row],[_LeafTotalWork]]&gt;0),MAX(Tasks[[#This Row],[_StartWorkday]],NETWORKDAYS.INTL(ProjectStart,Tasks[[#This Row],[_ShownFcstFinish]],WorkWeek,Holidays)),0)</f>
        <v>0</v>
      </c>
      <c r="FT63" s="42" t="n">
        <f aca="false">IF(AND(Tasks[[#This Row],[_IsLeaf]]=1,Tasks[[#This Row],[_LeafTotalWork]]&gt;0),Tasks[[#This Row],[_LeafWork]]/(Tasks[[#This Row],[_FinishWorkday]]-Tasks[[#This Row],[_StartWorkday]]+1),0)</f>
        <v>0</v>
      </c>
      <c r="FU63" s="42" t="n">
        <f aca="false">Tasks[[#This Row],[_WorkPerWorkday]]*(Tasks[[#This Row],[_StartWorkday]]-1)</f>
        <v>-0</v>
      </c>
      <c r="FV63" s="42" t="n">
        <f aca="false">IF(Tasks[[#This Row],[_IsLeaf]]=1,MAX(N(Tasks[[#This Row],[_Days]]),0.1),0)</f>
        <v>0</v>
      </c>
      <c r="FW63" s="42" t="n">
        <f aca="false">Tasks[[#This Row],[_WeightDur]]*Tasks[[#This Row],[_LeafProgress]]</f>
        <v>0</v>
      </c>
      <c r="FX63" s="42" t="n">
        <f aca="false">Tasks[[#This Row],[_WeightDur]]*Tasks[[#This Row],[_PlannedPct]]</f>
        <v>0</v>
      </c>
      <c r="FY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3" s="42" t="str">
        <f aca="false">IF(AND(Tasks[[#This Row],[_IsLeaf]]=1,N(Tasks[[#This Row],[_Days]])=0,Tasks[[#This Row],[_LeafProgress]]&lt;1),Tasks[[#This Row],[_ShownFcstFinish]]+Tasks[[#This Row],[_Row]]/100000,"")</f>
        <v/>
      </c>
      <c r="GA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3" s="42" t="str">
        <f aca="false">IF(Tasks[[#This Row],[Task Name]]="","",LEFT(Tasks[[#This Row],[WBS]],FIND(".",Tasks[[#This Row],[WBS]]&amp;".")-1))</f>
        <v/>
      </c>
      <c r="GC63" s="42" t="str">
        <f aca="false">IF(AND(Tasks[[#This Row],[Task Name]]&lt;&gt;"",Tasks[[#This Row],[_Level]]=1),Tasks[[#This Row],[_Row]],"")</f>
        <v/>
      </c>
      <c r="GD63" s="42" t="str">
        <f aca="false">IF(AND(Tasks[[#This Row],[_IsLeaf]]=1,N(Tasks[[#This Row],[_Days]])=0),Tasks[[#This Row],[Planned Finish]]+Tasks[[#This Row],[_Row]]/100000,"")</f>
        <v/>
      </c>
      <c r="GE63" s="42" t="str">
        <f aca="false">IF(AND(Tasks[[#This Row],[_IsLeaf]]=1,Tasks[[#This Row],[_LeafProgress]]&lt;1,OR(N(Tasks[[#This Row],[Finish Var]])&gt;0,Tasks[[#This Row],[Status]]="Late Start")),MAX(0,Tasks[[#This Row],[Finish Var]])+1-Tasks[[#This Row],[_Row]]/1000000,"")</f>
        <v/>
      </c>
      <c r="GF63" s="42" t="str">
        <f aca="false">IF(AND(Tasks[[#This Row],[_IsLeaf]]=1,N(Tasks[[#This Row],[Actual Start]])=0,Tasks[[#This Row],[_ShownFcstStart]]&gt;=StatusDate,Tasks[[#This Row],[_ShownFcstStart]]&lt;=LookaheadEnd),Tasks[[#This Row],[_ShownFcstStart]]+Tasks[[#This Row],[_Row]]/100000,"")</f>
        <v/>
      </c>
      <c r="GG63" s="42" t="str">
        <f aca="false">IF(AND(Tasks[[#This Row],[_IsLeaf]]=1,Tasks[[#This Row],[_LeafProgress]]&lt;1,Tasks[[#This Row],[_ShownFcstFinish]]&gt;=StatusDate,Tasks[[#This Row],[_ShownFcstFinish]]&lt;=LookaheadEnd),Tasks[[#This Row],[_ShownFcstFinish]]+Tasks[[#This Row],[_Row]]/100000,"")</f>
        <v/>
      </c>
      <c r="GH63" s="42" t="str">
        <f aca="false">IF(Tasks[[#This Row],[_LeafCritical]],Tasks[[#This Row],[_ShownFcstStart]]+Tasks[[#This Row],[_Row]]/100000,"")</f>
        <v/>
      </c>
      <c r="GI63" s="42" t="n">
        <f aca="false">Tasks[[#This Row],[_LeafWork]]*Tasks[[#This Row],[_LeafProgress]]</f>
        <v>0</v>
      </c>
      <c r="GJ63" s="89" t="str">
        <f aca="false">IF(AND(Tasks[[#This Row],[_IsLeaf]]=1,Tasks[[#This Row],[_LeafProgress]]&gt;=1),IF(N(Tasks[[#This Row],[Actual Finish]])&gt;0,Tasks[[#This Row],[Actual Finish]],Tasks[[#This Row],[_ShownFcstFinish]]),"")</f>
        <v/>
      </c>
      <c r="GK63" s="42" t="n">
        <f aca="false">IF(Tasks[[#This Row],[_IsLeaf]]=1,N(Tasks[[#This Row],[Story Points]]),0)</f>
        <v>0</v>
      </c>
      <c r="GL63" s="42" t="str">
        <f aca="false">""</f>
        <v/>
      </c>
      <c r="GM63" s="88" t="b">
        <f aca="false">IF(Tasks[[#This Row],[Task Name]]="",FALSE(),AND(Tasks[[#This Row],[_IsLeaf]]=1,N(Tasks[[#This Row],[_Days]])=0))</f>
        <v>0</v>
      </c>
      <c r="GN63" s="89" t="n">
        <f aca="false">IF(Tasks[[#This Row],[Task Name]]="",0,IF(AND(Tasks[[#This Row],[_IsLeaf]]=1,NOT(Tasks[[#This Row],[_IsMilestone]]),N(Tasks[[#This Row],[Progress]])&gt;0),Tasks[[#This Row],[Start]],0))</f>
        <v>0</v>
      </c>
      <c r="GO63" s="89" t="n">
        <f aca="false">IF(Tasks[[#This Row],[_DoneFrom]]=0,0,IF(Tasks[[#This Row],[Progress]]&gt;=1,Tasks[[#This Row],[Finish]],MAX(Tasks[[#This Row],[_DoneFrom]],Tasks[[#This Row],[Start]]+ROUND((Tasks[[#This Row],[Finish]]-Tasks[[#This Row],[Start]]+1)*Tasks[[#This Row],[Progress]],0)-1)))</f>
        <v>0</v>
      </c>
      <c r="GP63" s="89" t="n">
        <f aca="false">IF(Tasks[[#This Row],[Task Name]]="",0,IF(OR(NOT(Tasks[[#This Row],[_IsLeaf]]=1),Tasks[[#This Row],[_IsMilestone]],N(Tasks[[#This Row],[Progress]])&gt;=1),0,IF(Tasks[[#This Row],[_DoneTo]]&gt;0,Tasks[[#This Row],[_DoneTo]]+1,Tasks[[#This Row],[Start]])))</f>
        <v>0</v>
      </c>
      <c r="GQ63" s="89" t="n">
        <f aca="false">IF(Tasks[[#This Row],[_RemFrom]]=0,0,Tasks[[#This Row],[Finish]])</f>
        <v>0</v>
      </c>
      <c r="GR63" s="88" t="b">
        <f aca="false">IF(Tasks[[#This Row],[Task Name]]="",FALSE(),OR(NOT(BaselineSet),N(Tasks[[#This Row],[Baseline Start]])&gt;0))</f>
        <v>0</v>
      </c>
      <c r="GS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3" s="90" t="str">
        <f aca="false">IF(Tasks[[#This Row],[_IsLeaf]]=1,Tasks[[#This Row],[_Row]],"")</f>
        <v/>
      </c>
      <c r="GW63" s="90" t="str">
        <f aca="false">IFERROR(INDEX(Tasks[UID],SMALL(Tasks[_PickKey],Tasks[[#This Row],[_Row]]))&amp;" "&amp;INDEX(Tasks[Task Name],SMALL(Tasks[_PickKey],Tasks[[#This Row],[_Row]])),"")</f>
        <v/>
      </c>
      <c r="GX63" s="42" t="str">
        <f aca="false">IF(Tasks[[#This Row],[Task Name]]="","",IF(Tasks[[#This Row],[_IsSummary]],NETWORKDAYS.INTL(Tasks[[#This Row],[Start]],Tasks[[#This Row],[Finish]],WorkWeek,Holidays),N(Tasks[[#This Row],[_Days]])))</f>
        <v/>
      </c>
    </row>
    <row r="64" customFormat="false" ht="15" hidden="false" customHeight="false" outlineLevel="0" collapsed="false">
      <c r="A64" s="21" t="str">
        <f aca="false">IF(Tasks[[#This Row],[Task Name]]="","",COUNTA(Tasks[[#Headers],[Task Name]]:Tasks[[#This Row],[Task Name]])-1)</f>
        <v/>
      </c>
      <c r="B64" s="22" t="n">
        <v>72</v>
      </c>
      <c r="C64" s="22"/>
      <c r="D64" s="23"/>
      <c r="E64" s="22"/>
      <c r="F64" s="23"/>
      <c r="G64" s="22"/>
      <c r="H64" s="22"/>
      <c r="I64" s="23"/>
      <c r="J64" s="22"/>
      <c r="K64" s="22"/>
      <c r="L64" s="23"/>
      <c r="M64" s="22"/>
      <c r="N64" s="22"/>
      <c r="O64" s="23"/>
      <c r="P64" s="22"/>
      <c r="Q64" s="22"/>
      <c r="R64" s="23"/>
      <c r="S64" s="23"/>
      <c r="T64" s="83"/>
      <c r="U64" s="23"/>
      <c r="V64" s="83"/>
      <c r="W64" s="23"/>
      <c r="X64" s="83"/>
      <c r="Y64" s="23"/>
      <c r="Z64" s="83"/>
      <c r="AA64" s="23"/>
      <c r="AB64" s="23"/>
      <c r="AC64" s="7"/>
      <c r="AD64" s="7"/>
      <c r="AE64" s="62" t="str">
        <f aca="false">IF(Tasks[[#This Row],[Task Name]]="","",IF(Tasks[[#This Row],[_IsSummary]],MIN(INDEX(Tasks[_ShownFcstStart],Tasks[[#This Row],[_Row]]+1):INDEX(Tasks[_ShownFcstStart],Tasks[[#This Row],[_Row]]+Tasks[[#This Row],[_Descendants]])),Tasks[[#This Row],[_ShownFcstStart]]))</f>
        <v/>
      </c>
      <c r="AF64" s="62" t="str">
        <f aca="false">IF(Tasks[[#This Row],[Task Name]]="","",IF(Tasks[[#This Row],[_IsSummary]],MAX(INDEX(Tasks[_ShownFcstFinish],Tasks[[#This Row],[_Row]]+1):INDEX(Tasks[_ShownFcstFinish],Tasks[[#This Row],[_Row]]+Tasks[[#This Row],[_Descendants]])),Tasks[[#This Row],[_ShownFcstFinish]]))</f>
        <v/>
      </c>
      <c r="AG64" s="21" t="str">
        <f aca="false">""</f>
        <v/>
      </c>
      <c r="AH64" s="23"/>
      <c r="AI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4" s="7"/>
      <c r="AK64" s="22"/>
      <c r="AL64" s="23"/>
      <c r="AM64" s="7"/>
      <c r="AN64" s="46" t="str">
        <f aca="false">IF(Tasks[[#This Row],[Task Name]]="","",IF(Tasks[[#This Row],[Finish]]&gt;=Tasks[[#This Row],[Planned Finish]],NETWORKDAYS.INTL(Tasks[[#This Row],[Planned Finish]],Tasks[[#This Row],[Finish]],WorkWeek,Holidays)-1,1-NETWORKDAYS.INTL(Tasks[[#This Row],[Finish]],Tasks[[#This Row],[Planned Finish]],WorkWeek,Holidays)))</f>
        <v/>
      </c>
      <c r="AO64" s="21" t="str">
        <f aca="false">IF(Tasks[[#This Row],[Task Name]]="","",IF(Tasks[[#This Row],[Progress]]&gt;=1,"Complete",IF(OR(N(Tasks[[#This Row],[Actual Start]])&gt;0,Tasks[[#This Row],[Progress]]&gt;0),IF(Tasks[[#This Row],[Finish Var]]&gt;0,"Behind","In Progress"),IF(Tasks[[#This Row],[Planned Start]]&lt;StatusDate,"Late Start","Not Started"))))</f>
        <v/>
      </c>
      <c r="AP64" s="21" t="str">
        <f aca="false">IF(Tasks[[#This Row],[Task Name]]="","",IF(IF(Tasks[[#This Row],[_IsSummary]],COUNTIF(INDEX(Tasks[_LeafCritical],Tasks[[#This Row],[_Row]]+1):INDEX(Tasks[_LeafCritical],Tasks[[#This Row],[_Row]]+Tasks[[#This Row],[_Descendants]]),TRUE())&gt;0,Tasks[[#This Row],[_LeafCritical]]),"Yes",""))</f>
        <v/>
      </c>
      <c r="AQ64" s="62" t="str">
        <f aca="false">IF(Tasks[[#This Row],[Task Name]]="","",IF(N(Tasks[[#This Row],[Baseline Start]])&gt;0,Tasks[[#This Row],[Baseline Start]],Tasks[[#This Row],[_CalcStart]]))</f>
        <v/>
      </c>
      <c r="AR64" s="62" t="str">
        <f aca="false">IF(Tasks[[#This Row],[Task Name]]="","",IF(N(Tasks[[#This Row],[Baseline Finish]])&gt;0,Tasks[[#This Row],[Baseline Finish]],Tasks[[#This Row],[_CalcFinish]]))</f>
        <v/>
      </c>
      <c r="AS64" s="46" t="str">
        <f aca="false">IF(Tasks[[#This Row],[Task Name]]="","",IF(Tasks[[#This Row],[Start]]&gt;=Tasks[[#This Row],[Planned Start]],NETWORKDAYS.INTL(Tasks[[#This Row],[Planned Start]],Tasks[[#This Row],[Start]],WorkWeek,Holidays)-1,1-NETWORKDAYS.INTL(Tasks[[#This Row],[Start]],Tasks[[#This Row],[Planned Start]],WorkWeek,Holidays)))</f>
        <v/>
      </c>
      <c r="AT64" s="62" t="str">
        <f aca="false">IF(Tasks[[#This Row],[Task Name]]="","",IF(Tasks[[#This Row],[_IsSummary]],MIN(INDEX(Tasks[_LeafLateStart],Tasks[[#This Row],[_Row]]+1):INDEX(Tasks[_LeafLateStart],Tasks[[#This Row],[_Row]]+Tasks[[#This Row],[_Descendants]])),Tasks[[#This Row],[_LeafLateStart]]))</f>
        <v/>
      </c>
      <c r="AU64" s="62" t="str">
        <f aca="false">IF(Tasks[[#This Row],[Task Name]]="","",IF(Tasks[[#This Row],[_IsSummary]],MAX(INDEX(Tasks[_LeafLateFinish],Tasks[[#This Row],[_Row]]+1):INDEX(Tasks[_LeafLateFinish],Tasks[[#This Row],[_Row]]+Tasks[[#This Row],[_Descendants]])),Tasks[[#This Row],[_LeafLateFinish]]))</f>
        <v/>
      </c>
      <c r="AV64" s="46" t="str">
        <f aca="false">IF(Tasks[[#This Row],[Task Name]]="","",IF(Tasks[[#This Row],[_IsSummary]],MIN(INDEX(Tasks[_LeafTotalSlack],Tasks[[#This Row],[_Row]]+1):INDEX(Tasks[_LeafTotalSlack],Tasks[[#This Row],[_Row]]+Tasks[[#This Row],[_Descendants]])),Tasks[[#This Row],[_LeafTotalSlack]]))</f>
        <v/>
      </c>
      <c r="AW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4"/>
      <c r="BA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t="str">
        <f aca="false">IF(Tasks[[#This Row],[Task Name]]="","",IF(Tasks[[#This Row],[_Level]]&lt;=OutlineShowLevel,"Yes","No"))</f>
        <v/>
      </c>
      <c r="BE64" s="85" t="str">
        <f aca="false">IF(Tasks[[#This Row],[Task Name]]="","",IF(Tasks[[#This Row],[_IsSummary]],SUM(INDEX(Tasks[_LeafTotalWork],Tasks[[#This Row],[_Row]]+1):INDEX(Tasks[_LeafTotalWork],Tasks[[#This Row],[_Row]]+Tasks[[#This Row],[_Descendants]])),Tasks[[#This Row],[_LeafTotalWork]]))</f>
        <v/>
      </c>
      <c r="BF64" s="23"/>
      <c r="BG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t="str">
        <f aca="false">""</f>
        <v/>
      </c>
      <c r="BI64" s="86"/>
      <c r="BJ64" s="22"/>
      <c r="BK64" s="46" t="str">
        <f aca="false">IF(OR(Tasks[[#This Row],[Task Name]]="",Tasks[[#This Row],[Baseline Duration]]=""),"",Tasks[[#This Row],[_SpanDays]]-N(Tasks[[#This Row],[Baseline Duration]]))</f>
        <v/>
      </c>
      <c r="BL64" s="85" t="str">
        <f aca="false">IF(OR(Tasks[[#This Row],[Task Name]]="",Tasks[[#This Row],[Baseline Work]]=""),"",Tasks[[#This Row],[Work]]-N(Tasks[[#This Row],[Baseline Work]]))</f>
        <v/>
      </c>
      <c r="BM64" s="62" t="str">
        <f aca="false">IF(Tasks[[#This Row],[Task Name]]="","",IF(OR(TakeBaseline="Yes",N(Tasks[[#This Row],[Baseline Start]])=0),Tasks[[#This Row],[Start]],Tasks[[#This Row],[Baseline Start]]))</f>
        <v/>
      </c>
      <c r="BN64" s="62" t="str">
        <f aca="false">IF(Tasks[[#This Row],[Task Name]]="","",IF(OR(TakeBaseline="Yes",N(Tasks[[#This Row],[Baseline Finish]])=0),Tasks[[#This Row],[Finish]],Tasks[[#This Row],[Baseline Finish]]))</f>
        <v/>
      </c>
      <c r="BO64" s="21" t="str">
        <f aca="false">IF(Tasks[[#This Row],[Task Name]]="","",IF(OR(TakeBaseline="Yes",N(Tasks[[#This Row],[Baseline Duration]])=0),Tasks[[#This Row],[_SpanDays]],Tasks[[#This Row],[Baseline Duration]]))</f>
        <v/>
      </c>
      <c r="BP64" s="85" t="str">
        <f aca="false">IF(Tasks[[#This Row],[Task Name]]="","",IF(OR(TakeBaseline="Yes",N(Tasks[[#This Row],[Baseline Work]])=0),Tasks[[#This Row],[Work]],Tasks[[#This Row],[Baseline Work]]))</f>
        <v/>
      </c>
      <c r="BQ64" s="7"/>
      <c r="BR64" s="7"/>
      <c r="BS64" s="22"/>
      <c r="BT64" s="87"/>
      <c r="BU64" s="42" t="str">
        <f aca="false">IF(Tasks[[#This Row],[Task Name]]="","",MAX(1,N(Tasks[[#This Row],[Level]])))</f>
        <v/>
      </c>
      <c r="BV64" s="42" t="n">
        <f aca="false">ROW()-ROW(Tasks[[#Headers],[ID]])</f>
        <v>59</v>
      </c>
      <c r="BW64" s="42" t="n">
        <f aca="false">IF(OR(Tasks[[#This Row],[Task Name]]="",Tasks[[#This Row],[_Level]]&lt;=1),0,IFERROR(LOOKUP(2,1/(Tasks[[#Headers],[_Level]]:Tasks[[#This Row],[_Level]]=Tasks[[#This Row],[_Level]]-1),ROW(Tasks[[#Headers],[_Level]]:Tasks[[#This Row],[_Level]])),0))</f>
        <v>0</v>
      </c>
      <c r="BX64" s="42" t="n">
        <f aca="false">IFERROR(N(INDEX(Tasks[_Level],Tasks[[#This Row],[_Row]]+1)),0)</f>
        <v>0</v>
      </c>
      <c r="BY64" s="88" t="b">
        <f aca="false">AND(Tasks[[#This Row],[Task Name]]&lt;&gt;"",Tasks[[#This Row],[_NextLevel]]&gt;Tasks[[#This Row],[_Level]])</f>
        <v>0</v>
      </c>
      <c r="BZ64" s="42" t="n">
        <f aca="false">IF(Tasks[[#This Row],[_IsSummary]],COUNTIF(Tasks[WBS],Tasks[[#This Row],[WBS]]&amp;".*"),0)</f>
        <v>0</v>
      </c>
      <c r="CA64" s="42" t="n">
        <f aca="false">IF(AND(Tasks[[#This Row],[Task Name]]&lt;&gt;"",NOT(Tasks[[#This Row],[_IsSummary]])),1,0)</f>
        <v>0</v>
      </c>
      <c r="CB64" s="42" t="n">
        <f aca="false">IF(N(Tasks[[#This Row],[_Pred1UID]])=0,0,IFERROR(MATCH(Tasks[[#This Row],[_Pred1UID]],Tasks[UID],0),-1))</f>
        <v>0</v>
      </c>
      <c r="CC64" s="42" t="n">
        <f aca="false">IF(N(Tasks[[#This Row],[_Pred2UID]])=0,0,IFERROR(MATCH(Tasks[[#This Row],[_Pred2UID]],Tasks[UID],0),-1))</f>
        <v>0</v>
      </c>
      <c r="CD64" s="42" t="n">
        <f aca="false">IF(N(Tasks[[#This Row],[_Pred3UID]])=0,0,IFERROR(MATCH(Tasks[[#This Row],[_Pred3UID]],Tasks[UID],0),-1))</f>
        <v>0</v>
      </c>
      <c r="CE64" s="42" t="n">
        <f aca="false">IF(N(Tasks[[#This Row],[_Pred4UID]])=0,0,IFERROR(MATCH(Tasks[[#This Row],[_Pred4UID]],Tasks[UID],0),-1))</f>
        <v>0</v>
      </c>
      <c r="CF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4" s="89" t="n">
        <f aca="false">IF(OR(Tasks[[#This Row],[_ConstraintCode]]=2,Tasks[[#This Row],[_ConstraintCode]]=3,Tasks[[#This Row],[_ConstraintCode]]=4,Tasks[[#This Row],[_ConstraintCode]]=6),Tasks[[#This Row],[_ConstraintStart]],0)</f>
        <v>0</v>
      </c>
      <c r="CI64" s="89" t="n">
        <f aca="false">IF(OR(Tasks[[#This Row],[_ConstraintCode]]=2,Tasks[[#This Row],[_ConstraintCode]]=3,Tasks[[#This Row],[_ConstraintCode]]=5,Tasks[[#This Row],[_ConstraintCode]]=7),Tasks[[#This Row],[_ConstraintStart]],2958465)</f>
        <v>2958465</v>
      </c>
      <c r="CJ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4" s="89" t="str">
        <f aca="false">IF(NOT(Tasks[[#This Row],[_IsLeaf]]=1),"",IF(N(Tasks[[#This Row],[_Days]])&lt;=0,Tasks[[#This Row],[_LeafCalcStart]],WORKDAY.INTL(Tasks[[#This Row],[_LeafCalcStart]],Tasks[[#This Row],[_Days]]-1,WorkWeek,Holidays)))</f>
        <v/>
      </c>
      <c r="CL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4" s="42" t="str">
        <f aca="false">IF(Tasks[[#This Row],[_Predecessors]]="","",TRIM(MID(SUBSTITUTE(SUBSTITUTE(SUBSTITUTE(UPPER(Tasks[[#This Row],[_Predecessors]]),";",",")," ",""),",",REPT(" ",99)),1,99)))</f>
        <v/>
      </c>
      <c r="CO64" s="42" t="str">
        <f aca="false">IF(Tasks[[#This Row],[_Pred1Text]]="","",IFERROR(VALUE(LEFT(Tasks[[#This Row],[_Pred1Text]],MIN(FIND("F",Tasks[[#This Row],[_Pred1Text]]&amp;"F"),FIND("S",Tasks[[#This Row],[_Pred1Text]]&amp;"S"),FIND("+",Tasks[[#This Row],[_Pred1Text]]&amp;"+"),FIND("-",Tasks[[#This Row],[_Pred1Text]]&amp;"-"))-1)),""))</f>
        <v/>
      </c>
      <c r="CP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4" s="42" t="str">
        <f aca="false">IF(Tasks[[#This Row],[_Pred1Text]]="","",TRIM(MID(SUBSTITUTE(SUBSTITUTE(SUBSTITUTE(UPPER(Tasks[[#This Row],[_Predecessors]]),";",",")," ",""),",",REPT(" ",99)),100,99)))</f>
        <v/>
      </c>
      <c r="CS64" s="42" t="str">
        <f aca="false">IF(Tasks[[#This Row],[_Pred2Text]]="","",IFERROR(VALUE(LEFT(Tasks[[#This Row],[_Pred2Text]],MIN(FIND("F",Tasks[[#This Row],[_Pred2Text]]&amp;"F"),FIND("S",Tasks[[#This Row],[_Pred2Text]]&amp;"S"),FIND("+",Tasks[[#This Row],[_Pred2Text]]&amp;"+"),FIND("-",Tasks[[#This Row],[_Pred2Text]]&amp;"-"))-1)),""))</f>
        <v/>
      </c>
      <c r="CT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4" s="42" t="str">
        <f aca="false">IF(Tasks[[#This Row],[_Pred2Text]]="","",TRIM(MID(SUBSTITUTE(SUBSTITUTE(SUBSTITUTE(UPPER(Tasks[[#This Row],[_Predecessors]]),";",",")," ",""),",",REPT(" ",99)),199,99)))</f>
        <v/>
      </c>
      <c r="CW64" s="42" t="str">
        <f aca="false">IF(Tasks[[#This Row],[_Pred3Text]]="","",IFERROR(VALUE(LEFT(Tasks[[#This Row],[_Pred3Text]],MIN(FIND("F",Tasks[[#This Row],[_Pred3Text]]&amp;"F"),FIND("S",Tasks[[#This Row],[_Pred3Text]]&amp;"S"),FIND("+",Tasks[[#This Row],[_Pred3Text]]&amp;"+"),FIND("-",Tasks[[#This Row],[_Pred3Text]]&amp;"-"))-1)),""))</f>
        <v/>
      </c>
      <c r="CX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4" s="42" t="str">
        <f aca="false">IF(Tasks[[#This Row],[_Pred3Text]]="","",TRIM(MID(SUBSTITUTE(SUBSTITUTE(SUBSTITUTE(UPPER(Tasks[[#This Row],[_Predecessors]]),";",",")," ",""),",",REPT(" ",99)),298,99)))</f>
        <v/>
      </c>
      <c r="DA64" s="42" t="str">
        <f aca="false">IF(Tasks[[#This Row],[_Pred4Text]]="","",IFERROR(VALUE(LEFT(Tasks[[#This Row],[_Pred4Text]],MIN(FIND("F",Tasks[[#This Row],[_Pred4Text]]&amp;"F"),FIND("S",Tasks[[#This Row],[_Pred4Text]]&amp;"S"),FIND("+",Tasks[[#This Row],[_Pred4Text]]&amp;"+"),FIND("-",Tasks[[#This Row],[_Pred4Text]]&amp;"-"))-1)),""))</f>
        <v/>
      </c>
      <c r="DB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4" s="42" t="str">
        <f aca="false">IF(OR(Tasks[[#This Row],[Task Name]]="",Tasks[[#This Row],[_Resources]]=""),"",TRIM(MID(SUBSTITUTE(Tasks[[#This Row],[_Resources]],",",REPT(" ",99)),1,99)))</f>
        <v/>
      </c>
      <c r="DE64" s="42" t="str">
        <f aca="false">IF(Tasks[[#This Row],[_Res1Text]]="","",TRIM(MID(SUBSTITUTE(Tasks[[#This Row],[_Resources]],",",REPT(" ",99)),100,99)))</f>
        <v/>
      </c>
      <c r="DF64" s="42" t="str">
        <f aca="false">IF(Tasks[[#This Row],[_Res2Text]]="","",TRIM(MID(SUBSTITUTE(Tasks[[#This Row],[_Resources]],",",REPT(" ",99)),199,99)))</f>
        <v/>
      </c>
      <c r="DG64" s="42" t="str">
        <f aca="false">IF(Tasks[[#This Row],[_Res3Text]]="","",TRIM(MID(SUBSTITUTE(Tasks[[#This Row],[_Resources]],",",REPT(" ",99)),298,99)))</f>
        <v/>
      </c>
      <c r="DH64" s="42" t="n">
        <f aca="false">IF(Tasks[[#This Row],[_Res1Text]]="",0,IFERROR(MATCH(TRIM(LEFT(Tasks[[#This Row],[_Res1Text]],FIND("[",Tasks[[#This Row],[_Res1Text]]&amp;"[")-1)),res_Name,0),IFERROR(MATCH(TRIM(LEFT(Tasks[[#This Row],[_Res1Text]],FIND("[",Tasks[[#This Row],[_Res1Text]]&amp;"[")-1)),res_Initials,0),0)))</f>
        <v>0</v>
      </c>
      <c r="DI64" s="42" t="n">
        <f aca="false">IF(Tasks[[#This Row],[_Res2Text]]="",0,IFERROR(MATCH(TRIM(LEFT(Tasks[[#This Row],[_Res2Text]],FIND("[",Tasks[[#This Row],[_Res2Text]]&amp;"[")-1)),res_Name,0),IFERROR(MATCH(TRIM(LEFT(Tasks[[#This Row],[_Res2Text]],FIND("[",Tasks[[#This Row],[_Res2Text]]&amp;"[")-1)),res_Initials,0),0)))</f>
        <v>0</v>
      </c>
      <c r="DJ64" s="42" t="n">
        <f aca="false">IF(Tasks[[#This Row],[_Res3Text]]="",0,IFERROR(MATCH(TRIM(LEFT(Tasks[[#This Row],[_Res3Text]],FIND("[",Tasks[[#This Row],[_Res3Text]]&amp;"[")-1)),res_Name,0),IFERROR(MATCH(TRIM(LEFT(Tasks[[#This Row],[_Res3Text]],FIND("[",Tasks[[#This Row],[_Res3Text]]&amp;"[")-1)),res_Initials,0),0)))</f>
        <v>0</v>
      </c>
      <c r="DK64" s="42" t="n">
        <f aca="false">IF(Tasks[[#This Row],[_Res4Text]]="",0,IFERROR(MATCH(TRIM(LEFT(Tasks[[#This Row],[_Res4Text]],FIND("[",Tasks[[#This Row],[_Res4Text]]&amp;"[")-1)),res_Name,0),IFERROR(MATCH(TRIM(LEFT(Tasks[[#This Row],[_Res4Text]],FIND("[",Tasks[[#This Row],[_Res4Text]]&amp;"[")-1)),res_Initials,0),0)))</f>
        <v>0</v>
      </c>
      <c r="DL64" s="42" t="str">
        <f aca="false">IF(Tasks[[#This Row],[_Res1Text]]="","",IF(Tasks[[#This Row],[_Res1Row]]&gt;0,INDEX(res_Name,Tasks[[#This Row],[_Res1Row]]),TRIM(LEFT(Tasks[[#This Row],[_Res1Text]],FIND("[",Tasks[[#This Row],[_Res1Text]]&amp;"[")-1))))</f>
        <v/>
      </c>
      <c r="DM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4" s="42" t="n">
        <f aca="false">IF(NOT(Tasks[[#This Row],[_IsLeaf]]=1),0,(Tasks[[#This Row],[_Resource1]]&lt;&gt;"")+(Tasks[[#This Row],[_Res2]]&lt;&gt;"")+(Tasks[[#This Row],[_Res3]]&lt;&gt;"")+(Tasks[[#This Row],[_Res4]]&lt;&gt;""))</f>
        <v>0</v>
      </c>
      <c r="DO64" s="42" t="str">
        <f aca="false">IF(Tasks[[#This Row],[_Res2Text]]="","",IF(Tasks[[#This Row],[_Res2Row]]&gt;0,INDEX(res_Name,Tasks[[#This Row],[_Res2Row]]),TRIM(LEFT(Tasks[[#This Row],[_Res2Text]],FIND("[",Tasks[[#This Row],[_Res2Text]]&amp;"[")-1))))</f>
        <v/>
      </c>
      <c r="DP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4" s="42" t="n">
        <f aca="false">IF(OR(NOT(Tasks[[#This Row],[_IsLeaf]]=1),Tasks[[#This Row],[_Res2Row]]=0),0,N(Tasks[[#This Row],[_Days]])*HoursPerDay*IF(Tasks[[#This Row],[_Res2Units]]="",DefaultUnits,Tasks[[#This Row],[_Res2Units]]))</f>
        <v>0</v>
      </c>
      <c r="DR64" s="42" t="n">
        <f aca="false">IF(AND(AND(Tasks[[#This Row],[_IsLeaf]]=1,Tasks[[#This Row],[_LeafTotalWork]]&gt;0),Tasks[[#This Row],[_Res2Work]]&gt;0),Tasks[[#This Row],[_Res2Work]]/(Tasks[[#This Row],[_FinishWorkday]]-Tasks[[#This Row],[_StartWorkday]]+1),0)</f>
        <v>0</v>
      </c>
      <c r="DS64" s="42" t="n">
        <f aca="false">Tasks[[#This Row],[_Res2WorkPerWD]]*MAX(0,Tasks[[#This Row],[_StartWorkday]]-1)</f>
        <v>0</v>
      </c>
      <c r="DT64" s="42" t="n">
        <f aca="false">Tasks[[#This Row],[_Res2Work]]*Tasks[[#This Row],[_LeafProgress]]</f>
        <v>0</v>
      </c>
      <c r="DU64" s="42" t="str">
        <f aca="false">IF(Tasks[[#This Row],[_Res3Text]]="","",IF(Tasks[[#This Row],[_Res3Row]]&gt;0,INDEX(res_Name,Tasks[[#This Row],[_Res3Row]]),TRIM(LEFT(Tasks[[#This Row],[_Res3Text]],FIND("[",Tasks[[#This Row],[_Res3Text]]&amp;"[")-1))))</f>
        <v/>
      </c>
      <c r="DV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4" s="42" t="n">
        <f aca="false">IF(OR(NOT(Tasks[[#This Row],[_IsLeaf]]=1),Tasks[[#This Row],[_Res3Row]]=0),0,N(Tasks[[#This Row],[_Days]])*HoursPerDay*IF(Tasks[[#This Row],[_Res3Units]]="",DefaultUnits,Tasks[[#This Row],[_Res3Units]]))</f>
        <v>0</v>
      </c>
      <c r="DX64" s="42" t="n">
        <f aca="false">IF(AND(AND(Tasks[[#This Row],[_IsLeaf]]=1,Tasks[[#This Row],[_LeafTotalWork]]&gt;0),Tasks[[#This Row],[_Res3Work]]&gt;0),Tasks[[#This Row],[_Res3Work]]/(Tasks[[#This Row],[_FinishWorkday]]-Tasks[[#This Row],[_StartWorkday]]+1),0)</f>
        <v>0</v>
      </c>
      <c r="DY64" s="42" t="n">
        <f aca="false">Tasks[[#This Row],[_Res3WorkPerWD]]*MAX(0,Tasks[[#This Row],[_StartWorkday]]-1)</f>
        <v>0</v>
      </c>
      <c r="DZ64" s="42" t="n">
        <f aca="false">Tasks[[#This Row],[_Res3Work]]*Tasks[[#This Row],[_LeafProgress]]</f>
        <v>0</v>
      </c>
      <c r="EA64" s="42" t="str">
        <f aca="false">IF(Tasks[[#This Row],[_Res4Text]]="","",IF(Tasks[[#This Row],[_Res4Row]]&gt;0,INDEX(res_Name,Tasks[[#This Row],[_Res4Row]]),TRIM(LEFT(Tasks[[#This Row],[_Res4Text]],FIND("[",Tasks[[#This Row],[_Res4Text]]&amp;"[")-1))))</f>
        <v/>
      </c>
      <c r="EB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4" s="42" t="n">
        <f aca="false">IF(OR(NOT(Tasks[[#This Row],[_IsLeaf]]=1),Tasks[[#This Row],[_Res4Row]]=0),0,N(Tasks[[#This Row],[_Days]])*HoursPerDay*IF(Tasks[[#This Row],[_Res4Units]]="",DefaultUnits,Tasks[[#This Row],[_Res4Units]]))</f>
        <v>0</v>
      </c>
      <c r="ED64" s="42" t="n">
        <f aca="false">IF(AND(AND(Tasks[[#This Row],[_IsLeaf]]=1,Tasks[[#This Row],[_LeafTotalWork]]&gt;0),Tasks[[#This Row],[_Res4Work]]&gt;0),Tasks[[#This Row],[_Res4Work]]/(Tasks[[#This Row],[_FinishWorkday]]-Tasks[[#This Row],[_StartWorkday]]+1),0)</f>
        <v>0</v>
      </c>
      <c r="EE64" s="42" t="n">
        <f aca="false">Tasks[[#This Row],[_Res4WorkPerWD]]*MAX(0,Tasks[[#This Row],[_StartWorkday]]-1)</f>
        <v>0</v>
      </c>
      <c r="EF64" s="42" t="n">
        <f aca="false">Tasks[[#This Row],[_Res4Work]]*Tasks[[#This Row],[_LeafProgress]]</f>
        <v>0</v>
      </c>
      <c r="EG64" s="42" t="n">
        <f aca="false">IF(ISNUMBER(Tasks[[#This Row],[% Complete]]),Tasks[[#This Row],[% Complete]],IF(Tasks[[#This Row],[Stage]]="",0,IFERROR(INDEX(stg_Pct,MATCH(Tasks[[#This Row],[Stage]],stg_Name,0)),0)))</f>
        <v>0</v>
      </c>
      <c r="EH64" s="42" t="n">
        <f aca="false">IF(NOT(Tasks[[#This Row],[_IsLeaf]]=1),0,IF(N(Tasks[[#This Row],[Actual Finish]])&gt;0,1,MIN(1,Tasks[[#This Row],[_Pct]])))</f>
        <v>0</v>
      </c>
      <c r="EI64" s="42" t="n">
        <f aca="false">IF(OR(NOT(Tasks[[#This Row],[_IsLeaf]]=1),Tasks[[#This Row],[_Res1Row]]=0),0,N(Tasks[[#This Row],[_Days]])*HoursPerDay*IF(Tasks[[#This Row],[_Units1]]="",DefaultUnits,Tasks[[#This Row],[_Units1]]))</f>
        <v>0</v>
      </c>
      <c r="EJ64" s="42" t="n">
        <f aca="false">Tasks[[#This Row],[_LeafWork]]+Tasks[[#This Row],[_Res2Work]]+Tasks[[#This Row],[_Res3Work]]+Tasks[[#This Row],[_Res4Work]]</f>
        <v>0</v>
      </c>
      <c r="EK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4" s="42" t="n">
        <f aca="false">IF(NOT(Tasks[[#This Row],[_IsLeaf]]=1),0,MAX(_xlfn.MAXIFS(Tasks[_Row],Tasks[_Pred1UID],Tasks[[#This Row],[UID]]),_xlfn.MAXIFS(Tasks[_Row],Tasks[_Pred2UID],Tasks[[#This Row],[UID]]),_xlfn.MAXIFS(Tasks[_Row],Tasks[_Pred3UID],Tasks[[#This Row],[UID]]),_xlfn.MAXIFS(Tasks[_Row],Tasks[_Pred4UID],Tasks[[#This Row],[UID]])))</f>
        <v>0</v>
      </c>
      <c r="ET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4" s="89" t="str">
        <f aca="false">IF(NOT(Tasks[[#This Row],[_IsLeaf]]=1),"",IF(N(Tasks[[#This Row],[_Days]])&lt;=0,Tasks[[#This Row],[_LeafLateFinish]],WORKDAY.INTL(Tasks[[#This Row],[_LeafLateFinish]],-(Tasks[[#This Row],[_Days]]-1),WorkWeek,Holidays)))</f>
        <v/>
      </c>
      <c r="EW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4" s="88" t="b">
        <f aca="false">AND(Tasks[[#This Row],[_IsLeaf]]=1,Tasks[[#This Row],[_LeafProgress]]&lt;1,N(Tasks[[#This Row],[_LeafTotalSlack]])&lt;=CriticalSlackDays)</f>
        <v>0</v>
      </c>
      <c r="EY64" s="42" t="n">
        <f aca="false">IF(AND(Tasks[[#This Row],[_IsLeaf]]=1,Tasks[[#This Row],[_ConstraintCode]]=1,Tasks[[#This Row],[Mode]]&lt;&gt;"Manual",N(Tasks[[#This Row],[Actual Start]])=0),MAX(0,N(Tasks[[#This Row],[Free Slack]])),0)</f>
        <v>0</v>
      </c>
      <c r="EZ64" s="89" t="str">
        <f aca="false">IF(NOT(Tasks[[#This Row],[_IsLeaf]]=1),"",IF(Tasks[[#This Row],[_AlapShift]]=0,Tasks[[#This Row],[_LeafCalcStart]],WORKDAY.INTL(Tasks[[#This Row],[_LeafCalcStart]],Tasks[[#This Row],[_AlapShift]],WorkWeek,Holidays)))</f>
        <v/>
      </c>
      <c r="FA64" s="89" t="str">
        <f aca="false">IF(NOT(Tasks[[#This Row],[_IsLeaf]]=1),"",IF(Tasks[[#This Row],[_AlapShift]]=0,Tasks[[#This Row],[_LeafCalcFinish]],WORKDAY.INTL(Tasks[[#This Row],[_LeafCalcFinish]],Tasks[[#This Row],[_AlapShift]],WorkWeek,Holidays)))</f>
        <v/>
      </c>
      <c r="FB64" s="89" t="str">
        <f aca="false">IF(NOT(Tasks[[#This Row],[_IsLeaf]]=1),"",IF(Tasks[[#This Row],[_AlapShift]]=0,Tasks[[#This Row],[_LeafFcstStart]],WORKDAY.INTL(Tasks[[#This Row],[_LeafFcstStart]],Tasks[[#This Row],[_AlapShift]],WorkWeek,Holidays)))</f>
        <v/>
      </c>
      <c r="FC64" s="89" t="str">
        <f aca="false">IF(NOT(Tasks[[#This Row],[_IsLeaf]]=1),"",IF(Tasks[[#This Row],[_AlapShift]]=0,Tasks[[#This Row],[_LeafFcstFinish]],WORKDAY.INTL(Tasks[[#This Row],[_LeafFcstFinish]],Tasks[[#This Row],[_AlapShift]],WorkWeek,Holidays)))</f>
        <v/>
      </c>
      <c r="FD64" s="89" t="str">
        <f aca="false">IF(Tasks[[#This Row],[Task Name]]="","",IF(Tasks[[#This Row],[_IsSummary]],MIN(INDEX(Tasks[_ShownCalcStart],Tasks[[#This Row],[_Row]]+1):INDEX(Tasks[_ShownCalcStart],Tasks[[#This Row],[_Row]]+Tasks[[#This Row],[_Descendants]])),Tasks[[#This Row],[_ShownCalcStart]]))</f>
        <v/>
      </c>
      <c r="FE64" s="89" t="str">
        <f aca="false">IF(Tasks[[#This Row],[Task Name]]="","",IF(Tasks[[#This Row],[_IsSummary]],MAX(INDEX(Tasks[_ShownCalcFinish],Tasks[[#This Row],[_Row]]+1):INDEX(Tasks[_ShownCalcFinish],Tasks[[#This Row],[_Row]]+Tasks[[#This Row],[_Descendants]])),Tasks[[#This Row],[_ShownCalcFinish]]))</f>
        <v/>
      </c>
      <c r="FF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4" s="42" t="n">
        <f aca="false">IF(AND(Tasks[[#This Row],[_IsLeaf]]=1,Tasks[[#This Row],[_LeafTotalWork]]&gt;0),NETWORKDAYS.INTL(ProjectStart,Tasks[[#This Row],[_ShownFcstStart]],WorkWeek,Holidays),0)</f>
        <v>0</v>
      </c>
      <c r="FS64" s="42" t="n">
        <f aca="false">IF(AND(Tasks[[#This Row],[_IsLeaf]]=1,Tasks[[#This Row],[_LeafTotalWork]]&gt;0),MAX(Tasks[[#This Row],[_StartWorkday]],NETWORKDAYS.INTL(ProjectStart,Tasks[[#This Row],[_ShownFcstFinish]],WorkWeek,Holidays)),0)</f>
        <v>0</v>
      </c>
      <c r="FT64" s="42" t="n">
        <f aca="false">IF(AND(Tasks[[#This Row],[_IsLeaf]]=1,Tasks[[#This Row],[_LeafTotalWork]]&gt;0),Tasks[[#This Row],[_LeafWork]]/(Tasks[[#This Row],[_FinishWorkday]]-Tasks[[#This Row],[_StartWorkday]]+1),0)</f>
        <v>0</v>
      </c>
      <c r="FU64" s="42" t="n">
        <f aca="false">Tasks[[#This Row],[_WorkPerWorkday]]*(Tasks[[#This Row],[_StartWorkday]]-1)</f>
        <v>-0</v>
      </c>
      <c r="FV64" s="42" t="n">
        <f aca="false">IF(Tasks[[#This Row],[_IsLeaf]]=1,MAX(N(Tasks[[#This Row],[_Days]]),0.1),0)</f>
        <v>0</v>
      </c>
      <c r="FW64" s="42" t="n">
        <f aca="false">Tasks[[#This Row],[_WeightDur]]*Tasks[[#This Row],[_LeafProgress]]</f>
        <v>0</v>
      </c>
      <c r="FX64" s="42" t="n">
        <f aca="false">Tasks[[#This Row],[_WeightDur]]*Tasks[[#This Row],[_PlannedPct]]</f>
        <v>0</v>
      </c>
      <c r="FY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4" s="42" t="str">
        <f aca="false">IF(AND(Tasks[[#This Row],[_IsLeaf]]=1,N(Tasks[[#This Row],[_Days]])=0,Tasks[[#This Row],[_LeafProgress]]&lt;1),Tasks[[#This Row],[_ShownFcstFinish]]+Tasks[[#This Row],[_Row]]/100000,"")</f>
        <v/>
      </c>
      <c r="GA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4" s="42" t="str">
        <f aca="false">IF(Tasks[[#This Row],[Task Name]]="","",LEFT(Tasks[[#This Row],[WBS]],FIND(".",Tasks[[#This Row],[WBS]]&amp;".")-1))</f>
        <v/>
      </c>
      <c r="GC64" s="42" t="str">
        <f aca="false">IF(AND(Tasks[[#This Row],[Task Name]]&lt;&gt;"",Tasks[[#This Row],[_Level]]=1),Tasks[[#This Row],[_Row]],"")</f>
        <v/>
      </c>
      <c r="GD64" s="42" t="str">
        <f aca="false">IF(AND(Tasks[[#This Row],[_IsLeaf]]=1,N(Tasks[[#This Row],[_Days]])=0),Tasks[[#This Row],[Planned Finish]]+Tasks[[#This Row],[_Row]]/100000,"")</f>
        <v/>
      </c>
      <c r="GE64" s="42" t="str">
        <f aca="false">IF(AND(Tasks[[#This Row],[_IsLeaf]]=1,Tasks[[#This Row],[_LeafProgress]]&lt;1,OR(N(Tasks[[#This Row],[Finish Var]])&gt;0,Tasks[[#This Row],[Status]]="Late Start")),MAX(0,Tasks[[#This Row],[Finish Var]])+1-Tasks[[#This Row],[_Row]]/1000000,"")</f>
        <v/>
      </c>
      <c r="GF64" s="42" t="str">
        <f aca="false">IF(AND(Tasks[[#This Row],[_IsLeaf]]=1,N(Tasks[[#This Row],[Actual Start]])=0,Tasks[[#This Row],[_ShownFcstStart]]&gt;=StatusDate,Tasks[[#This Row],[_ShownFcstStart]]&lt;=LookaheadEnd),Tasks[[#This Row],[_ShownFcstStart]]+Tasks[[#This Row],[_Row]]/100000,"")</f>
        <v/>
      </c>
      <c r="GG64" s="42" t="str">
        <f aca="false">IF(AND(Tasks[[#This Row],[_IsLeaf]]=1,Tasks[[#This Row],[_LeafProgress]]&lt;1,Tasks[[#This Row],[_ShownFcstFinish]]&gt;=StatusDate,Tasks[[#This Row],[_ShownFcstFinish]]&lt;=LookaheadEnd),Tasks[[#This Row],[_ShownFcstFinish]]+Tasks[[#This Row],[_Row]]/100000,"")</f>
        <v/>
      </c>
      <c r="GH64" s="42" t="str">
        <f aca="false">IF(Tasks[[#This Row],[_LeafCritical]],Tasks[[#This Row],[_ShownFcstStart]]+Tasks[[#This Row],[_Row]]/100000,"")</f>
        <v/>
      </c>
      <c r="GI64" s="42" t="n">
        <f aca="false">Tasks[[#This Row],[_LeafWork]]*Tasks[[#This Row],[_LeafProgress]]</f>
        <v>0</v>
      </c>
      <c r="GJ64" s="89" t="str">
        <f aca="false">IF(AND(Tasks[[#This Row],[_IsLeaf]]=1,Tasks[[#This Row],[_LeafProgress]]&gt;=1),IF(N(Tasks[[#This Row],[Actual Finish]])&gt;0,Tasks[[#This Row],[Actual Finish]],Tasks[[#This Row],[_ShownFcstFinish]]),"")</f>
        <v/>
      </c>
      <c r="GK64" s="42" t="n">
        <f aca="false">IF(Tasks[[#This Row],[_IsLeaf]]=1,N(Tasks[[#This Row],[Story Points]]),0)</f>
        <v>0</v>
      </c>
      <c r="GL64" s="42" t="str">
        <f aca="false">""</f>
        <v/>
      </c>
      <c r="GM64" s="88" t="b">
        <f aca="false">IF(Tasks[[#This Row],[Task Name]]="",FALSE(),AND(Tasks[[#This Row],[_IsLeaf]]=1,N(Tasks[[#This Row],[_Days]])=0))</f>
        <v>0</v>
      </c>
      <c r="GN64" s="89" t="n">
        <f aca="false">IF(Tasks[[#This Row],[Task Name]]="",0,IF(AND(Tasks[[#This Row],[_IsLeaf]]=1,NOT(Tasks[[#This Row],[_IsMilestone]]),N(Tasks[[#This Row],[Progress]])&gt;0),Tasks[[#This Row],[Start]],0))</f>
        <v>0</v>
      </c>
      <c r="GO64" s="89" t="n">
        <f aca="false">IF(Tasks[[#This Row],[_DoneFrom]]=0,0,IF(Tasks[[#This Row],[Progress]]&gt;=1,Tasks[[#This Row],[Finish]],MAX(Tasks[[#This Row],[_DoneFrom]],Tasks[[#This Row],[Start]]+ROUND((Tasks[[#This Row],[Finish]]-Tasks[[#This Row],[Start]]+1)*Tasks[[#This Row],[Progress]],0)-1)))</f>
        <v>0</v>
      </c>
      <c r="GP64" s="89" t="n">
        <f aca="false">IF(Tasks[[#This Row],[Task Name]]="",0,IF(OR(NOT(Tasks[[#This Row],[_IsLeaf]]=1),Tasks[[#This Row],[_IsMilestone]],N(Tasks[[#This Row],[Progress]])&gt;=1),0,IF(Tasks[[#This Row],[_DoneTo]]&gt;0,Tasks[[#This Row],[_DoneTo]]+1,Tasks[[#This Row],[Start]])))</f>
        <v>0</v>
      </c>
      <c r="GQ64" s="89" t="n">
        <f aca="false">IF(Tasks[[#This Row],[_RemFrom]]=0,0,Tasks[[#This Row],[Finish]])</f>
        <v>0</v>
      </c>
      <c r="GR64" s="88" t="b">
        <f aca="false">IF(Tasks[[#This Row],[Task Name]]="",FALSE(),OR(NOT(BaselineSet),N(Tasks[[#This Row],[Baseline Start]])&gt;0))</f>
        <v>0</v>
      </c>
      <c r="GS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4" s="90" t="str">
        <f aca="false">IF(Tasks[[#This Row],[_IsLeaf]]=1,Tasks[[#This Row],[_Row]],"")</f>
        <v/>
      </c>
      <c r="GW64" s="90" t="str">
        <f aca="false">IFERROR(INDEX(Tasks[UID],SMALL(Tasks[_PickKey],Tasks[[#This Row],[_Row]]))&amp;" "&amp;INDEX(Tasks[Task Name],SMALL(Tasks[_PickKey],Tasks[[#This Row],[_Row]])),"")</f>
        <v/>
      </c>
      <c r="GX64" s="42" t="str">
        <f aca="false">IF(Tasks[[#This Row],[Task Name]]="","",IF(Tasks[[#This Row],[_IsSummary]],NETWORKDAYS.INTL(Tasks[[#This Row],[Start]],Tasks[[#This Row],[Finish]],WorkWeek,Holidays),N(Tasks[[#This Row],[_Days]])))</f>
        <v/>
      </c>
    </row>
    <row r="65" customFormat="false" ht="15" hidden="false" customHeight="false" outlineLevel="0" collapsed="false">
      <c r="A65" s="21" t="str">
        <f aca="false">IF(Tasks[[#This Row],[Task Name]]="","",COUNTA(Tasks[[#Headers],[Task Name]]:Tasks[[#This Row],[Task Name]])-1)</f>
        <v/>
      </c>
      <c r="B65" s="22" t="n">
        <v>73</v>
      </c>
      <c r="C65" s="22"/>
      <c r="D65" s="23"/>
      <c r="E65" s="22"/>
      <c r="F65" s="23"/>
      <c r="G65" s="22"/>
      <c r="H65" s="22"/>
      <c r="I65" s="23"/>
      <c r="J65" s="22"/>
      <c r="K65" s="22"/>
      <c r="L65" s="23"/>
      <c r="M65" s="22"/>
      <c r="N65" s="22"/>
      <c r="O65" s="23"/>
      <c r="P65" s="22"/>
      <c r="Q65" s="22"/>
      <c r="R65" s="23"/>
      <c r="S65" s="23"/>
      <c r="T65" s="83"/>
      <c r="U65" s="23"/>
      <c r="V65" s="83"/>
      <c r="W65" s="23"/>
      <c r="X65" s="83"/>
      <c r="Y65" s="23"/>
      <c r="Z65" s="83"/>
      <c r="AA65" s="23"/>
      <c r="AB65" s="23"/>
      <c r="AC65" s="7"/>
      <c r="AD65" s="7"/>
      <c r="AE65" s="62" t="str">
        <f aca="false">IF(Tasks[[#This Row],[Task Name]]="","",IF(Tasks[[#This Row],[_IsSummary]],MIN(INDEX(Tasks[_ShownFcstStart],Tasks[[#This Row],[_Row]]+1):INDEX(Tasks[_ShownFcstStart],Tasks[[#This Row],[_Row]]+Tasks[[#This Row],[_Descendants]])),Tasks[[#This Row],[_ShownFcstStart]]))</f>
        <v/>
      </c>
      <c r="AF65" s="62" t="str">
        <f aca="false">IF(Tasks[[#This Row],[Task Name]]="","",IF(Tasks[[#This Row],[_IsSummary]],MAX(INDEX(Tasks[_ShownFcstFinish],Tasks[[#This Row],[_Row]]+1):INDEX(Tasks[_ShownFcstFinish],Tasks[[#This Row],[_Row]]+Tasks[[#This Row],[_Descendants]])),Tasks[[#This Row],[_ShownFcstFinish]]))</f>
        <v/>
      </c>
      <c r="AG65" s="21" t="str">
        <f aca="false">""</f>
        <v/>
      </c>
      <c r="AH65" s="23"/>
      <c r="AI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5" s="7"/>
      <c r="AK65" s="22"/>
      <c r="AL65" s="23"/>
      <c r="AM65" s="7"/>
      <c r="AN65" s="46" t="str">
        <f aca="false">IF(Tasks[[#This Row],[Task Name]]="","",IF(Tasks[[#This Row],[Finish]]&gt;=Tasks[[#This Row],[Planned Finish]],NETWORKDAYS.INTL(Tasks[[#This Row],[Planned Finish]],Tasks[[#This Row],[Finish]],WorkWeek,Holidays)-1,1-NETWORKDAYS.INTL(Tasks[[#This Row],[Finish]],Tasks[[#This Row],[Planned Finish]],WorkWeek,Holidays)))</f>
        <v/>
      </c>
      <c r="AO65" s="21" t="str">
        <f aca="false">IF(Tasks[[#This Row],[Task Name]]="","",IF(Tasks[[#This Row],[Progress]]&gt;=1,"Complete",IF(OR(N(Tasks[[#This Row],[Actual Start]])&gt;0,Tasks[[#This Row],[Progress]]&gt;0),IF(Tasks[[#This Row],[Finish Var]]&gt;0,"Behind","In Progress"),IF(Tasks[[#This Row],[Planned Start]]&lt;StatusDate,"Late Start","Not Started"))))</f>
        <v/>
      </c>
      <c r="AP65" s="21" t="str">
        <f aca="false">IF(Tasks[[#This Row],[Task Name]]="","",IF(IF(Tasks[[#This Row],[_IsSummary]],COUNTIF(INDEX(Tasks[_LeafCritical],Tasks[[#This Row],[_Row]]+1):INDEX(Tasks[_LeafCritical],Tasks[[#This Row],[_Row]]+Tasks[[#This Row],[_Descendants]]),TRUE())&gt;0,Tasks[[#This Row],[_LeafCritical]]),"Yes",""))</f>
        <v/>
      </c>
      <c r="AQ65" s="62" t="str">
        <f aca="false">IF(Tasks[[#This Row],[Task Name]]="","",IF(N(Tasks[[#This Row],[Baseline Start]])&gt;0,Tasks[[#This Row],[Baseline Start]],Tasks[[#This Row],[_CalcStart]]))</f>
        <v/>
      </c>
      <c r="AR65" s="62" t="str">
        <f aca="false">IF(Tasks[[#This Row],[Task Name]]="","",IF(N(Tasks[[#This Row],[Baseline Finish]])&gt;0,Tasks[[#This Row],[Baseline Finish]],Tasks[[#This Row],[_CalcFinish]]))</f>
        <v/>
      </c>
      <c r="AS65" s="46" t="str">
        <f aca="false">IF(Tasks[[#This Row],[Task Name]]="","",IF(Tasks[[#This Row],[Start]]&gt;=Tasks[[#This Row],[Planned Start]],NETWORKDAYS.INTL(Tasks[[#This Row],[Planned Start]],Tasks[[#This Row],[Start]],WorkWeek,Holidays)-1,1-NETWORKDAYS.INTL(Tasks[[#This Row],[Start]],Tasks[[#This Row],[Planned Start]],WorkWeek,Holidays)))</f>
        <v/>
      </c>
      <c r="AT65" s="62" t="str">
        <f aca="false">IF(Tasks[[#This Row],[Task Name]]="","",IF(Tasks[[#This Row],[_IsSummary]],MIN(INDEX(Tasks[_LeafLateStart],Tasks[[#This Row],[_Row]]+1):INDEX(Tasks[_LeafLateStart],Tasks[[#This Row],[_Row]]+Tasks[[#This Row],[_Descendants]])),Tasks[[#This Row],[_LeafLateStart]]))</f>
        <v/>
      </c>
      <c r="AU65" s="62" t="str">
        <f aca="false">IF(Tasks[[#This Row],[Task Name]]="","",IF(Tasks[[#This Row],[_IsSummary]],MAX(INDEX(Tasks[_LeafLateFinish],Tasks[[#This Row],[_Row]]+1):INDEX(Tasks[_LeafLateFinish],Tasks[[#This Row],[_Row]]+Tasks[[#This Row],[_Descendants]])),Tasks[[#This Row],[_LeafLateFinish]]))</f>
        <v/>
      </c>
      <c r="AV65" s="46" t="str">
        <f aca="false">IF(Tasks[[#This Row],[Task Name]]="","",IF(Tasks[[#This Row],[_IsSummary]],MIN(INDEX(Tasks[_LeafTotalSlack],Tasks[[#This Row],[_Row]]+1):INDEX(Tasks[_LeafTotalSlack],Tasks[[#This Row],[_Row]]+Tasks[[#This Row],[_Descendants]])),Tasks[[#This Row],[_LeafTotalSlack]]))</f>
        <v/>
      </c>
      <c r="AW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4"/>
      <c r="BA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t="str">
        <f aca="false">IF(Tasks[[#This Row],[Task Name]]="","",IF(Tasks[[#This Row],[_Level]]&lt;=OutlineShowLevel,"Yes","No"))</f>
        <v/>
      </c>
      <c r="BE65" s="85" t="str">
        <f aca="false">IF(Tasks[[#This Row],[Task Name]]="","",IF(Tasks[[#This Row],[_IsSummary]],SUM(INDEX(Tasks[_LeafTotalWork],Tasks[[#This Row],[_Row]]+1):INDEX(Tasks[_LeafTotalWork],Tasks[[#This Row],[_Row]]+Tasks[[#This Row],[_Descendants]])),Tasks[[#This Row],[_LeafTotalWork]]))</f>
        <v/>
      </c>
      <c r="BF65" s="23"/>
      <c r="BG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t="str">
        <f aca="false">""</f>
        <v/>
      </c>
      <c r="BI65" s="86"/>
      <c r="BJ65" s="22"/>
      <c r="BK65" s="46" t="str">
        <f aca="false">IF(OR(Tasks[[#This Row],[Task Name]]="",Tasks[[#This Row],[Baseline Duration]]=""),"",Tasks[[#This Row],[_SpanDays]]-N(Tasks[[#This Row],[Baseline Duration]]))</f>
        <v/>
      </c>
      <c r="BL65" s="85" t="str">
        <f aca="false">IF(OR(Tasks[[#This Row],[Task Name]]="",Tasks[[#This Row],[Baseline Work]]=""),"",Tasks[[#This Row],[Work]]-N(Tasks[[#This Row],[Baseline Work]]))</f>
        <v/>
      </c>
      <c r="BM65" s="62" t="str">
        <f aca="false">IF(Tasks[[#This Row],[Task Name]]="","",IF(OR(TakeBaseline="Yes",N(Tasks[[#This Row],[Baseline Start]])=0),Tasks[[#This Row],[Start]],Tasks[[#This Row],[Baseline Start]]))</f>
        <v/>
      </c>
      <c r="BN65" s="62" t="str">
        <f aca="false">IF(Tasks[[#This Row],[Task Name]]="","",IF(OR(TakeBaseline="Yes",N(Tasks[[#This Row],[Baseline Finish]])=0),Tasks[[#This Row],[Finish]],Tasks[[#This Row],[Baseline Finish]]))</f>
        <v/>
      </c>
      <c r="BO65" s="21" t="str">
        <f aca="false">IF(Tasks[[#This Row],[Task Name]]="","",IF(OR(TakeBaseline="Yes",N(Tasks[[#This Row],[Baseline Duration]])=0),Tasks[[#This Row],[_SpanDays]],Tasks[[#This Row],[Baseline Duration]]))</f>
        <v/>
      </c>
      <c r="BP65" s="85" t="str">
        <f aca="false">IF(Tasks[[#This Row],[Task Name]]="","",IF(OR(TakeBaseline="Yes",N(Tasks[[#This Row],[Baseline Work]])=0),Tasks[[#This Row],[Work]],Tasks[[#This Row],[Baseline Work]]))</f>
        <v/>
      </c>
      <c r="BQ65" s="7"/>
      <c r="BR65" s="7"/>
      <c r="BS65" s="22"/>
      <c r="BT65" s="87"/>
      <c r="BU65" s="42" t="str">
        <f aca="false">IF(Tasks[[#This Row],[Task Name]]="","",MAX(1,N(Tasks[[#This Row],[Level]])))</f>
        <v/>
      </c>
      <c r="BV65" s="42" t="n">
        <f aca="false">ROW()-ROW(Tasks[[#Headers],[ID]])</f>
        <v>60</v>
      </c>
      <c r="BW65" s="42" t="n">
        <f aca="false">IF(OR(Tasks[[#This Row],[Task Name]]="",Tasks[[#This Row],[_Level]]&lt;=1),0,IFERROR(LOOKUP(2,1/(Tasks[[#Headers],[_Level]]:Tasks[[#This Row],[_Level]]=Tasks[[#This Row],[_Level]]-1),ROW(Tasks[[#Headers],[_Level]]:Tasks[[#This Row],[_Level]])),0))</f>
        <v>0</v>
      </c>
      <c r="BX65" s="42" t="n">
        <f aca="false">IFERROR(N(INDEX(Tasks[_Level],Tasks[[#This Row],[_Row]]+1)),0)</f>
        <v>0</v>
      </c>
      <c r="BY65" s="88" t="b">
        <f aca="false">AND(Tasks[[#This Row],[Task Name]]&lt;&gt;"",Tasks[[#This Row],[_NextLevel]]&gt;Tasks[[#This Row],[_Level]])</f>
        <v>0</v>
      </c>
      <c r="BZ65" s="42" t="n">
        <f aca="false">IF(Tasks[[#This Row],[_IsSummary]],COUNTIF(Tasks[WBS],Tasks[[#This Row],[WBS]]&amp;".*"),0)</f>
        <v>0</v>
      </c>
      <c r="CA65" s="42" t="n">
        <f aca="false">IF(AND(Tasks[[#This Row],[Task Name]]&lt;&gt;"",NOT(Tasks[[#This Row],[_IsSummary]])),1,0)</f>
        <v>0</v>
      </c>
      <c r="CB65" s="42" t="n">
        <f aca="false">IF(N(Tasks[[#This Row],[_Pred1UID]])=0,0,IFERROR(MATCH(Tasks[[#This Row],[_Pred1UID]],Tasks[UID],0),-1))</f>
        <v>0</v>
      </c>
      <c r="CC65" s="42" t="n">
        <f aca="false">IF(N(Tasks[[#This Row],[_Pred2UID]])=0,0,IFERROR(MATCH(Tasks[[#This Row],[_Pred2UID]],Tasks[UID],0),-1))</f>
        <v>0</v>
      </c>
      <c r="CD65" s="42" t="n">
        <f aca="false">IF(N(Tasks[[#This Row],[_Pred3UID]])=0,0,IFERROR(MATCH(Tasks[[#This Row],[_Pred3UID]],Tasks[UID],0),-1))</f>
        <v>0</v>
      </c>
      <c r="CE65" s="42" t="n">
        <f aca="false">IF(N(Tasks[[#This Row],[_Pred4UID]])=0,0,IFERROR(MATCH(Tasks[[#This Row],[_Pred4UID]],Tasks[UID],0),-1))</f>
        <v>0</v>
      </c>
      <c r="CF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5" s="89" t="n">
        <f aca="false">IF(OR(Tasks[[#This Row],[_ConstraintCode]]=2,Tasks[[#This Row],[_ConstraintCode]]=3,Tasks[[#This Row],[_ConstraintCode]]=4,Tasks[[#This Row],[_ConstraintCode]]=6),Tasks[[#This Row],[_ConstraintStart]],0)</f>
        <v>0</v>
      </c>
      <c r="CI65" s="89" t="n">
        <f aca="false">IF(OR(Tasks[[#This Row],[_ConstraintCode]]=2,Tasks[[#This Row],[_ConstraintCode]]=3,Tasks[[#This Row],[_ConstraintCode]]=5,Tasks[[#This Row],[_ConstraintCode]]=7),Tasks[[#This Row],[_ConstraintStart]],2958465)</f>
        <v>2958465</v>
      </c>
      <c r="CJ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5" s="89" t="str">
        <f aca="false">IF(NOT(Tasks[[#This Row],[_IsLeaf]]=1),"",IF(N(Tasks[[#This Row],[_Days]])&lt;=0,Tasks[[#This Row],[_LeafCalcStart]],WORKDAY.INTL(Tasks[[#This Row],[_LeafCalcStart]],Tasks[[#This Row],[_Days]]-1,WorkWeek,Holidays)))</f>
        <v/>
      </c>
      <c r="CL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5" s="42" t="str">
        <f aca="false">IF(Tasks[[#This Row],[_Predecessors]]="","",TRIM(MID(SUBSTITUTE(SUBSTITUTE(SUBSTITUTE(UPPER(Tasks[[#This Row],[_Predecessors]]),";",",")," ",""),",",REPT(" ",99)),1,99)))</f>
        <v/>
      </c>
      <c r="CO65" s="42" t="str">
        <f aca="false">IF(Tasks[[#This Row],[_Pred1Text]]="","",IFERROR(VALUE(LEFT(Tasks[[#This Row],[_Pred1Text]],MIN(FIND("F",Tasks[[#This Row],[_Pred1Text]]&amp;"F"),FIND("S",Tasks[[#This Row],[_Pred1Text]]&amp;"S"),FIND("+",Tasks[[#This Row],[_Pred1Text]]&amp;"+"),FIND("-",Tasks[[#This Row],[_Pred1Text]]&amp;"-"))-1)),""))</f>
        <v/>
      </c>
      <c r="CP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5" s="42" t="str">
        <f aca="false">IF(Tasks[[#This Row],[_Pred1Text]]="","",TRIM(MID(SUBSTITUTE(SUBSTITUTE(SUBSTITUTE(UPPER(Tasks[[#This Row],[_Predecessors]]),";",",")," ",""),",",REPT(" ",99)),100,99)))</f>
        <v/>
      </c>
      <c r="CS65" s="42" t="str">
        <f aca="false">IF(Tasks[[#This Row],[_Pred2Text]]="","",IFERROR(VALUE(LEFT(Tasks[[#This Row],[_Pred2Text]],MIN(FIND("F",Tasks[[#This Row],[_Pred2Text]]&amp;"F"),FIND("S",Tasks[[#This Row],[_Pred2Text]]&amp;"S"),FIND("+",Tasks[[#This Row],[_Pred2Text]]&amp;"+"),FIND("-",Tasks[[#This Row],[_Pred2Text]]&amp;"-"))-1)),""))</f>
        <v/>
      </c>
      <c r="CT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5" s="42" t="str">
        <f aca="false">IF(Tasks[[#This Row],[_Pred2Text]]="","",TRIM(MID(SUBSTITUTE(SUBSTITUTE(SUBSTITUTE(UPPER(Tasks[[#This Row],[_Predecessors]]),";",",")," ",""),",",REPT(" ",99)),199,99)))</f>
        <v/>
      </c>
      <c r="CW65" s="42" t="str">
        <f aca="false">IF(Tasks[[#This Row],[_Pred3Text]]="","",IFERROR(VALUE(LEFT(Tasks[[#This Row],[_Pred3Text]],MIN(FIND("F",Tasks[[#This Row],[_Pred3Text]]&amp;"F"),FIND("S",Tasks[[#This Row],[_Pred3Text]]&amp;"S"),FIND("+",Tasks[[#This Row],[_Pred3Text]]&amp;"+"),FIND("-",Tasks[[#This Row],[_Pred3Text]]&amp;"-"))-1)),""))</f>
        <v/>
      </c>
      <c r="CX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5" s="42" t="str">
        <f aca="false">IF(Tasks[[#This Row],[_Pred3Text]]="","",TRIM(MID(SUBSTITUTE(SUBSTITUTE(SUBSTITUTE(UPPER(Tasks[[#This Row],[_Predecessors]]),";",",")," ",""),",",REPT(" ",99)),298,99)))</f>
        <v/>
      </c>
      <c r="DA65" s="42" t="str">
        <f aca="false">IF(Tasks[[#This Row],[_Pred4Text]]="","",IFERROR(VALUE(LEFT(Tasks[[#This Row],[_Pred4Text]],MIN(FIND("F",Tasks[[#This Row],[_Pred4Text]]&amp;"F"),FIND("S",Tasks[[#This Row],[_Pred4Text]]&amp;"S"),FIND("+",Tasks[[#This Row],[_Pred4Text]]&amp;"+"),FIND("-",Tasks[[#This Row],[_Pred4Text]]&amp;"-"))-1)),""))</f>
        <v/>
      </c>
      <c r="DB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5" s="42" t="str">
        <f aca="false">IF(OR(Tasks[[#This Row],[Task Name]]="",Tasks[[#This Row],[_Resources]]=""),"",TRIM(MID(SUBSTITUTE(Tasks[[#This Row],[_Resources]],",",REPT(" ",99)),1,99)))</f>
        <v/>
      </c>
      <c r="DE65" s="42" t="str">
        <f aca="false">IF(Tasks[[#This Row],[_Res1Text]]="","",TRIM(MID(SUBSTITUTE(Tasks[[#This Row],[_Resources]],",",REPT(" ",99)),100,99)))</f>
        <v/>
      </c>
      <c r="DF65" s="42" t="str">
        <f aca="false">IF(Tasks[[#This Row],[_Res2Text]]="","",TRIM(MID(SUBSTITUTE(Tasks[[#This Row],[_Resources]],",",REPT(" ",99)),199,99)))</f>
        <v/>
      </c>
      <c r="DG65" s="42" t="str">
        <f aca="false">IF(Tasks[[#This Row],[_Res3Text]]="","",TRIM(MID(SUBSTITUTE(Tasks[[#This Row],[_Resources]],",",REPT(" ",99)),298,99)))</f>
        <v/>
      </c>
      <c r="DH65" s="42" t="n">
        <f aca="false">IF(Tasks[[#This Row],[_Res1Text]]="",0,IFERROR(MATCH(TRIM(LEFT(Tasks[[#This Row],[_Res1Text]],FIND("[",Tasks[[#This Row],[_Res1Text]]&amp;"[")-1)),res_Name,0),IFERROR(MATCH(TRIM(LEFT(Tasks[[#This Row],[_Res1Text]],FIND("[",Tasks[[#This Row],[_Res1Text]]&amp;"[")-1)),res_Initials,0),0)))</f>
        <v>0</v>
      </c>
      <c r="DI65" s="42" t="n">
        <f aca="false">IF(Tasks[[#This Row],[_Res2Text]]="",0,IFERROR(MATCH(TRIM(LEFT(Tasks[[#This Row],[_Res2Text]],FIND("[",Tasks[[#This Row],[_Res2Text]]&amp;"[")-1)),res_Name,0),IFERROR(MATCH(TRIM(LEFT(Tasks[[#This Row],[_Res2Text]],FIND("[",Tasks[[#This Row],[_Res2Text]]&amp;"[")-1)),res_Initials,0),0)))</f>
        <v>0</v>
      </c>
      <c r="DJ65" s="42" t="n">
        <f aca="false">IF(Tasks[[#This Row],[_Res3Text]]="",0,IFERROR(MATCH(TRIM(LEFT(Tasks[[#This Row],[_Res3Text]],FIND("[",Tasks[[#This Row],[_Res3Text]]&amp;"[")-1)),res_Name,0),IFERROR(MATCH(TRIM(LEFT(Tasks[[#This Row],[_Res3Text]],FIND("[",Tasks[[#This Row],[_Res3Text]]&amp;"[")-1)),res_Initials,0),0)))</f>
        <v>0</v>
      </c>
      <c r="DK65" s="42" t="n">
        <f aca="false">IF(Tasks[[#This Row],[_Res4Text]]="",0,IFERROR(MATCH(TRIM(LEFT(Tasks[[#This Row],[_Res4Text]],FIND("[",Tasks[[#This Row],[_Res4Text]]&amp;"[")-1)),res_Name,0),IFERROR(MATCH(TRIM(LEFT(Tasks[[#This Row],[_Res4Text]],FIND("[",Tasks[[#This Row],[_Res4Text]]&amp;"[")-1)),res_Initials,0),0)))</f>
        <v>0</v>
      </c>
      <c r="DL65" s="42" t="str">
        <f aca="false">IF(Tasks[[#This Row],[_Res1Text]]="","",IF(Tasks[[#This Row],[_Res1Row]]&gt;0,INDEX(res_Name,Tasks[[#This Row],[_Res1Row]]),TRIM(LEFT(Tasks[[#This Row],[_Res1Text]],FIND("[",Tasks[[#This Row],[_Res1Text]]&amp;"[")-1))))</f>
        <v/>
      </c>
      <c r="DM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5" s="42" t="n">
        <f aca="false">IF(NOT(Tasks[[#This Row],[_IsLeaf]]=1),0,(Tasks[[#This Row],[_Resource1]]&lt;&gt;"")+(Tasks[[#This Row],[_Res2]]&lt;&gt;"")+(Tasks[[#This Row],[_Res3]]&lt;&gt;"")+(Tasks[[#This Row],[_Res4]]&lt;&gt;""))</f>
        <v>0</v>
      </c>
      <c r="DO65" s="42" t="str">
        <f aca="false">IF(Tasks[[#This Row],[_Res2Text]]="","",IF(Tasks[[#This Row],[_Res2Row]]&gt;0,INDEX(res_Name,Tasks[[#This Row],[_Res2Row]]),TRIM(LEFT(Tasks[[#This Row],[_Res2Text]],FIND("[",Tasks[[#This Row],[_Res2Text]]&amp;"[")-1))))</f>
        <v/>
      </c>
      <c r="DP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5" s="42" t="n">
        <f aca="false">IF(OR(NOT(Tasks[[#This Row],[_IsLeaf]]=1),Tasks[[#This Row],[_Res2Row]]=0),0,N(Tasks[[#This Row],[_Days]])*HoursPerDay*IF(Tasks[[#This Row],[_Res2Units]]="",DefaultUnits,Tasks[[#This Row],[_Res2Units]]))</f>
        <v>0</v>
      </c>
      <c r="DR65" s="42" t="n">
        <f aca="false">IF(AND(AND(Tasks[[#This Row],[_IsLeaf]]=1,Tasks[[#This Row],[_LeafTotalWork]]&gt;0),Tasks[[#This Row],[_Res2Work]]&gt;0),Tasks[[#This Row],[_Res2Work]]/(Tasks[[#This Row],[_FinishWorkday]]-Tasks[[#This Row],[_StartWorkday]]+1),0)</f>
        <v>0</v>
      </c>
      <c r="DS65" s="42" t="n">
        <f aca="false">Tasks[[#This Row],[_Res2WorkPerWD]]*MAX(0,Tasks[[#This Row],[_StartWorkday]]-1)</f>
        <v>0</v>
      </c>
      <c r="DT65" s="42" t="n">
        <f aca="false">Tasks[[#This Row],[_Res2Work]]*Tasks[[#This Row],[_LeafProgress]]</f>
        <v>0</v>
      </c>
      <c r="DU65" s="42" t="str">
        <f aca="false">IF(Tasks[[#This Row],[_Res3Text]]="","",IF(Tasks[[#This Row],[_Res3Row]]&gt;0,INDEX(res_Name,Tasks[[#This Row],[_Res3Row]]),TRIM(LEFT(Tasks[[#This Row],[_Res3Text]],FIND("[",Tasks[[#This Row],[_Res3Text]]&amp;"[")-1))))</f>
        <v/>
      </c>
      <c r="DV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5" s="42" t="n">
        <f aca="false">IF(OR(NOT(Tasks[[#This Row],[_IsLeaf]]=1),Tasks[[#This Row],[_Res3Row]]=0),0,N(Tasks[[#This Row],[_Days]])*HoursPerDay*IF(Tasks[[#This Row],[_Res3Units]]="",DefaultUnits,Tasks[[#This Row],[_Res3Units]]))</f>
        <v>0</v>
      </c>
      <c r="DX65" s="42" t="n">
        <f aca="false">IF(AND(AND(Tasks[[#This Row],[_IsLeaf]]=1,Tasks[[#This Row],[_LeafTotalWork]]&gt;0),Tasks[[#This Row],[_Res3Work]]&gt;0),Tasks[[#This Row],[_Res3Work]]/(Tasks[[#This Row],[_FinishWorkday]]-Tasks[[#This Row],[_StartWorkday]]+1),0)</f>
        <v>0</v>
      </c>
      <c r="DY65" s="42" t="n">
        <f aca="false">Tasks[[#This Row],[_Res3WorkPerWD]]*MAX(0,Tasks[[#This Row],[_StartWorkday]]-1)</f>
        <v>0</v>
      </c>
      <c r="DZ65" s="42" t="n">
        <f aca="false">Tasks[[#This Row],[_Res3Work]]*Tasks[[#This Row],[_LeafProgress]]</f>
        <v>0</v>
      </c>
      <c r="EA65" s="42" t="str">
        <f aca="false">IF(Tasks[[#This Row],[_Res4Text]]="","",IF(Tasks[[#This Row],[_Res4Row]]&gt;0,INDEX(res_Name,Tasks[[#This Row],[_Res4Row]]),TRIM(LEFT(Tasks[[#This Row],[_Res4Text]],FIND("[",Tasks[[#This Row],[_Res4Text]]&amp;"[")-1))))</f>
        <v/>
      </c>
      <c r="EB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5" s="42" t="n">
        <f aca="false">IF(OR(NOT(Tasks[[#This Row],[_IsLeaf]]=1),Tasks[[#This Row],[_Res4Row]]=0),0,N(Tasks[[#This Row],[_Days]])*HoursPerDay*IF(Tasks[[#This Row],[_Res4Units]]="",DefaultUnits,Tasks[[#This Row],[_Res4Units]]))</f>
        <v>0</v>
      </c>
      <c r="ED65" s="42" t="n">
        <f aca="false">IF(AND(AND(Tasks[[#This Row],[_IsLeaf]]=1,Tasks[[#This Row],[_LeafTotalWork]]&gt;0),Tasks[[#This Row],[_Res4Work]]&gt;0),Tasks[[#This Row],[_Res4Work]]/(Tasks[[#This Row],[_FinishWorkday]]-Tasks[[#This Row],[_StartWorkday]]+1),0)</f>
        <v>0</v>
      </c>
      <c r="EE65" s="42" t="n">
        <f aca="false">Tasks[[#This Row],[_Res4WorkPerWD]]*MAX(0,Tasks[[#This Row],[_StartWorkday]]-1)</f>
        <v>0</v>
      </c>
      <c r="EF65" s="42" t="n">
        <f aca="false">Tasks[[#This Row],[_Res4Work]]*Tasks[[#This Row],[_LeafProgress]]</f>
        <v>0</v>
      </c>
      <c r="EG65" s="42" t="n">
        <f aca="false">IF(ISNUMBER(Tasks[[#This Row],[% Complete]]),Tasks[[#This Row],[% Complete]],IF(Tasks[[#This Row],[Stage]]="",0,IFERROR(INDEX(stg_Pct,MATCH(Tasks[[#This Row],[Stage]],stg_Name,0)),0)))</f>
        <v>0</v>
      </c>
      <c r="EH65" s="42" t="n">
        <f aca="false">IF(NOT(Tasks[[#This Row],[_IsLeaf]]=1),0,IF(N(Tasks[[#This Row],[Actual Finish]])&gt;0,1,MIN(1,Tasks[[#This Row],[_Pct]])))</f>
        <v>0</v>
      </c>
      <c r="EI65" s="42" t="n">
        <f aca="false">IF(OR(NOT(Tasks[[#This Row],[_IsLeaf]]=1),Tasks[[#This Row],[_Res1Row]]=0),0,N(Tasks[[#This Row],[_Days]])*HoursPerDay*IF(Tasks[[#This Row],[_Units1]]="",DefaultUnits,Tasks[[#This Row],[_Units1]]))</f>
        <v>0</v>
      </c>
      <c r="EJ65" s="42" t="n">
        <f aca="false">Tasks[[#This Row],[_LeafWork]]+Tasks[[#This Row],[_Res2Work]]+Tasks[[#This Row],[_Res3Work]]+Tasks[[#This Row],[_Res4Work]]</f>
        <v>0</v>
      </c>
      <c r="EK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5" s="42" t="n">
        <f aca="false">IF(NOT(Tasks[[#This Row],[_IsLeaf]]=1),0,MAX(_xlfn.MAXIFS(Tasks[_Row],Tasks[_Pred1UID],Tasks[[#This Row],[UID]]),_xlfn.MAXIFS(Tasks[_Row],Tasks[_Pred2UID],Tasks[[#This Row],[UID]]),_xlfn.MAXIFS(Tasks[_Row],Tasks[_Pred3UID],Tasks[[#This Row],[UID]]),_xlfn.MAXIFS(Tasks[_Row],Tasks[_Pred4UID],Tasks[[#This Row],[UID]])))</f>
        <v>0</v>
      </c>
      <c r="ET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5" s="89" t="str">
        <f aca="false">IF(NOT(Tasks[[#This Row],[_IsLeaf]]=1),"",IF(N(Tasks[[#This Row],[_Days]])&lt;=0,Tasks[[#This Row],[_LeafLateFinish]],WORKDAY.INTL(Tasks[[#This Row],[_LeafLateFinish]],-(Tasks[[#This Row],[_Days]]-1),WorkWeek,Holidays)))</f>
        <v/>
      </c>
      <c r="EW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5" s="88" t="b">
        <f aca="false">AND(Tasks[[#This Row],[_IsLeaf]]=1,Tasks[[#This Row],[_LeafProgress]]&lt;1,N(Tasks[[#This Row],[_LeafTotalSlack]])&lt;=CriticalSlackDays)</f>
        <v>0</v>
      </c>
      <c r="EY65" s="42" t="n">
        <f aca="false">IF(AND(Tasks[[#This Row],[_IsLeaf]]=1,Tasks[[#This Row],[_ConstraintCode]]=1,Tasks[[#This Row],[Mode]]&lt;&gt;"Manual",N(Tasks[[#This Row],[Actual Start]])=0),MAX(0,N(Tasks[[#This Row],[Free Slack]])),0)</f>
        <v>0</v>
      </c>
      <c r="EZ65" s="89" t="str">
        <f aca="false">IF(NOT(Tasks[[#This Row],[_IsLeaf]]=1),"",IF(Tasks[[#This Row],[_AlapShift]]=0,Tasks[[#This Row],[_LeafCalcStart]],WORKDAY.INTL(Tasks[[#This Row],[_LeafCalcStart]],Tasks[[#This Row],[_AlapShift]],WorkWeek,Holidays)))</f>
        <v/>
      </c>
      <c r="FA65" s="89" t="str">
        <f aca="false">IF(NOT(Tasks[[#This Row],[_IsLeaf]]=1),"",IF(Tasks[[#This Row],[_AlapShift]]=0,Tasks[[#This Row],[_LeafCalcFinish]],WORKDAY.INTL(Tasks[[#This Row],[_LeafCalcFinish]],Tasks[[#This Row],[_AlapShift]],WorkWeek,Holidays)))</f>
        <v/>
      </c>
      <c r="FB65" s="89" t="str">
        <f aca="false">IF(NOT(Tasks[[#This Row],[_IsLeaf]]=1),"",IF(Tasks[[#This Row],[_AlapShift]]=0,Tasks[[#This Row],[_LeafFcstStart]],WORKDAY.INTL(Tasks[[#This Row],[_LeafFcstStart]],Tasks[[#This Row],[_AlapShift]],WorkWeek,Holidays)))</f>
        <v/>
      </c>
      <c r="FC65" s="89" t="str">
        <f aca="false">IF(NOT(Tasks[[#This Row],[_IsLeaf]]=1),"",IF(Tasks[[#This Row],[_AlapShift]]=0,Tasks[[#This Row],[_LeafFcstFinish]],WORKDAY.INTL(Tasks[[#This Row],[_LeafFcstFinish]],Tasks[[#This Row],[_AlapShift]],WorkWeek,Holidays)))</f>
        <v/>
      </c>
      <c r="FD65" s="89" t="str">
        <f aca="false">IF(Tasks[[#This Row],[Task Name]]="","",IF(Tasks[[#This Row],[_IsSummary]],MIN(INDEX(Tasks[_ShownCalcStart],Tasks[[#This Row],[_Row]]+1):INDEX(Tasks[_ShownCalcStart],Tasks[[#This Row],[_Row]]+Tasks[[#This Row],[_Descendants]])),Tasks[[#This Row],[_ShownCalcStart]]))</f>
        <v/>
      </c>
      <c r="FE65" s="89" t="str">
        <f aca="false">IF(Tasks[[#This Row],[Task Name]]="","",IF(Tasks[[#This Row],[_IsSummary]],MAX(INDEX(Tasks[_ShownCalcFinish],Tasks[[#This Row],[_Row]]+1):INDEX(Tasks[_ShownCalcFinish],Tasks[[#This Row],[_Row]]+Tasks[[#This Row],[_Descendants]])),Tasks[[#This Row],[_ShownCalcFinish]]))</f>
        <v/>
      </c>
      <c r="FF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5" s="42" t="n">
        <f aca="false">IF(AND(Tasks[[#This Row],[_IsLeaf]]=1,Tasks[[#This Row],[_LeafTotalWork]]&gt;0),NETWORKDAYS.INTL(ProjectStart,Tasks[[#This Row],[_ShownFcstStart]],WorkWeek,Holidays),0)</f>
        <v>0</v>
      </c>
      <c r="FS65" s="42" t="n">
        <f aca="false">IF(AND(Tasks[[#This Row],[_IsLeaf]]=1,Tasks[[#This Row],[_LeafTotalWork]]&gt;0),MAX(Tasks[[#This Row],[_StartWorkday]],NETWORKDAYS.INTL(ProjectStart,Tasks[[#This Row],[_ShownFcstFinish]],WorkWeek,Holidays)),0)</f>
        <v>0</v>
      </c>
      <c r="FT65" s="42" t="n">
        <f aca="false">IF(AND(Tasks[[#This Row],[_IsLeaf]]=1,Tasks[[#This Row],[_LeafTotalWork]]&gt;0),Tasks[[#This Row],[_LeafWork]]/(Tasks[[#This Row],[_FinishWorkday]]-Tasks[[#This Row],[_StartWorkday]]+1),0)</f>
        <v>0</v>
      </c>
      <c r="FU65" s="42" t="n">
        <f aca="false">Tasks[[#This Row],[_WorkPerWorkday]]*(Tasks[[#This Row],[_StartWorkday]]-1)</f>
        <v>-0</v>
      </c>
      <c r="FV65" s="42" t="n">
        <f aca="false">IF(Tasks[[#This Row],[_IsLeaf]]=1,MAX(N(Tasks[[#This Row],[_Days]]),0.1),0)</f>
        <v>0</v>
      </c>
      <c r="FW65" s="42" t="n">
        <f aca="false">Tasks[[#This Row],[_WeightDur]]*Tasks[[#This Row],[_LeafProgress]]</f>
        <v>0</v>
      </c>
      <c r="FX65" s="42" t="n">
        <f aca="false">Tasks[[#This Row],[_WeightDur]]*Tasks[[#This Row],[_PlannedPct]]</f>
        <v>0</v>
      </c>
      <c r="FY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5" s="42" t="str">
        <f aca="false">IF(AND(Tasks[[#This Row],[_IsLeaf]]=1,N(Tasks[[#This Row],[_Days]])=0,Tasks[[#This Row],[_LeafProgress]]&lt;1),Tasks[[#This Row],[_ShownFcstFinish]]+Tasks[[#This Row],[_Row]]/100000,"")</f>
        <v/>
      </c>
      <c r="GA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5" s="42" t="str">
        <f aca="false">IF(Tasks[[#This Row],[Task Name]]="","",LEFT(Tasks[[#This Row],[WBS]],FIND(".",Tasks[[#This Row],[WBS]]&amp;".")-1))</f>
        <v/>
      </c>
      <c r="GC65" s="42" t="str">
        <f aca="false">IF(AND(Tasks[[#This Row],[Task Name]]&lt;&gt;"",Tasks[[#This Row],[_Level]]=1),Tasks[[#This Row],[_Row]],"")</f>
        <v/>
      </c>
      <c r="GD65" s="42" t="str">
        <f aca="false">IF(AND(Tasks[[#This Row],[_IsLeaf]]=1,N(Tasks[[#This Row],[_Days]])=0),Tasks[[#This Row],[Planned Finish]]+Tasks[[#This Row],[_Row]]/100000,"")</f>
        <v/>
      </c>
      <c r="GE65" s="42" t="str">
        <f aca="false">IF(AND(Tasks[[#This Row],[_IsLeaf]]=1,Tasks[[#This Row],[_LeafProgress]]&lt;1,OR(N(Tasks[[#This Row],[Finish Var]])&gt;0,Tasks[[#This Row],[Status]]="Late Start")),MAX(0,Tasks[[#This Row],[Finish Var]])+1-Tasks[[#This Row],[_Row]]/1000000,"")</f>
        <v/>
      </c>
      <c r="GF65" s="42" t="str">
        <f aca="false">IF(AND(Tasks[[#This Row],[_IsLeaf]]=1,N(Tasks[[#This Row],[Actual Start]])=0,Tasks[[#This Row],[_ShownFcstStart]]&gt;=StatusDate,Tasks[[#This Row],[_ShownFcstStart]]&lt;=LookaheadEnd),Tasks[[#This Row],[_ShownFcstStart]]+Tasks[[#This Row],[_Row]]/100000,"")</f>
        <v/>
      </c>
      <c r="GG65" s="42" t="str">
        <f aca="false">IF(AND(Tasks[[#This Row],[_IsLeaf]]=1,Tasks[[#This Row],[_LeafProgress]]&lt;1,Tasks[[#This Row],[_ShownFcstFinish]]&gt;=StatusDate,Tasks[[#This Row],[_ShownFcstFinish]]&lt;=LookaheadEnd),Tasks[[#This Row],[_ShownFcstFinish]]+Tasks[[#This Row],[_Row]]/100000,"")</f>
        <v/>
      </c>
      <c r="GH65" s="42" t="str">
        <f aca="false">IF(Tasks[[#This Row],[_LeafCritical]],Tasks[[#This Row],[_ShownFcstStart]]+Tasks[[#This Row],[_Row]]/100000,"")</f>
        <v/>
      </c>
      <c r="GI65" s="42" t="n">
        <f aca="false">Tasks[[#This Row],[_LeafWork]]*Tasks[[#This Row],[_LeafProgress]]</f>
        <v>0</v>
      </c>
      <c r="GJ65" s="89" t="str">
        <f aca="false">IF(AND(Tasks[[#This Row],[_IsLeaf]]=1,Tasks[[#This Row],[_LeafProgress]]&gt;=1),IF(N(Tasks[[#This Row],[Actual Finish]])&gt;0,Tasks[[#This Row],[Actual Finish]],Tasks[[#This Row],[_ShownFcstFinish]]),"")</f>
        <v/>
      </c>
      <c r="GK65" s="42" t="n">
        <f aca="false">IF(Tasks[[#This Row],[_IsLeaf]]=1,N(Tasks[[#This Row],[Story Points]]),0)</f>
        <v>0</v>
      </c>
      <c r="GL65" s="42" t="str">
        <f aca="false">""</f>
        <v/>
      </c>
      <c r="GM65" s="88" t="b">
        <f aca="false">IF(Tasks[[#This Row],[Task Name]]="",FALSE(),AND(Tasks[[#This Row],[_IsLeaf]]=1,N(Tasks[[#This Row],[_Days]])=0))</f>
        <v>0</v>
      </c>
      <c r="GN65" s="89" t="n">
        <f aca="false">IF(Tasks[[#This Row],[Task Name]]="",0,IF(AND(Tasks[[#This Row],[_IsLeaf]]=1,NOT(Tasks[[#This Row],[_IsMilestone]]),N(Tasks[[#This Row],[Progress]])&gt;0),Tasks[[#This Row],[Start]],0))</f>
        <v>0</v>
      </c>
      <c r="GO65" s="89" t="n">
        <f aca="false">IF(Tasks[[#This Row],[_DoneFrom]]=0,0,IF(Tasks[[#This Row],[Progress]]&gt;=1,Tasks[[#This Row],[Finish]],MAX(Tasks[[#This Row],[_DoneFrom]],Tasks[[#This Row],[Start]]+ROUND((Tasks[[#This Row],[Finish]]-Tasks[[#This Row],[Start]]+1)*Tasks[[#This Row],[Progress]],0)-1)))</f>
        <v>0</v>
      </c>
      <c r="GP65" s="89" t="n">
        <f aca="false">IF(Tasks[[#This Row],[Task Name]]="",0,IF(OR(NOT(Tasks[[#This Row],[_IsLeaf]]=1),Tasks[[#This Row],[_IsMilestone]],N(Tasks[[#This Row],[Progress]])&gt;=1),0,IF(Tasks[[#This Row],[_DoneTo]]&gt;0,Tasks[[#This Row],[_DoneTo]]+1,Tasks[[#This Row],[Start]])))</f>
        <v>0</v>
      </c>
      <c r="GQ65" s="89" t="n">
        <f aca="false">IF(Tasks[[#This Row],[_RemFrom]]=0,0,Tasks[[#This Row],[Finish]])</f>
        <v>0</v>
      </c>
      <c r="GR65" s="88" t="b">
        <f aca="false">IF(Tasks[[#This Row],[Task Name]]="",FALSE(),OR(NOT(BaselineSet),N(Tasks[[#This Row],[Baseline Start]])&gt;0))</f>
        <v>0</v>
      </c>
      <c r="GS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5" s="90" t="str">
        <f aca="false">IF(Tasks[[#This Row],[_IsLeaf]]=1,Tasks[[#This Row],[_Row]],"")</f>
        <v/>
      </c>
      <c r="GW65" s="90" t="str">
        <f aca="false">IFERROR(INDEX(Tasks[UID],SMALL(Tasks[_PickKey],Tasks[[#This Row],[_Row]]))&amp;" "&amp;INDEX(Tasks[Task Name],SMALL(Tasks[_PickKey],Tasks[[#This Row],[_Row]])),"")</f>
        <v/>
      </c>
      <c r="GX65" s="42" t="str">
        <f aca="false">IF(Tasks[[#This Row],[Task Name]]="","",IF(Tasks[[#This Row],[_IsSummary]],NETWORKDAYS.INTL(Tasks[[#This Row],[Start]],Tasks[[#This Row],[Finish]],WorkWeek,Holidays),N(Tasks[[#This Row],[_Days]])))</f>
        <v/>
      </c>
    </row>
    <row r="66" customFormat="false" ht="15" hidden="false" customHeight="false" outlineLevel="0" collapsed="false">
      <c r="A66" s="21" t="str">
        <f aca="false">IF(Tasks[[#This Row],[Task Name]]="","",COUNTA(Tasks[[#Headers],[Task Name]]:Tasks[[#This Row],[Task Name]])-1)</f>
        <v/>
      </c>
      <c r="B66" s="22" t="n">
        <v>74</v>
      </c>
      <c r="C66" s="22"/>
      <c r="D66" s="23"/>
      <c r="E66" s="22"/>
      <c r="F66" s="23"/>
      <c r="G66" s="22"/>
      <c r="H66" s="22"/>
      <c r="I66" s="23"/>
      <c r="J66" s="22"/>
      <c r="K66" s="22"/>
      <c r="L66" s="23"/>
      <c r="M66" s="22"/>
      <c r="N66" s="22"/>
      <c r="O66" s="23"/>
      <c r="P66" s="22"/>
      <c r="Q66" s="22"/>
      <c r="R66" s="23"/>
      <c r="S66" s="23"/>
      <c r="T66" s="83"/>
      <c r="U66" s="23"/>
      <c r="V66" s="83"/>
      <c r="W66" s="23"/>
      <c r="X66" s="83"/>
      <c r="Y66" s="23"/>
      <c r="Z66" s="83"/>
      <c r="AA66" s="23"/>
      <c r="AB66" s="23"/>
      <c r="AC66" s="7"/>
      <c r="AD66" s="7"/>
      <c r="AE66" s="62" t="str">
        <f aca="false">IF(Tasks[[#This Row],[Task Name]]="","",IF(Tasks[[#This Row],[_IsSummary]],MIN(INDEX(Tasks[_ShownFcstStart],Tasks[[#This Row],[_Row]]+1):INDEX(Tasks[_ShownFcstStart],Tasks[[#This Row],[_Row]]+Tasks[[#This Row],[_Descendants]])),Tasks[[#This Row],[_ShownFcstStart]]))</f>
        <v/>
      </c>
      <c r="AF66" s="62" t="str">
        <f aca="false">IF(Tasks[[#This Row],[Task Name]]="","",IF(Tasks[[#This Row],[_IsSummary]],MAX(INDEX(Tasks[_ShownFcstFinish],Tasks[[#This Row],[_Row]]+1):INDEX(Tasks[_ShownFcstFinish],Tasks[[#This Row],[_Row]]+Tasks[[#This Row],[_Descendants]])),Tasks[[#This Row],[_ShownFcstFinish]]))</f>
        <v/>
      </c>
      <c r="AG66" s="21" t="str">
        <f aca="false">""</f>
        <v/>
      </c>
      <c r="AH66" s="23"/>
      <c r="AI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6" s="7"/>
      <c r="AK66" s="22"/>
      <c r="AL66" s="23"/>
      <c r="AM66" s="7"/>
      <c r="AN66" s="46" t="str">
        <f aca="false">IF(Tasks[[#This Row],[Task Name]]="","",IF(Tasks[[#This Row],[Finish]]&gt;=Tasks[[#This Row],[Planned Finish]],NETWORKDAYS.INTL(Tasks[[#This Row],[Planned Finish]],Tasks[[#This Row],[Finish]],WorkWeek,Holidays)-1,1-NETWORKDAYS.INTL(Tasks[[#This Row],[Finish]],Tasks[[#This Row],[Planned Finish]],WorkWeek,Holidays)))</f>
        <v/>
      </c>
      <c r="AO66" s="21" t="str">
        <f aca="false">IF(Tasks[[#This Row],[Task Name]]="","",IF(Tasks[[#This Row],[Progress]]&gt;=1,"Complete",IF(OR(N(Tasks[[#This Row],[Actual Start]])&gt;0,Tasks[[#This Row],[Progress]]&gt;0),IF(Tasks[[#This Row],[Finish Var]]&gt;0,"Behind","In Progress"),IF(Tasks[[#This Row],[Planned Start]]&lt;StatusDate,"Late Start","Not Started"))))</f>
        <v/>
      </c>
      <c r="AP66" s="21" t="str">
        <f aca="false">IF(Tasks[[#This Row],[Task Name]]="","",IF(IF(Tasks[[#This Row],[_IsSummary]],COUNTIF(INDEX(Tasks[_LeafCritical],Tasks[[#This Row],[_Row]]+1):INDEX(Tasks[_LeafCritical],Tasks[[#This Row],[_Row]]+Tasks[[#This Row],[_Descendants]]),TRUE())&gt;0,Tasks[[#This Row],[_LeafCritical]]),"Yes",""))</f>
        <v/>
      </c>
      <c r="AQ66" s="62" t="str">
        <f aca="false">IF(Tasks[[#This Row],[Task Name]]="","",IF(N(Tasks[[#This Row],[Baseline Start]])&gt;0,Tasks[[#This Row],[Baseline Start]],Tasks[[#This Row],[_CalcStart]]))</f>
        <v/>
      </c>
      <c r="AR66" s="62" t="str">
        <f aca="false">IF(Tasks[[#This Row],[Task Name]]="","",IF(N(Tasks[[#This Row],[Baseline Finish]])&gt;0,Tasks[[#This Row],[Baseline Finish]],Tasks[[#This Row],[_CalcFinish]]))</f>
        <v/>
      </c>
      <c r="AS66" s="46" t="str">
        <f aca="false">IF(Tasks[[#This Row],[Task Name]]="","",IF(Tasks[[#This Row],[Start]]&gt;=Tasks[[#This Row],[Planned Start]],NETWORKDAYS.INTL(Tasks[[#This Row],[Planned Start]],Tasks[[#This Row],[Start]],WorkWeek,Holidays)-1,1-NETWORKDAYS.INTL(Tasks[[#This Row],[Start]],Tasks[[#This Row],[Planned Start]],WorkWeek,Holidays)))</f>
        <v/>
      </c>
      <c r="AT66" s="62" t="str">
        <f aca="false">IF(Tasks[[#This Row],[Task Name]]="","",IF(Tasks[[#This Row],[_IsSummary]],MIN(INDEX(Tasks[_LeafLateStart],Tasks[[#This Row],[_Row]]+1):INDEX(Tasks[_LeafLateStart],Tasks[[#This Row],[_Row]]+Tasks[[#This Row],[_Descendants]])),Tasks[[#This Row],[_LeafLateStart]]))</f>
        <v/>
      </c>
      <c r="AU66" s="62" t="str">
        <f aca="false">IF(Tasks[[#This Row],[Task Name]]="","",IF(Tasks[[#This Row],[_IsSummary]],MAX(INDEX(Tasks[_LeafLateFinish],Tasks[[#This Row],[_Row]]+1):INDEX(Tasks[_LeafLateFinish],Tasks[[#This Row],[_Row]]+Tasks[[#This Row],[_Descendants]])),Tasks[[#This Row],[_LeafLateFinish]]))</f>
        <v/>
      </c>
      <c r="AV66" s="46" t="str">
        <f aca="false">IF(Tasks[[#This Row],[Task Name]]="","",IF(Tasks[[#This Row],[_IsSummary]],MIN(INDEX(Tasks[_LeafTotalSlack],Tasks[[#This Row],[_Row]]+1):INDEX(Tasks[_LeafTotalSlack],Tasks[[#This Row],[_Row]]+Tasks[[#This Row],[_Descendants]])),Tasks[[#This Row],[_LeafTotalSlack]]))</f>
        <v/>
      </c>
      <c r="AW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4"/>
      <c r="BA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t="str">
        <f aca="false">IF(Tasks[[#This Row],[Task Name]]="","",IF(Tasks[[#This Row],[_Level]]&lt;=OutlineShowLevel,"Yes","No"))</f>
        <v/>
      </c>
      <c r="BE66" s="85" t="str">
        <f aca="false">IF(Tasks[[#This Row],[Task Name]]="","",IF(Tasks[[#This Row],[_IsSummary]],SUM(INDEX(Tasks[_LeafTotalWork],Tasks[[#This Row],[_Row]]+1):INDEX(Tasks[_LeafTotalWork],Tasks[[#This Row],[_Row]]+Tasks[[#This Row],[_Descendants]])),Tasks[[#This Row],[_LeafTotalWork]]))</f>
        <v/>
      </c>
      <c r="BF66" s="23"/>
      <c r="BG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t="str">
        <f aca="false">""</f>
        <v/>
      </c>
      <c r="BI66" s="86"/>
      <c r="BJ66" s="22"/>
      <c r="BK66" s="46" t="str">
        <f aca="false">IF(OR(Tasks[[#This Row],[Task Name]]="",Tasks[[#This Row],[Baseline Duration]]=""),"",Tasks[[#This Row],[_SpanDays]]-N(Tasks[[#This Row],[Baseline Duration]]))</f>
        <v/>
      </c>
      <c r="BL66" s="85" t="str">
        <f aca="false">IF(OR(Tasks[[#This Row],[Task Name]]="",Tasks[[#This Row],[Baseline Work]]=""),"",Tasks[[#This Row],[Work]]-N(Tasks[[#This Row],[Baseline Work]]))</f>
        <v/>
      </c>
      <c r="BM66" s="62" t="str">
        <f aca="false">IF(Tasks[[#This Row],[Task Name]]="","",IF(OR(TakeBaseline="Yes",N(Tasks[[#This Row],[Baseline Start]])=0),Tasks[[#This Row],[Start]],Tasks[[#This Row],[Baseline Start]]))</f>
        <v/>
      </c>
      <c r="BN66" s="62" t="str">
        <f aca="false">IF(Tasks[[#This Row],[Task Name]]="","",IF(OR(TakeBaseline="Yes",N(Tasks[[#This Row],[Baseline Finish]])=0),Tasks[[#This Row],[Finish]],Tasks[[#This Row],[Baseline Finish]]))</f>
        <v/>
      </c>
      <c r="BO66" s="21" t="str">
        <f aca="false">IF(Tasks[[#This Row],[Task Name]]="","",IF(OR(TakeBaseline="Yes",N(Tasks[[#This Row],[Baseline Duration]])=0),Tasks[[#This Row],[_SpanDays]],Tasks[[#This Row],[Baseline Duration]]))</f>
        <v/>
      </c>
      <c r="BP66" s="85" t="str">
        <f aca="false">IF(Tasks[[#This Row],[Task Name]]="","",IF(OR(TakeBaseline="Yes",N(Tasks[[#This Row],[Baseline Work]])=0),Tasks[[#This Row],[Work]],Tasks[[#This Row],[Baseline Work]]))</f>
        <v/>
      </c>
      <c r="BQ66" s="7"/>
      <c r="BR66" s="7"/>
      <c r="BS66" s="22"/>
      <c r="BT66" s="87"/>
      <c r="BU66" s="42" t="str">
        <f aca="false">IF(Tasks[[#This Row],[Task Name]]="","",MAX(1,N(Tasks[[#This Row],[Level]])))</f>
        <v/>
      </c>
      <c r="BV66" s="42" t="n">
        <f aca="false">ROW()-ROW(Tasks[[#Headers],[ID]])</f>
        <v>61</v>
      </c>
      <c r="BW66" s="42" t="n">
        <f aca="false">IF(OR(Tasks[[#This Row],[Task Name]]="",Tasks[[#This Row],[_Level]]&lt;=1),0,IFERROR(LOOKUP(2,1/(Tasks[[#Headers],[_Level]]:Tasks[[#This Row],[_Level]]=Tasks[[#This Row],[_Level]]-1),ROW(Tasks[[#Headers],[_Level]]:Tasks[[#This Row],[_Level]])),0))</f>
        <v>0</v>
      </c>
      <c r="BX66" s="42" t="n">
        <f aca="false">IFERROR(N(INDEX(Tasks[_Level],Tasks[[#This Row],[_Row]]+1)),0)</f>
        <v>0</v>
      </c>
      <c r="BY66" s="88" t="b">
        <f aca="false">AND(Tasks[[#This Row],[Task Name]]&lt;&gt;"",Tasks[[#This Row],[_NextLevel]]&gt;Tasks[[#This Row],[_Level]])</f>
        <v>0</v>
      </c>
      <c r="BZ66" s="42" t="n">
        <f aca="false">IF(Tasks[[#This Row],[_IsSummary]],COUNTIF(Tasks[WBS],Tasks[[#This Row],[WBS]]&amp;".*"),0)</f>
        <v>0</v>
      </c>
      <c r="CA66" s="42" t="n">
        <f aca="false">IF(AND(Tasks[[#This Row],[Task Name]]&lt;&gt;"",NOT(Tasks[[#This Row],[_IsSummary]])),1,0)</f>
        <v>0</v>
      </c>
      <c r="CB66" s="42" t="n">
        <f aca="false">IF(N(Tasks[[#This Row],[_Pred1UID]])=0,0,IFERROR(MATCH(Tasks[[#This Row],[_Pred1UID]],Tasks[UID],0),-1))</f>
        <v>0</v>
      </c>
      <c r="CC66" s="42" t="n">
        <f aca="false">IF(N(Tasks[[#This Row],[_Pred2UID]])=0,0,IFERROR(MATCH(Tasks[[#This Row],[_Pred2UID]],Tasks[UID],0),-1))</f>
        <v>0</v>
      </c>
      <c r="CD66" s="42" t="n">
        <f aca="false">IF(N(Tasks[[#This Row],[_Pred3UID]])=0,0,IFERROR(MATCH(Tasks[[#This Row],[_Pred3UID]],Tasks[UID],0),-1))</f>
        <v>0</v>
      </c>
      <c r="CE66" s="42" t="n">
        <f aca="false">IF(N(Tasks[[#This Row],[_Pred4UID]])=0,0,IFERROR(MATCH(Tasks[[#This Row],[_Pred4UID]],Tasks[UID],0),-1))</f>
        <v>0</v>
      </c>
      <c r="CF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6" s="89" t="n">
        <f aca="false">IF(OR(Tasks[[#This Row],[_ConstraintCode]]=2,Tasks[[#This Row],[_ConstraintCode]]=3,Tasks[[#This Row],[_ConstraintCode]]=4,Tasks[[#This Row],[_ConstraintCode]]=6),Tasks[[#This Row],[_ConstraintStart]],0)</f>
        <v>0</v>
      </c>
      <c r="CI66" s="89" t="n">
        <f aca="false">IF(OR(Tasks[[#This Row],[_ConstraintCode]]=2,Tasks[[#This Row],[_ConstraintCode]]=3,Tasks[[#This Row],[_ConstraintCode]]=5,Tasks[[#This Row],[_ConstraintCode]]=7),Tasks[[#This Row],[_ConstraintStart]],2958465)</f>
        <v>2958465</v>
      </c>
      <c r="CJ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6" s="89" t="str">
        <f aca="false">IF(NOT(Tasks[[#This Row],[_IsLeaf]]=1),"",IF(N(Tasks[[#This Row],[_Days]])&lt;=0,Tasks[[#This Row],[_LeafCalcStart]],WORKDAY.INTL(Tasks[[#This Row],[_LeafCalcStart]],Tasks[[#This Row],[_Days]]-1,WorkWeek,Holidays)))</f>
        <v/>
      </c>
      <c r="CL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6" s="42" t="str">
        <f aca="false">IF(Tasks[[#This Row],[_Predecessors]]="","",TRIM(MID(SUBSTITUTE(SUBSTITUTE(SUBSTITUTE(UPPER(Tasks[[#This Row],[_Predecessors]]),";",",")," ",""),",",REPT(" ",99)),1,99)))</f>
        <v/>
      </c>
      <c r="CO66" s="42" t="str">
        <f aca="false">IF(Tasks[[#This Row],[_Pred1Text]]="","",IFERROR(VALUE(LEFT(Tasks[[#This Row],[_Pred1Text]],MIN(FIND("F",Tasks[[#This Row],[_Pred1Text]]&amp;"F"),FIND("S",Tasks[[#This Row],[_Pred1Text]]&amp;"S"),FIND("+",Tasks[[#This Row],[_Pred1Text]]&amp;"+"),FIND("-",Tasks[[#This Row],[_Pred1Text]]&amp;"-"))-1)),""))</f>
        <v/>
      </c>
      <c r="CP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6" s="42" t="str">
        <f aca="false">IF(Tasks[[#This Row],[_Pred1Text]]="","",TRIM(MID(SUBSTITUTE(SUBSTITUTE(SUBSTITUTE(UPPER(Tasks[[#This Row],[_Predecessors]]),";",",")," ",""),",",REPT(" ",99)),100,99)))</f>
        <v/>
      </c>
      <c r="CS66" s="42" t="str">
        <f aca="false">IF(Tasks[[#This Row],[_Pred2Text]]="","",IFERROR(VALUE(LEFT(Tasks[[#This Row],[_Pred2Text]],MIN(FIND("F",Tasks[[#This Row],[_Pred2Text]]&amp;"F"),FIND("S",Tasks[[#This Row],[_Pred2Text]]&amp;"S"),FIND("+",Tasks[[#This Row],[_Pred2Text]]&amp;"+"),FIND("-",Tasks[[#This Row],[_Pred2Text]]&amp;"-"))-1)),""))</f>
        <v/>
      </c>
      <c r="CT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6" s="42" t="str">
        <f aca="false">IF(Tasks[[#This Row],[_Pred2Text]]="","",TRIM(MID(SUBSTITUTE(SUBSTITUTE(SUBSTITUTE(UPPER(Tasks[[#This Row],[_Predecessors]]),";",",")," ",""),",",REPT(" ",99)),199,99)))</f>
        <v/>
      </c>
      <c r="CW66" s="42" t="str">
        <f aca="false">IF(Tasks[[#This Row],[_Pred3Text]]="","",IFERROR(VALUE(LEFT(Tasks[[#This Row],[_Pred3Text]],MIN(FIND("F",Tasks[[#This Row],[_Pred3Text]]&amp;"F"),FIND("S",Tasks[[#This Row],[_Pred3Text]]&amp;"S"),FIND("+",Tasks[[#This Row],[_Pred3Text]]&amp;"+"),FIND("-",Tasks[[#This Row],[_Pred3Text]]&amp;"-"))-1)),""))</f>
        <v/>
      </c>
      <c r="CX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6" s="42" t="str">
        <f aca="false">IF(Tasks[[#This Row],[_Pred3Text]]="","",TRIM(MID(SUBSTITUTE(SUBSTITUTE(SUBSTITUTE(UPPER(Tasks[[#This Row],[_Predecessors]]),";",",")," ",""),",",REPT(" ",99)),298,99)))</f>
        <v/>
      </c>
      <c r="DA66" s="42" t="str">
        <f aca="false">IF(Tasks[[#This Row],[_Pred4Text]]="","",IFERROR(VALUE(LEFT(Tasks[[#This Row],[_Pred4Text]],MIN(FIND("F",Tasks[[#This Row],[_Pred4Text]]&amp;"F"),FIND("S",Tasks[[#This Row],[_Pred4Text]]&amp;"S"),FIND("+",Tasks[[#This Row],[_Pred4Text]]&amp;"+"),FIND("-",Tasks[[#This Row],[_Pred4Text]]&amp;"-"))-1)),""))</f>
        <v/>
      </c>
      <c r="DB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6" s="42" t="str">
        <f aca="false">IF(OR(Tasks[[#This Row],[Task Name]]="",Tasks[[#This Row],[_Resources]]=""),"",TRIM(MID(SUBSTITUTE(Tasks[[#This Row],[_Resources]],",",REPT(" ",99)),1,99)))</f>
        <v/>
      </c>
      <c r="DE66" s="42" t="str">
        <f aca="false">IF(Tasks[[#This Row],[_Res1Text]]="","",TRIM(MID(SUBSTITUTE(Tasks[[#This Row],[_Resources]],",",REPT(" ",99)),100,99)))</f>
        <v/>
      </c>
      <c r="DF66" s="42" t="str">
        <f aca="false">IF(Tasks[[#This Row],[_Res2Text]]="","",TRIM(MID(SUBSTITUTE(Tasks[[#This Row],[_Resources]],",",REPT(" ",99)),199,99)))</f>
        <v/>
      </c>
      <c r="DG66" s="42" t="str">
        <f aca="false">IF(Tasks[[#This Row],[_Res3Text]]="","",TRIM(MID(SUBSTITUTE(Tasks[[#This Row],[_Resources]],",",REPT(" ",99)),298,99)))</f>
        <v/>
      </c>
      <c r="DH66" s="42" t="n">
        <f aca="false">IF(Tasks[[#This Row],[_Res1Text]]="",0,IFERROR(MATCH(TRIM(LEFT(Tasks[[#This Row],[_Res1Text]],FIND("[",Tasks[[#This Row],[_Res1Text]]&amp;"[")-1)),res_Name,0),IFERROR(MATCH(TRIM(LEFT(Tasks[[#This Row],[_Res1Text]],FIND("[",Tasks[[#This Row],[_Res1Text]]&amp;"[")-1)),res_Initials,0),0)))</f>
        <v>0</v>
      </c>
      <c r="DI66" s="42" t="n">
        <f aca="false">IF(Tasks[[#This Row],[_Res2Text]]="",0,IFERROR(MATCH(TRIM(LEFT(Tasks[[#This Row],[_Res2Text]],FIND("[",Tasks[[#This Row],[_Res2Text]]&amp;"[")-1)),res_Name,0),IFERROR(MATCH(TRIM(LEFT(Tasks[[#This Row],[_Res2Text]],FIND("[",Tasks[[#This Row],[_Res2Text]]&amp;"[")-1)),res_Initials,0),0)))</f>
        <v>0</v>
      </c>
      <c r="DJ66" s="42" t="n">
        <f aca="false">IF(Tasks[[#This Row],[_Res3Text]]="",0,IFERROR(MATCH(TRIM(LEFT(Tasks[[#This Row],[_Res3Text]],FIND("[",Tasks[[#This Row],[_Res3Text]]&amp;"[")-1)),res_Name,0),IFERROR(MATCH(TRIM(LEFT(Tasks[[#This Row],[_Res3Text]],FIND("[",Tasks[[#This Row],[_Res3Text]]&amp;"[")-1)),res_Initials,0),0)))</f>
        <v>0</v>
      </c>
      <c r="DK66" s="42" t="n">
        <f aca="false">IF(Tasks[[#This Row],[_Res4Text]]="",0,IFERROR(MATCH(TRIM(LEFT(Tasks[[#This Row],[_Res4Text]],FIND("[",Tasks[[#This Row],[_Res4Text]]&amp;"[")-1)),res_Name,0),IFERROR(MATCH(TRIM(LEFT(Tasks[[#This Row],[_Res4Text]],FIND("[",Tasks[[#This Row],[_Res4Text]]&amp;"[")-1)),res_Initials,0),0)))</f>
        <v>0</v>
      </c>
      <c r="DL66" s="42" t="str">
        <f aca="false">IF(Tasks[[#This Row],[_Res1Text]]="","",IF(Tasks[[#This Row],[_Res1Row]]&gt;0,INDEX(res_Name,Tasks[[#This Row],[_Res1Row]]),TRIM(LEFT(Tasks[[#This Row],[_Res1Text]],FIND("[",Tasks[[#This Row],[_Res1Text]]&amp;"[")-1))))</f>
        <v/>
      </c>
      <c r="DM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6" s="42" t="n">
        <f aca="false">IF(NOT(Tasks[[#This Row],[_IsLeaf]]=1),0,(Tasks[[#This Row],[_Resource1]]&lt;&gt;"")+(Tasks[[#This Row],[_Res2]]&lt;&gt;"")+(Tasks[[#This Row],[_Res3]]&lt;&gt;"")+(Tasks[[#This Row],[_Res4]]&lt;&gt;""))</f>
        <v>0</v>
      </c>
      <c r="DO66" s="42" t="str">
        <f aca="false">IF(Tasks[[#This Row],[_Res2Text]]="","",IF(Tasks[[#This Row],[_Res2Row]]&gt;0,INDEX(res_Name,Tasks[[#This Row],[_Res2Row]]),TRIM(LEFT(Tasks[[#This Row],[_Res2Text]],FIND("[",Tasks[[#This Row],[_Res2Text]]&amp;"[")-1))))</f>
        <v/>
      </c>
      <c r="DP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6" s="42" t="n">
        <f aca="false">IF(OR(NOT(Tasks[[#This Row],[_IsLeaf]]=1),Tasks[[#This Row],[_Res2Row]]=0),0,N(Tasks[[#This Row],[_Days]])*HoursPerDay*IF(Tasks[[#This Row],[_Res2Units]]="",DefaultUnits,Tasks[[#This Row],[_Res2Units]]))</f>
        <v>0</v>
      </c>
      <c r="DR66" s="42" t="n">
        <f aca="false">IF(AND(AND(Tasks[[#This Row],[_IsLeaf]]=1,Tasks[[#This Row],[_LeafTotalWork]]&gt;0),Tasks[[#This Row],[_Res2Work]]&gt;0),Tasks[[#This Row],[_Res2Work]]/(Tasks[[#This Row],[_FinishWorkday]]-Tasks[[#This Row],[_StartWorkday]]+1),0)</f>
        <v>0</v>
      </c>
      <c r="DS66" s="42" t="n">
        <f aca="false">Tasks[[#This Row],[_Res2WorkPerWD]]*MAX(0,Tasks[[#This Row],[_StartWorkday]]-1)</f>
        <v>0</v>
      </c>
      <c r="DT66" s="42" t="n">
        <f aca="false">Tasks[[#This Row],[_Res2Work]]*Tasks[[#This Row],[_LeafProgress]]</f>
        <v>0</v>
      </c>
      <c r="DU66" s="42" t="str">
        <f aca="false">IF(Tasks[[#This Row],[_Res3Text]]="","",IF(Tasks[[#This Row],[_Res3Row]]&gt;0,INDEX(res_Name,Tasks[[#This Row],[_Res3Row]]),TRIM(LEFT(Tasks[[#This Row],[_Res3Text]],FIND("[",Tasks[[#This Row],[_Res3Text]]&amp;"[")-1))))</f>
        <v/>
      </c>
      <c r="DV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6" s="42" t="n">
        <f aca="false">IF(OR(NOT(Tasks[[#This Row],[_IsLeaf]]=1),Tasks[[#This Row],[_Res3Row]]=0),0,N(Tasks[[#This Row],[_Days]])*HoursPerDay*IF(Tasks[[#This Row],[_Res3Units]]="",DefaultUnits,Tasks[[#This Row],[_Res3Units]]))</f>
        <v>0</v>
      </c>
      <c r="DX66" s="42" t="n">
        <f aca="false">IF(AND(AND(Tasks[[#This Row],[_IsLeaf]]=1,Tasks[[#This Row],[_LeafTotalWork]]&gt;0),Tasks[[#This Row],[_Res3Work]]&gt;0),Tasks[[#This Row],[_Res3Work]]/(Tasks[[#This Row],[_FinishWorkday]]-Tasks[[#This Row],[_StartWorkday]]+1),0)</f>
        <v>0</v>
      </c>
      <c r="DY66" s="42" t="n">
        <f aca="false">Tasks[[#This Row],[_Res3WorkPerWD]]*MAX(0,Tasks[[#This Row],[_StartWorkday]]-1)</f>
        <v>0</v>
      </c>
      <c r="DZ66" s="42" t="n">
        <f aca="false">Tasks[[#This Row],[_Res3Work]]*Tasks[[#This Row],[_LeafProgress]]</f>
        <v>0</v>
      </c>
      <c r="EA66" s="42" t="str">
        <f aca="false">IF(Tasks[[#This Row],[_Res4Text]]="","",IF(Tasks[[#This Row],[_Res4Row]]&gt;0,INDEX(res_Name,Tasks[[#This Row],[_Res4Row]]),TRIM(LEFT(Tasks[[#This Row],[_Res4Text]],FIND("[",Tasks[[#This Row],[_Res4Text]]&amp;"[")-1))))</f>
        <v/>
      </c>
      <c r="EB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6" s="42" t="n">
        <f aca="false">IF(OR(NOT(Tasks[[#This Row],[_IsLeaf]]=1),Tasks[[#This Row],[_Res4Row]]=0),0,N(Tasks[[#This Row],[_Days]])*HoursPerDay*IF(Tasks[[#This Row],[_Res4Units]]="",DefaultUnits,Tasks[[#This Row],[_Res4Units]]))</f>
        <v>0</v>
      </c>
      <c r="ED66" s="42" t="n">
        <f aca="false">IF(AND(AND(Tasks[[#This Row],[_IsLeaf]]=1,Tasks[[#This Row],[_LeafTotalWork]]&gt;0),Tasks[[#This Row],[_Res4Work]]&gt;0),Tasks[[#This Row],[_Res4Work]]/(Tasks[[#This Row],[_FinishWorkday]]-Tasks[[#This Row],[_StartWorkday]]+1),0)</f>
        <v>0</v>
      </c>
      <c r="EE66" s="42" t="n">
        <f aca="false">Tasks[[#This Row],[_Res4WorkPerWD]]*MAX(0,Tasks[[#This Row],[_StartWorkday]]-1)</f>
        <v>0</v>
      </c>
      <c r="EF66" s="42" t="n">
        <f aca="false">Tasks[[#This Row],[_Res4Work]]*Tasks[[#This Row],[_LeafProgress]]</f>
        <v>0</v>
      </c>
      <c r="EG66" s="42" t="n">
        <f aca="false">IF(ISNUMBER(Tasks[[#This Row],[% Complete]]),Tasks[[#This Row],[% Complete]],IF(Tasks[[#This Row],[Stage]]="",0,IFERROR(INDEX(stg_Pct,MATCH(Tasks[[#This Row],[Stage]],stg_Name,0)),0)))</f>
        <v>0</v>
      </c>
      <c r="EH66" s="42" t="n">
        <f aca="false">IF(NOT(Tasks[[#This Row],[_IsLeaf]]=1),0,IF(N(Tasks[[#This Row],[Actual Finish]])&gt;0,1,MIN(1,Tasks[[#This Row],[_Pct]])))</f>
        <v>0</v>
      </c>
      <c r="EI66" s="42" t="n">
        <f aca="false">IF(OR(NOT(Tasks[[#This Row],[_IsLeaf]]=1),Tasks[[#This Row],[_Res1Row]]=0),0,N(Tasks[[#This Row],[_Days]])*HoursPerDay*IF(Tasks[[#This Row],[_Units1]]="",DefaultUnits,Tasks[[#This Row],[_Units1]]))</f>
        <v>0</v>
      </c>
      <c r="EJ66" s="42" t="n">
        <f aca="false">Tasks[[#This Row],[_LeafWork]]+Tasks[[#This Row],[_Res2Work]]+Tasks[[#This Row],[_Res3Work]]+Tasks[[#This Row],[_Res4Work]]</f>
        <v>0</v>
      </c>
      <c r="EK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6" s="42" t="n">
        <f aca="false">IF(NOT(Tasks[[#This Row],[_IsLeaf]]=1),0,MAX(_xlfn.MAXIFS(Tasks[_Row],Tasks[_Pred1UID],Tasks[[#This Row],[UID]]),_xlfn.MAXIFS(Tasks[_Row],Tasks[_Pred2UID],Tasks[[#This Row],[UID]]),_xlfn.MAXIFS(Tasks[_Row],Tasks[_Pred3UID],Tasks[[#This Row],[UID]]),_xlfn.MAXIFS(Tasks[_Row],Tasks[_Pred4UID],Tasks[[#This Row],[UID]])))</f>
        <v>0</v>
      </c>
      <c r="ET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6" s="89" t="str">
        <f aca="false">IF(NOT(Tasks[[#This Row],[_IsLeaf]]=1),"",IF(N(Tasks[[#This Row],[_Days]])&lt;=0,Tasks[[#This Row],[_LeafLateFinish]],WORKDAY.INTL(Tasks[[#This Row],[_LeafLateFinish]],-(Tasks[[#This Row],[_Days]]-1),WorkWeek,Holidays)))</f>
        <v/>
      </c>
      <c r="EW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6" s="88" t="b">
        <f aca="false">AND(Tasks[[#This Row],[_IsLeaf]]=1,Tasks[[#This Row],[_LeafProgress]]&lt;1,N(Tasks[[#This Row],[_LeafTotalSlack]])&lt;=CriticalSlackDays)</f>
        <v>0</v>
      </c>
      <c r="EY66" s="42" t="n">
        <f aca="false">IF(AND(Tasks[[#This Row],[_IsLeaf]]=1,Tasks[[#This Row],[_ConstraintCode]]=1,Tasks[[#This Row],[Mode]]&lt;&gt;"Manual",N(Tasks[[#This Row],[Actual Start]])=0),MAX(0,N(Tasks[[#This Row],[Free Slack]])),0)</f>
        <v>0</v>
      </c>
      <c r="EZ66" s="89" t="str">
        <f aca="false">IF(NOT(Tasks[[#This Row],[_IsLeaf]]=1),"",IF(Tasks[[#This Row],[_AlapShift]]=0,Tasks[[#This Row],[_LeafCalcStart]],WORKDAY.INTL(Tasks[[#This Row],[_LeafCalcStart]],Tasks[[#This Row],[_AlapShift]],WorkWeek,Holidays)))</f>
        <v/>
      </c>
      <c r="FA66" s="89" t="str">
        <f aca="false">IF(NOT(Tasks[[#This Row],[_IsLeaf]]=1),"",IF(Tasks[[#This Row],[_AlapShift]]=0,Tasks[[#This Row],[_LeafCalcFinish]],WORKDAY.INTL(Tasks[[#This Row],[_LeafCalcFinish]],Tasks[[#This Row],[_AlapShift]],WorkWeek,Holidays)))</f>
        <v/>
      </c>
      <c r="FB66" s="89" t="str">
        <f aca="false">IF(NOT(Tasks[[#This Row],[_IsLeaf]]=1),"",IF(Tasks[[#This Row],[_AlapShift]]=0,Tasks[[#This Row],[_LeafFcstStart]],WORKDAY.INTL(Tasks[[#This Row],[_LeafFcstStart]],Tasks[[#This Row],[_AlapShift]],WorkWeek,Holidays)))</f>
        <v/>
      </c>
      <c r="FC66" s="89" t="str">
        <f aca="false">IF(NOT(Tasks[[#This Row],[_IsLeaf]]=1),"",IF(Tasks[[#This Row],[_AlapShift]]=0,Tasks[[#This Row],[_LeafFcstFinish]],WORKDAY.INTL(Tasks[[#This Row],[_LeafFcstFinish]],Tasks[[#This Row],[_AlapShift]],WorkWeek,Holidays)))</f>
        <v/>
      </c>
      <c r="FD66" s="89" t="str">
        <f aca="false">IF(Tasks[[#This Row],[Task Name]]="","",IF(Tasks[[#This Row],[_IsSummary]],MIN(INDEX(Tasks[_ShownCalcStart],Tasks[[#This Row],[_Row]]+1):INDEX(Tasks[_ShownCalcStart],Tasks[[#This Row],[_Row]]+Tasks[[#This Row],[_Descendants]])),Tasks[[#This Row],[_ShownCalcStart]]))</f>
        <v/>
      </c>
      <c r="FE66" s="89" t="str">
        <f aca="false">IF(Tasks[[#This Row],[Task Name]]="","",IF(Tasks[[#This Row],[_IsSummary]],MAX(INDEX(Tasks[_ShownCalcFinish],Tasks[[#This Row],[_Row]]+1):INDEX(Tasks[_ShownCalcFinish],Tasks[[#This Row],[_Row]]+Tasks[[#This Row],[_Descendants]])),Tasks[[#This Row],[_ShownCalcFinish]]))</f>
        <v/>
      </c>
      <c r="FF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6" s="42" t="n">
        <f aca="false">IF(AND(Tasks[[#This Row],[_IsLeaf]]=1,Tasks[[#This Row],[_LeafTotalWork]]&gt;0),NETWORKDAYS.INTL(ProjectStart,Tasks[[#This Row],[_ShownFcstStart]],WorkWeek,Holidays),0)</f>
        <v>0</v>
      </c>
      <c r="FS66" s="42" t="n">
        <f aca="false">IF(AND(Tasks[[#This Row],[_IsLeaf]]=1,Tasks[[#This Row],[_LeafTotalWork]]&gt;0),MAX(Tasks[[#This Row],[_StartWorkday]],NETWORKDAYS.INTL(ProjectStart,Tasks[[#This Row],[_ShownFcstFinish]],WorkWeek,Holidays)),0)</f>
        <v>0</v>
      </c>
      <c r="FT66" s="42" t="n">
        <f aca="false">IF(AND(Tasks[[#This Row],[_IsLeaf]]=1,Tasks[[#This Row],[_LeafTotalWork]]&gt;0),Tasks[[#This Row],[_LeafWork]]/(Tasks[[#This Row],[_FinishWorkday]]-Tasks[[#This Row],[_StartWorkday]]+1),0)</f>
        <v>0</v>
      </c>
      <c r="FU66" s="42" t="n">
        <f aca="false">Tasks[[#This Row],[_WorkPerWorkday]]*(Tasks[[#This Row],[_StartWorkday]]-1)</f>
        <v>-0</v>
      </c>
      <c r="FV66" s="42" t="n">
        <f aca="false">IF(Tasks[[#This Row],[_IsLeaf]]=1,MAX(N(Tasks[[#This Row],[_Days]]),0.1),0)</f>
        <v>0</v>
      </c>
      <c r="FW66" s="42" t="n">
        <f aca="false">Tasks[[#This Row],[_WeightDur]]*Tasks[[#This Row],[_LeafProgress]]</f>
        <v>0</v>
      </c>
      <c r="FX66" s="42" t="n">
        <f aca="false">Tasks[[#This Row],[_WeightDur]]*Tasks[[#This Row],[_PlannedPct]]</f>
        <v>0</v>
      </c>
      <c r="FY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6" s="42" t="str">
        <f aca="false">IF(AND(Tasks[[#This Row],[_IsLeaf]]=1,N(Tasks[[#This Row],[_Days]])=0,Tasks[[#This Row],[_LeafProgress]]&lt;1),Tasks[[#This Row],[_ShownFcstFinish]]+Tasks[[#This Row],[_Row]]/100000,"")</f>
        <v/>
      </c>
      <c r="GA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6" s="42" t="str">
        <f aca="false">IF(Tasks[[#This Row],[Task Name]]="","",LEFT(Tasks[[#This Row],[WBS]],FIND(".",Tasks[[#This Row],[WBS]]&amp;".")-1))</f>
        <v/>
      </c>
      <c r="GC66" s="42" t="str">
        <f aca="false">IF(AND(Tasks[[#This Row],[Task Name]]&lt;&gt;"",Tasks[[#This Row],[_Level]]=1),Tasks[[#This Row],[_Row]],"")</f>
        <v/>
      </c>
      <c r="GD66" s="42" t="str">
        <f aca="false">IF(AND(Tasks[[#This Row],[_IsLeaf]]=1,N(Tasks[[#This Row],[_Days]])=0),Tasks[[#This Row],[Planned Finish]]+Tasks[[#This Row],[_Row]]/100000,"")</f>
        <v/>
      </c>
      <c r="GE66" s="42" t="str">
        <f aca="false">IF(AND(Tasks[[#This Row],[_IsLeaf]]=1,Tasks[[#This Row],[_LeafProgress]]&lt;1,OR(N(Tasks[[#This Row],[Finish Var]])&gt;0,Tasks[[#This Row],[Status]]="Late Start")),MAX(0,Tasks[[#This Row],[Finish Var]])+1-Tasks[[#This Row],[_Row]]/1000000,"")</f>
        <v/>
      </c>
      <c r="GF66" s="42" t="str">
        <f aca="false">IF(AND(Tasks[[#This Row],[_IsLeaf]]=1,N(Tasks[[#This Row],[Actual Start]])=0,Tasks[[#This Row],[_ShownFcstStart]]&gt;=StatusDate,Tasks[[#This Row],[_ShownFcstStart]]&lt;=LookaheadEnd),Tasks[[#This Row],[_ShownFcstStart]]+Tasks[[#This Row],[_Row]]/100000,"")</f>
        <v/>
      </c>
      <c r="GG66" s="42" t="str">
        <f aca="false">IF(AND(Tasks[[#This Row],[_IsLeaf]]=1,Tasks[[#This Row],[_LeafProgress]]&lt;1,Tasks[[#This Row],[_ShownFcstFinish]]&gt;=StatusDate,Tasks[[#This Row],[_ShownFcstFinish]]&lt;=LookaheadEnd),Tasks[[#This Row],[_ShownFcstFinish]]+Tasks[[#This Row],[_Row]]/100000,"")</f>
        <v/>
      </c>
      <c r="GH66" s="42" t="str">
        <f aca="false">IF(Tasks[[#This Row],[_LeafCritical]],Tasks[[#This Row],[_ShownFcstStart]]+Tasks[[#This Row],[_Row]]/100000,"")</f>
        <v/>
      </c>
      <c r="GI66" s="42" t="n">
        <f aca="false">Tasks[[#This Row],[_LeafWork]]*Tasks[[#This Row],[_LeafProgress]]</f>
        <v>0</v>
      </c>
      <c r="GJ66" s="89" t="str">
        <f aca="false">IF(AND(Tasks[[#This Row],[_IsLeaf]]=1,Tasks[[#This Row],[_LeafProgress]]&gt;=1),IF(N(Tasks[[#This Row],[Actual Finish]])&gt;0,Tasks[[#This Row],[Actual Finish]],Tasks[[#This Row],[_ShownFcstFinish]]),"")</f>
        <v/>
      </c>
      <c r="GK66" s="42" t="n">
        <f aca="false">IF(Tasks[[#This Row],[_IsLeaf]]=1,N(Tasks[[#This Row],[Story Points]]),0)</f>
        <v>0</v>
      </c>
      <c r="GL66" s="42" t="str">
        <f aca="false">""</f>
        <v/>
      </c>
      <c r="GM66" s="88" t="b">
        <f aca="false">IF(Tasks[[#This Row],[Task Name]]="",FALSE(),AND(Tasks[[#This Row],[_IsLeaf]]=1,N(Tasks[[#This Row],[_Days]])=0))</f>
        <v>0</v>
      </c>
      <c r="GN66" s="89" t="n">
        <f aca="false">IF(Tasks[[#This Row],[Task Name]]="",0,IF(AND(Tasks[[#This Row],[_IsLeaf]]=1,NOT(Tasks[[#This Row],[_IsMilestone]]),N(Tasks[[#This Row],[Progress]])&gt;0),Tasks[[#This Row],[Start]],0))</f>
        <v>0</v>
      </c>
      <c r="GO66" s="89" t="n">
        <f aca="false">IF(Tasks[[#This Row],[_DoneFrom]]=0,0,IF(Tasks[[#This Row],[Progress]]&gt;=1,Tasks[[#This Row],[Finish]],MAX(Tasks[[#This Row],[_DoneFrom]],Tasks[[#This Row],[Start]]+ROUND((Tasks[[#This Row],[Finish]]-Tasks[[#This Row],[Start]]+1)*Tasks[[#This Row],[Progress]],0)-1)))</f>
        <v>0</v>
      </c>
      <c r="GP66" s="89" t="n">
        <f aca="false">IF(Tasks[[#This Row],[Task Name]]="",0,IF(OR(NOT(Tasks[[#This Row],[_IsLeaf]]=1),Tasks[[#This Row],[_IsMilestone]],N(Tasks[[#This Row],[Progress]])&gt;=1),0,IF(Tasks[[#This Row],[_DoneTo]]&gt;0,Tasks[[#This Row],[_DoneTo]]+1,Tasks[[#This Row],[Start]])))</f>
        <v>0</v>
      </c>
      <c r="GQ66" s="89" t="n">
        <f aca="false">IF(Tasks[[#This Row],[_RemFrom]]=0,0,Tasks[[#This Row],[Finish]])</f>
        <v>0</v>
      </c>
      <c r="GR66" s="88" t="b">
        <f aca="false">IF(Tasks[[#This Row],[Task Name]]="",FALSE(),OR(NOT(BaselineSet),N(Tasks[[#This Row],[Baseline Start]])&gt;0))</f>
        <v>0</v>
      </c>
      <c r="GS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6" s="90" t="str">
        <f aca="false">IF(Tasks[[#This Row],[_IsLeaf]]=1,Tasks[[#This Row],[_Row]],"")</f>
        <v/>
      </c>
      <c r="GW66" s="90" t="str">
        <f aca="false">IFERROR(INDEX(Tasks[UID],SMALL(Tasks[_PickKey],Tasks[[#This Row],[_Row]]))&amp;" "&amp;INDEX(Tasks[Task Name],SMALL(Tasks[_PickKey],Tasks[[#This Row],[_Row]])),"")</f>
        <v/>
      </c>
      <c r="GX66" s="42" t="str">
        <f aca="false">IF(Tasks[[#This Row],[Task Name]]="","",IF(Tasks[[#This Row],[_IsSummary]],NETWORKDAYS.INTL(Tasks[[#This Row],[Start]],Tasks[[#This Row],[Finish]],WorkWeek,Holidays),N(Tasks[[#This Row],[_Days]])))</f>
        <v/>
      </c>
    </row>
    <row r="67" customFormat="false" ht="15" hidden="false" customHeight="false" outlineLevel="0" collapsed="false">
      <c r="A67" s="21" t="str">
        <f aca="false">IF(Tasks[[#This Row],[Task Name]]="","",COUNTA(Tasks[[#Headers],[Task Name]]:Tasks[[#This Row],[Task Name]])-1)</f>
        <v/>
      </c>
      <c r="B67" s="22" t="n">
        <v>75</v>
      </c>
      <c r="C67" s="22"/>
      <c r="D67" s="23"/>
      <c r="E67" s="22"/>
      <c r="F67" s="23"/>
      <c r="G67" s="22"/>
      <c r="H67" s="22"/>
      <c r="I67" s="23"/>
      <c r="J67" s="22"/>
      <c r="K67" s="22"/>
      <c r="L67" s="23"/>
      <c r="M67" s="22"/>
      <c r="N67" s="22"/>
      <c r="O67" s="23"/>
      <c r="P67" s="22"/>
      <c r="Q67" s="22"/>
      <c r="R67" s="23"/>
      <c r="S67" s="23"/>
      <c r="T67" s="83"/>
      <c r="U67" s="23"/>
      <c r="V67" s="83"/>
      <c r="W67" s="23"/>
      <c r="X67" s="83"/>
      <c r="Y67" s="23"/>
      <c r="Z67" s="83"/>
      <c r="AA67" s="23"/>
      <c r="AB67" s="23"/>
      <c r="AC67" s="7"/>
      <c r="AD67" s="7"/>
      <c r="AE67" s="62" t="str">
        <f aca="false">IF(Tasks[[#This Row],[Task Name]]="","",IF(Tasks[[#This Row],[_IsSummary]],MIN(INDEX(Tasks[_ShownFcstStart],Tasks[[#This Row],[_Row]]+1):INDEX(Tasks[_ShownFcstStart],Tasks[[#This Row],[_Row]]+Tasks[[#This Row],[_Descendants]])),Tasks[[#This Row],[_ShownFcstStart]]))</f>
        <v/>
      </c>
      <c r="AF67" s="62" t="str">
        <f aca="false">IF(Tasks[[#This Row],[Task Name]]="","",IF(Tasks[[#This Row],[_IsSummary]],MAX(INDEX(Tasks[_ShownFcstFinish],Tasks[[#This Row],[_Row]]+1):INDEX(Tasks[_ShownFcstFinish],Tasks[[#This Row],[_Row]]+Tasks[[#This Row],[_Descendants]])),Tasks[[#This Row],[_ShownFcstFinish]]))</f>
        <v/>
      </c>
      <c r="AG67" s="21" t="str">
        <f aca="false">""</f>
        <v/>
      </c>
      <c r="AH67" s="23"/>
      <c r="AI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7" s="7"/>
      <c r="AK67" s="22"/>
      <c r="AL67" s="23"/>
      <c r="AM67" s="7"/>
      <c r="AN67" s="46" t="str">
        <f aca="false">IF(Tasks[[#This Row],[Task Name]]="","",IF(Tasks[[#This Row],[Finish]]&gt;=Tasks[[#This Row],[Planned Finish]],NETWORKDAYS.INTL(Tasks[[#This Row],[Planned Finish]],Tasks[[#This Row],[Finish]],WorkWeek,Holidays)-1,1-NETWORKDAYS.INTL(Tasks[[#This Row],[Finish]],Tasks[[#This Row],[Planned Finish]],WorkWeek,Holidays)))</f>
        <v/>
      </c>
      <c r="AO67" s="21" t="str">
        <f aca="false">IF(Tasks[[#This Row],[Task Name]]="","",IF(Tasks[[#This Row],[Progress]]&gt;=1,"Complete",IF(OR(N(Tasks[[#This Row],[Actual Start]])&gt;0,Tasks[[#This Row],[Progress]]&gt;0),IF(Tasks[[#This Row],[Finish Var]]&gt;0,"Behind","In Progress"),IF(Tasks[[#This Row],[Planned Start]]&lt;StatusDate,"Late Start","Not Started"))))</f>
        <v/>
      </c>
      <c r="AP67" s="21" t="str">
        <f aca="false">IF(Tasks[[#This Row],[Task Name]]="","",IF(IF(Tasks[[#This Row],[_IsSummary]],COUNTIF(INDEX(Tasks[_LeafCritical],Tasks[[#This Row],[_Row]]+1):INDEX(Tasks[_LeafCritical],Tasks[[#This Row],[_Row]]+Tasks[[#This Row],[_Descendants]]),TRUE())&gt;0,Tasks[[#This Row],[_LeafCritical]]),"Yes",""))</f>
        <v/>
      </c>
      <c r="AQ67" s="62" t="str">
        <f aca="false">IF(Tasks[[#This Row],[Task Name]]="","",IF(N(Tasks[[#This Row],[Baseline Start]])&gt;0,Tasks[[#This Row],[Baseline Start]],Tasks[[#This Row],[_CalcStart]]))</f>
        <v/>
      </c>
      <c r="AR67" s="62" t="str">
        <f aca="false">IF(Tasks[[#This Row],[Task Name]]="","",IF(N(Tasks[[#This Row],[Baseline Finish]])&gt;0,Tasks[[#This Row],[Baseline Finish]],Tasks[[#This Row],[_CalcFinish]]))</f>
        <v/>
      </c>
      <c r="AS67" s="46" t="str">
        <f aca="false">IF(Tasks[[#This Row],[Task Name]]="","",IF(Tasks[[#This Row],[Start]]&gt;=Tasks[[#This Row],[Planned Start]],NETWORKDAYS.INTL(Tasks[[#This Row],[Planned Start]],Tasks[[#This Row],[Start]],WorkWeek,Holidays)-1,1-NETWORKDAYS.INTL(Tasks[[#This Row],[Start]],Tasks[[#This Row],[Planned Start]],WorkWeek,Holidays)))</f>
        <v/>
      </c>
      <c r="AT67" s="62" t="str">
        <f aca="false">IF(Tasks[[#This Row],[Task Name]]="","",IF(Tasks[[#This Row],[_IsSummary]],MIN(INDEX(Tasks[_LeafLateStart],Tasks[[#This Row],[_Row]]+1):INDEX(Tasks[_LeafLateStart],Tasks[[#This Row],[_Row]]+Tasks[[#This Row],[_Descendants]])),Tasks[[#This Row],[_LeafLateStart]]))</f>
        <v/>
      </c>
      <c r="AU67" s="62" t="str">
        <f aca="false">IF(Tasks[[#This Row],[Task Name]]="","",IF(Tasks[[#This Row],[_IsSummary]],MAX(INDEX(Tasks[_LeafLateFinish],Tasks[[#This Row],[_Row]]+1):INDEX(Tasks[_LeafLateFinish],Tasks[[#This Row],[_Row]]+Tasks[[#This Row],[_Descendants]])),Tasks[[#This Row],[_LeafLateFinish]]))</f>
        <v/>
      </c>
      <c r="AV67" s="46" t="str">
        <f aca="false">IF(Tasks[[#This Row],[Task Name]]="","",IF(Tasks[[#This Row],[_IsSummary]],MIN(INDEX(Tasks[_LeafTotalSlack],Tasks[[#This Row],[_Row]]+1):INDEX(Tasks[_LeafTotalSlack],Tasks[[#This Row],[_Row]]+Tasks[[#This Row],[_Descendants]])),Tasks[[#This Row],[_LeafTotalSlack]]))</f>
        <v/>
      </c>
      <c r="AW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4"/>
      <c r="BA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t="str">
        <f aca="false">IF(Tasks[[#This Row],[Task Name]]="","",IF(Tasks[[#This Row],[_Level]]&lt;=OutlineShowLevel,"Yes","No"))</f>
        <v/>
      </c>
      <c r="BE67" s="85" t="str">
        <f aca="false">IF(Tasks[[#This Row],[Task Name]]="","",IF(Tasks[[#This Row],[_IsSummary]],SUM(INDEX(Tasks[_LeafTotalWork],Tasks[[#This Row],[_Row]]+1):INDEX(Tasks[_LeafTotalWork],Tasks[[#This Row],[_Row]]+Tasks[[#This Row],[_Descendants]])),Tasks[[#This Row],[_LeafTotalWork]]))</f>
        <v/>
      </c>
      <c r="BF67" s="23"/>
      <c r="BG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t="str">
        <f aca="false">""</f>
        <v/>
      </c>
      <c r="BI67" s="86"/>
      <c r="BJ67" s="22"/>
      <c r="BK67" s="46" t="str">
        <f aca="false">IF(OR(Tasks[[#This Row],[Task Name]]="",Tasks[[#This Row],[Baseline Duration]]=""),"",Tasks[[#This Row],[_SpanDays]]-N(Tasks[[#This Row],[Baseline Duration]]))</f>
        <v/>
      </c>
      <c r="BL67" s="85" t="str">
        <f aca="false">IF(OR(Tasks[[#This Row],[Task Name]]="",Tasks[[#This Row],[Baseline Work]]=""),"",Tasks[[#This Row],[Work]]-N(Tasks[[#This Row],[Baseline Work]]))</f>
        <v/>
      </c>
      <c r="BM67" s="62" t="str">
        <f aca="false">IF(Tasks[[#This Row],[Task Name]]="","",IF(OR(TakeBaseline="Yes",N(Tasks[[#This Row],[Baseline Start]])=0),Tasks[[#This Row],[Start]],Tasks[[#This Row],[Baseline Start]]))</f>
        <v/>
      </c>
      <c r="BN67" s="62" t="str">
        <f aca="false">IF(Tasks[[#This Row],[Task Name]]="","",IF(OR(TakeBaseline="Yes",N(Tasks[[#This Row],[Baseline Finish]])=0),Tasks[[#This Row],[Finish]],Tasks[[#This Row],[Baseline Finish]]))</f>
        <v/>
      </c>
      <c r="BO67" s="21" t="str">
        <f aca="false">IF(Tasks[[#This Row],[Task Name]]="","",IF(OR(TakeBaseline="Yes",N(Tasks[[#This Row],[Baseline Duration]])=0),Tasks[[#This Row],[_SpanDays]],Tasks[[#This Row],[Baseline Duration]]))</f>
        <v/>
      </c>
      <c r="BP67" s="85" t="str">
        <f aca="false">IF(Tasks[[#This Row],[Task Name]]="","",IF(OR(TakeBaseline="Yes",N(Tasks[[#This Row],[Baseline Work]])=0),Tasks[[#This Row],[Work]],Tasks[[#This Row],[Baseline Work]]))</f>
        <v/>
      </c>
      <c r="BQ67" s="7"/>
      <c r="BR67" s="7"/>
      <c r="BS67" s="22"/>
      <c r="BT67" s="87"/>
      <c r="BU67" s="42" t="str">
        <f aca="false">IF(Tasks[[#This Row],[Task Name]]="","",MAX(1,N(Tasks[[#This Row],[Level]])))</f>
        <v/>
      </c>
      <c r="BV67" s="42" t="n">
        <f aca="false">ROW()-ROW(Tasks[[#Headers],[ID]])</f>
        <v>62</v>
      </c>
      <c r="BW67" s="42" t="n">
        <f aca="false">IF(OR(Tasks[[#This Row],[Task Name]]="",Tasks[[#This Row],[_Level]]&lt;=1),0,IFERROR(LOOKUP(2,1/(Tasks[[#Headers],[_Level]]:Tasks[[#This Row],[_Level]]=Tasks[[#This Row],[_Level]]-1),ROW(Tasks[[#Headers],[_Level]]:Tasks[[#This Row],[_Level]])),0))</f>
        <v>0</v>
      </c>
      <c r="BX67" s="42" t="n">
        <f aca="false">IFERROR(N(INDEX(Tasks[_Level],Tasks[[#This Row],[_Row]]+1)),0)</f>
        <v>0</v>
      </c>
      <c r="BY67" s="88" t="b">
        <f aca="false">AND(Tasks[[#This Row],[Task Name]]&lt;&gt;"",Tasks[[#This Row],[_NextLevel]]&gt;Tasks[[#This Row],[_Level]])</f>
        <v>0</v>
      </c>
      <c r="BZ67" s="42" t="n">
        <f aca="false">IF(Tasks[[#This Row],[_IsSummary]],COUNTIF(Tasks[WBS],Tasks[[#This Row],[WBS]]&amp;".*"),0)</f>
        <v>0</v>
      </c>
      <c r="CA67" s="42" t="n">
        <f aca="false">IF(AND(Tasks[[#This Row],[Task Name]]&lt;&gt;"",NOT(Tasks[[#This Row],[_IsSummary]])),1,0)</f>
        <v>0</v>
      </c>
      <c r="CB67" s="42" t="n">
        <f aca="false">IF(N(Tasks[[#This Row],[_Pred1UID]])=0,0,IFERROR(MATCH(Tasks[[#This Row],[_Pred1UID]],Tasks[UID],0),-1))</f>
        <v>0</v>
      </c>
      <c r="CC67" s="42" t="n">
        <f aca="false">IF(N(Tasks[[#This Row],[_Pred2UID]])=0,0,IFERROR(MATCH(Tasks[[#This Row],[_Pred2UID]],Tasks[UID],0),-1))</f>
        <v>0</v>
      </c>
      <c r="CD67" s="42" t="n">
        <f aca="false">IF(N(Tasks[[#This Row],[_Pred3UID]])=0,0,IFERROR(MATCH(Tasks[[#This Row],[_Pred3UID]],Tasks[UID],0),-1))</f>
        <v>0</v>
      </c>
      <c r="CE67" s="42" t="n">
        <f aca="false">IF(N(Tasks[[#This Row],[_Pred4UID]])=0,0,IFERROR(MATCH(Tasks[[#This Row],[_Pred4UID]],Tasks[UID],0),-1))</f>
        <v>0</v>
      </c>
      <c r="CF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7" s="89" t="n">
        <f aca="false">IF(OR(Tasks[[#This Row],[_ConstraintCode]]=2,Tasks[[#This Row],[_ConstraintCode]]=3,Tasks[[#This Row],[_ConstraintCode]]=4,Tasks[[#This Row],[_ConstraintCode]]=6),Tasks[[#This Row],[_ConstraintStart]],0)</f>
        <v>0</v>
      </c>
      <c r="CI67" s="89" t="n">
        <f aca="false">IF(OR(Tasks[[#This Row],[_ConstraintCode]]=2,Tasks[[#This Row],[_ConstraintCode]]=3,Tasks[[#This Row],[_ConstraintCode]]=5,Tasks[[#This Row],[_ConstraintCode]]=7),Tasks[[#This Row],[_ConstraintStart]],2958465)</f>
        <v>2958465</v>
      </c>
      <c r="CJ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7" s="89" t="str">
        <f aca="false">IF(NOT(Tasks[[#This Row],[_IsLeaf]]=1),"",IF(N(Tasks[[#This Row],[_Days]])&lt;=0,Tasks[[#This Row],[_LeafCalcStart]],WORKDAY.INTL(Tasks[[#This Row],[_LeafCalcStart]],Tasks[[#This Row],[_Days]]-1,WorkWeek,Holidays)))</f>
        <v/>
      </c>
      <c r="CL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7" s="42" t="str">
        <f aca="false">IF(Tasks[[#This Row],[_Predecessors]]="","",TRIM(MID(SUBSTITUTE(SUBSTITUTE(SUBSTITUTE(UPPER(Tasks[[#This Row],[_Predecessors]]),";",",")," ",""),",",REPT(" ",99)),1,99)))</f>
        <v/>
      </c>
      <c r="CO67" s="42" t="str">
        <f aca="false">IF(Tasks[[#This Row],[_Pred1Text]]="","",IFERROR(VALUE(LEFT(Tasks[[#This Row],[_Pred1Text]],MIN(FIND("F",Tasks[[#This Row],[_Pred1Text]]&amp;"F"),FIND("S",Tasks[[#This Row],[_Pred1Text]]&amp;"S"),FIND("+",Tasks[[#This Row],[_Pred1Text]]&amp;"+"),FIND("-",Tasks[[#This Row],[_Pred1Text]]&amp;"-"))-1)),""))</f>
        <v/>
      </c>
      <c r="CP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7" s="42" t="str">
        <f aca="false">IF(Tasks[[#This Row],[_Pred1Text]]="","",TRIM(MID(SUBSTITUTE(SUBSTITUTE(SUBSTITUTE(UPPER(Tasks[[#This Row],[_Predecessors]]),";",",")," ",""),",",REPT(" ",99)),100,99)))</f>
        <v/>
      </c>
      <c r="CS67" s="42" t="str">
        <f aca="false">IF(Tasks[[#This Row],[_Pred2Text]]="","",IFERROR(VALUE(LEFT(Tasks[[#This Row],[_Pred2Text]],MIN(FIND("F",Tasks[[#This Row],[_Pred2Text]]&amp;"F"),FIND("S",Tasks[[#This Row],[_Pred2Text]]&amp;"S"),FIND("+",Tasks[[#This Row],[_Pred2Text]]&amp;"+"),FIND("-",Tasks[[#This Row],[_Pred2Text]]&amp;"-"))-1)),""))</f>
        <v/>
      </c>
      <c r="CT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7" s="42" t="str">
        <f aca="false">IF(Tasks[[#This Row],[_Pred2Text]]="","",TRIM(MID(SUBSTITUTE(SUBSTITUTE(SUBSTITUTE(UPPER(Tasks[[#This Row],[_Predecessors]]),";",",")," ",""),",",REPT(" ",99)),199,99)))</f>
        <v/>
      </c>
      <c r="CW67" s="42" t="str">
        <f aca="false">IF(Tasks[[#This Row],[_Pred3Text]]="","",IFERROR(VALUE(LEFT(Tasks[[#This Row],[_Pred3Text]],MIN(FIND("F",Tasks[[#This Row],[_Pred3Text]]&amp;"F"),FIND("S",Tasks[[#This Row],[_Pred3Text]]&amp;"S"),FIND("+",Tasks[[#This Row],[_Pred3Text]]&amp;"+"),FIND("-",Tasks[[#This Row],[_Pred3Text]]&amp;"-"))-1)),""))</f>
        <v/>
      </c>
      <c r="CX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7" s="42" t="str">
        <f aca="false">IF(Tasks[[#This Row],[_Pred3Text]]="","",TRIM(MID(SUBSTITUTE(SUBSTITUTE(SUBSTITUTE(UPPER(Tasks[[#This Row],[_Predecessors]]),";",",")," ",""),",",REPT(" ",99)),298,99)))</f>
        <v/>
      </c>
      <c r="DA67" s="42" t="str">
        <f aca="false">IF(Tasks[[#This Row],[_Pred4Text]]="","",IFERROR(VALUE(LEFT(Tasks[[#This Row],[_Pred4Text]],MIN(FIND("F",Tasks[[#This Row],[_Pred4Text]]&amp;"F"),FIND("S",Tasks[[#This Row],[_Pred4Text]]&amp;"S"),FIND("+",Tasks[[#This Row],[_Pred4Text]]&amp;"+"),FIND("-",Tasks[[#This Row],[_Pred4Text]]&amp;"-"))-1)),""))</f>
        <v/>
      </c>
      <c r="DB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7" s="42" t="str">
        <f aca="false">IF(OR(Tasks[[#This Row],[Task Name]]="",Tasks[[#This Row],[_Resources]]=""),"",TRIM(MID(SUBSTITUTE(Tasks[[#This Row],[_Resources]],",",REPT(" ",99)),1,99)))</f>
        <v/>
      </c>
      <c r="DE67" s="42" t="str">
        <f aca="false">IF(Tasks[[#This Row],[_Res1Text]]="","",TRIM(MID(SUBSTITUTE(Tasks[[#This Row],[_Resources]],",",REPT(" ",99)),100,99)))</f>
        <v/>
      </c>
      <c r="DF67" s="42" t="str">
        <f aca="false">IF(Tasks[[#This Row],[_Res2Text]]="","",TRIM(MID(SUBSTITUTE(Tasks[[#This Row],[_Resources]],",",REPT(" ",99)),199,99)))</f>
        <v/>
      </c>
      <c r="DG67" s="42" t="str">
        <f aca="false">IF(Tasks[[#This Row],[_Res3Text]]="","",TRIM(MID(SUBSTITUTE(Tasks[[#This Row],[_Resources]],",",REPT(" ",99)),298,99)))</f>
        <v/>
      </c>
      <c r="DH67" s="42" t="n">
        <f aca="false">IF(Tasks[[#This Row],[_Res1Text]]="",0,IFERROR(MATCH(TRIM(LEFT(Tasks[[#This Row],[_Res1Text]],FIND("[",Tasks[[#This Row],[_Res1Text]]&amp;"[")-1)),res_Name,0),IFERROR(MATCH(TRIM(LEFT(Tasks[[#This Row],[_Res1Text]],FIND("[",Tasks[[#This Row],[_Res1Text]]&amp;"[")-1)),res_Initials,0),0)))</f>
        <v>0</v>
      </c>
      <c r="DI67" s="42" t="n">
        <f aca="false">IF(Tasks[[#This Row],[_Res2Text]]="",0,IFERROR(MATCH(TRIM(LEFT(Tasks[[#This Row],[_Res2Text]],FIND("[",Tasks[[#This Row],[_Res2Text]]&amp;"[")-1)),res_Name,0),IFERROR(MATCH(TRIM(LEFT(Tasks[[#This Row],[_Res2Text]],FIND("[",Tasks[[#This Row],[_Res2Text]]&amp;"[")-1)),res_Initials,0),0)))</f>
        <v>0</v>
      </c>
      <c r="DJ67" s="42" t="n">
        <f aca="false">IF(Tasks[[#This Row],[_Res3Text]]="",0,IFERROR(MATCH(TRIM(LEFT(Tasks[[#This Row],[_Res3Text]],FIND("[",Tasks[[#This Row],[_Res3Text]]&amp;"[")-1)),res_Name,0),IFERROR(MATCH(TRIM(LEFT(Tasks[[#This Row],[_Res3Text]],FIND("[",Tasks[[#This Row],[_Res3Text]]&amp;"[")-1)),res_Initials,0),0)))</f>
        <v>0</v>
      </c>
      <c r="DK67" s="42" t="n">
        <f aca="false">IF(Tasks[[#This Row],[_Res4Text]]="",0,IFERROR(MATCH(TRIM(LEFT(Tasks[[#This Row],[_Res4Text]],FIND("[",Tasks[[#This Row],[_Res4Text]]&amp;"[")-1)),res_Name,0),IFERROR(MATCH(TRIM(LEFT(Tasks[[#This Row],[_Res4Text]],FIND("[",Tasks[[#This Row],[_Res4Text]]&amp;"[")-1)),res_Initials,0),0)))</f>
        <v>0</v>
      </c>
      <c r="DL67" s="42" t="str">
        <f aca="false">IF(Tasks[[#This Row],[_Res1Text]]="","",IF(Tasks[[#This Row],[_Res1Row]]&gt;0,INDEX(res_Name,Tasks[[#This Row],[_Res1Row]]),TRIM(LEFT(Tasks[[#This Row],[_Res1Text]],FIND("[",Tasks[[#This Row],[_Res1Text]]&amp;"[")-1))))</f>
        <v/>
      </c>
      <c r="DM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7" s="42" t="n">
        <f aca="false">IF(NOT(Tasks[[#This Row],[_IsLeaf]]=1),0,(Tasks[[#This Row],[_Resource1]]&lt;&gt;"")+(Tasks[[#This Row],[_Res2]]&lt;&gt;"")+(Tasks[[#This Row],[_Res3]]&lt;&gt;"")+(Tasks[[#This Row],[_Res4]]&lt;&gt;""))</f>
        <v>0</v>
      </c>
      <c r="DO67" s="42" t="str">
        <f aca="false">IF(Tasks[[#This Row],[_Res2Text]]="","",IF(Tasks[[#This Row],[_Res2Row]]&gt;0,INDEX(res_Name,Tasks[[#This Row],[_Res2Row]]),TRIM(LEFT(Tasks[[#This Row],[_Res2Text]],FIND("[",Tasks[[#This Row],[_Res2Text]]&amp;"[")-1))))</f>
        <v/>
      </c>
      <c r="DP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7" s="42" t="n">
        <f aca="false">IF(OR(NOT(Tasks[[#This Row],[_IsLeaf]]=1),Tasks[[#This Row],[_Res2Row]]=0),0,N(Tasks[[#This Row],[_Days]])*HoursPerDay*IF(Tasks[[#This Row],[_Res2Units]]="",DefaultUnits,Tasks[[#This Row],[_Res2Units]]))</f>
        <v>0</v>
      </c>
      <c r="DR67" s="42" t="n">
        <f aca="false">IF(AND(AND(Tasks[[#This Row],[_IsLeaf]]=1,Tasks[[#This Row],[_LeafTotalWork]]&gt;0),Tasks[[#This Row],[_Res2Work]]&gt;0),Tasks[[#This Row],[_Res2Work]]/(Tasks[[#This Row],[_FinishWorkday]]-Tasks[[#This Row],[_StartWorkday]]+1),0)</f>
        <v>0</v>
      </c>
      <c r="DS67" s="42" t="n">
        <f aca="false">Tasks[[#This Row],[_Res2WorkPerWD]]*MAX(0,Tasks[[#This Row],[_StartWorkday]]-1)</f>
        <v>0</v>
      </c>
      <c r="DT67" s="42" t="n">
        <f aca="false">Tasks[[#This Row],[_Res2Work]]*Tasks[[#This Row],[_LeafProgress]]</f>
        <v>0</v>
      </c>
      <c r="DU67" s="42" t="str">
        <f aca="false">IF(Tasks[[#This Row],[_Res3Text]]="","",IF(Tasks[[#This Row],[_Res3Row]]&gt;0,INDEX(res_Name,Tasks[[#This Row],[_Res3Row]]),TRIM(LEFT(Tasks[[#This Row],[_Res3Text]],FIND("[",Tasks[[#This Row],[_Res3Text]]&amp;"[")-1))))</f>
        <v/>
      </c>
      <c r="DV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7" s="42" t="n">
        <f aca="false">IF(OR(NOT(Tasks[[#This Row],[_IsLeaf]]=1),Tasks[[#This Row],[_Res3Row]]=0),0,N(Tasks[[#This Row],[_Days]])*HoursPerDay*IF(Tasks[[#This Row],[_Res3Units]]="",DefaultUnits,Tasks[[#This Row],[_Res3Units]]))</f>
        <v>0</v>
      </c>
      <c r="DX67" s="42" t="n">
        <f aca="false">IF(AND(AND(Tasks[[#This Row],[_IsLeaf]]=1,Tasks[[#This Row],[_LeafTotalWork]]&gt;0),Tasks[[#This Row],[_Res3Work]]&gt;0),Tasks[[#This Row],[_Res3Work]]/(Tasks[[#This Row],[_FinishWorkday]]-Tasks[[#This Row],[_StartWorkday]]+1),0)</f>
        <v>0</v>
      </c>
      <c r="DY67" s="42" t="n">
        <f aca="false">Tasks[[#This Row],[_Res3WorkPerWD]]*MAX(0,Tasks[[#This Row],[_StartWorkday]]-1)</f>
        <v>0</v>
      </c>
      <c r="DZ67" s="42" t="n">
        <f aca="false">Tasks[[#This Row],[_Res3Work]]*Tasks[[#This Row],[_LeafProgress]]</f>
        <v>0</v>
      </c>
      <c r="EA67" s="42" t="str">
        <f aca="false">IF(Tasks[[#This Row],[_Res4Text]]="","",IF(Tasks[[#This Row],[_Res4Row]]&gt;0,INDEX(res_Name,Tasks[[#This Row],[_Res4Row]]),TRIM(LEFT(Tasks[[#This Row],[_Res4Text]],FIND("[",Tasks[[#This Row],[_Res4Text]]&amp;"[")-1))))</f>
        <v/>
      </c>
      <c r="EB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7" s="42" t="n">
        <f aca="false">IF(OR(NOT(Tasks[[#This Row],[_IsLeaf]]=1),Tasks[[#This Row],[_Res4Row]]=0),0,N(Tasks[[#This Row],[_Days]])*HoursPerDay*IF(Tasks[[#This Row],[_Res4Units]]="",DefaultUnits,Tasks[[#This Row],[_Res4Units]]))</f>
        <v>0</v>
      </c>
      <c r="ED67" s="42" t="n">
        <f aca="false">IF(AND(AND(Tasks[[#This Row],[_IsLeaf]]=1,Tasks[[#This Row],[_LeafTotalWork]]&gt;0),Tasks[[#This Row],[_Res4Work]]&gt;0),Tasks[[#This Row],[_Res4Work]]/(Tasks[[#This Row],[_FinishWorkday]]-Tasks[[#This Row],[_StartWorkday]]+1),0)</f>
        <v>0</v>
      </c>
      <c r="EE67" s="42" t="n">
        <f aca="false">Tasks[[#This Row],[_Res4WorkPerWD]]*MAX(0,Tasks[[#This Row],[_StartWorkday]]-1)</f>
        <v>0</v>
      </c>
      <c r="EF67" s="42" t="n">
        <f aca="false">Tasks[[#This Row],[_Res4Work]]*Tasks[[#This Row],[_LeafProgress]]</f>
        <v>0</v>
      </c>
      <c r="EG67" s="42" t="n">
        <f aca="false">IF(ISNUMBER(Tasks[[#This Row],[% Complete]]),Tasks[[#This Row],[% Complete]],IF(Tasks[[#This Row],[Stage]]="",0,IFERROR(INDEX(stg_Pct,MATCH(Tasks[[#This Row],[Stage]],stg_Name,0)),0)))</f>
        <v>0</v>
      </c>
      <c r="EH67" s="42" t="n">
        <f aca="false">IF(NOT(Tasks[[#This Row],[_IsLeaf]]=1),0,IF(N(Tasks[[#This Row],[Actual Finish]])&gt;0,1,MIN(1,Tasks[[#This Row],[_Pct]])))</f>
        <v>0</v>
      </c>
      <c r="EI67" s="42" t="n">
        <f aca="false">IF(OR(NOT(Tasks[[#This Row],[_IsLeaf]]=1),Tasks[[#This Row],[_Res1Row]]=0),0,N(Tasks[[#This Row],[_Days]])*HoursPerDay*IF(Tasks[[#This Row],[_Units1]]="",DefaultUnits,Tasks[[#This Row],[_Units1]]))</f>
        <v>0</v>
      </c>
      <c r="EJ67" s="42" t="n">
        <f aca="false">Tasks[[#This Row],[_LeafWork]]+Tasks[[#This Row],[_Res2Work]]+Tasks[[#This Row],[_Res3Work]]+Tasks[[#This Row],[_Res4Work]]</f>
        <v>0</v>
      </c>
      <c r="EK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7" s="42" t="n">
        <f aca="false">IF(NOT(Tasks[[#This Row],[_IsLeaf]]=1),0,MAX(_xlfn.MAXIFS(Tasks[_Row],Tasks[_Pred1UID],Tasks[[#This Row],[UID]]),_xlfn.MAXIFS(Tasks[_Row],Tasks[_Pred2UID],Tasks[[#This Row],[UID]]),_xlfn.MAXIFS(Tasks[_Row],Tasks[_Pred3UID],Tasks[[#This Row],[UID]]),_xlfn.MAXIFS(Tasks[_Row],Tasks[_Pred4UID],Tasks[[#This Row],[UID]])))</f>
        <v>0</v>
      </c>
      <c r="ET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7" s="89" t="str">
        <f aca="false">IF(NOT(Tasks[[#This Row],[_IsLeaf]]=1),"",IF(N(Tasks[[#This Row],[_Days]])&lt;=0,Tasks[[#This Row],[_LeafLateFinish]],WORKDAY.INTL(Tasks[[#This Row],[_LeafLateFinish]],-(Tasks[[#This Row],[_Days]]-1),WorkWeek,Holidays)))</f>
        <v/>
      </c>
      <c r="EW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7" s="88" t="b">
        <f aca="false">AND(Tasks[[#This Row],[_IsLeaf]]=1,Tasks[[#This Row],[_LeafProgress]]&lt;1,N(Tasks[[#This Row],[_LeafTotalSlack]])&lt;=CriticalSlackDays)</f>
        <v>0</v>
      </c>
      <c r="EY67" s="42" t="n">
        <f aca="false">IF(AND(Tasks[[#This Row],[_IsLeaf]]=1,Tasks[[#This Row],[_ConstraintCode]]=1,Tasks[[#This Row],[Mode]]&lt;&gt;"Manual",N(Tasks[[#This Row],[Actual Start]])=0),MAX(0,N(Tasks[[#This Row],[Free Slack]])),0)</f>
        <v>0</v>
      </c>
      <c r="EZ67" s="89" t="str">
        <f aca="false">IF(NOT(Tasks[[#This Row],[_IsLeaf]]=1),"",IF(Tasks[[#This Row],[_AlapShift]]=0,Tasks[[#This Row],[_LeafCalcStart]],WORKDAY.INTL(Tasks[[#This Row],[_LeafCalcStart]],Tasks[[#This Row],[_AlapShift]],WorkWeek,Holidays)))</f>
        <v/>
      </c>
      <c r="FA67" s="89" t="str">
        <f aca="false">IF(NOT(Tasks[[#This Row],[_IsLeaf]]=1),"",IF(Tasks[[#This Row],[_AlapShift]]=0,Tasks[[#This Row],[_LeafCalcFinish]],WORKDAY.INTL(Tasks[[#This Row],[_LeafCalcFinish]],Tasks[[#This Row],[_AlapShift]],WorkWeek,Holidays)))</f>
        <v/>
      </c>
      <c r="FB67" s="89" t="str">
        <f aca="false">IF(NOT(Tasks[[#This Row],[_IsLeaf]]=1),"",IF(Tasks[[#This Row],[_AlapShift]]=0,Tasks[[#This Row],[_LeafFcstStart]],WORKDAY.INTL(Tasks[[#This Row],[_LeafFcstStart]],Tasks[[#This Row],[_AlapShift]],WorkWeek,Holidays)))</f>
        <v/>
      </c>
      <c r="FC67" s="89" t="str">
        <f aca="false">IF(NOT(Tasks[[#This Row],[_IsLeaf]]=1),"",IF(Tasks[[#This Row],[_AlapShift]]=0,Tasks[[#This Row],[_LeafFcstFinish]],WORKDAY.INTL(Tasks[[#This Row],[_LeafFcstFinish]],Tasks[[#This Row],[_AlapShift]],WorkWeek,Holidays)))</f>
        <v/>
      </c>
      <c r="FD67" s="89" t="str">
        <f aca="false">IF(Tasks[[#This Row],[Task Name]]="","",IF(Tasks[[#This Row],[_IsSummary]],MIN(INDEX(Tasks[_ShownCalcStart],Tasks[[#This Row],[_Row]]+1):INDEX(Tasks[_ShownCalcStart],Tasks[[#This Row],[_Row]]+Tasks[[#This Row],[_Descendants]])),Tasks[[#This Row],[_ShownCalcStart]]))</f>
        <v/>
      </c>
      <c r="FE67" s="89" t="str">
        <f aca="false">IF(Tasks[[#This Row],[Task Name]]="","",IF(Tasks[[#This Row],[_IsSummary]],MAX(INDEX(Tasks[_ShownCalcFinish],Tasks[[#This Row],[_Row]]+1):INDEX(Tasks[_ShownCalcFinish],Tasks[[#This Row],[_Row]]+Tasks[[#This Row],[_Descendants]])),Tasks[[#This Row],[_ShownCalcFinish]]))</f>
        <v/>
      </c>
      <c r="FF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7" s="42" t="n">
        <f aca="false">IF(AND(Tasks[[#This Row],[_IsLeaf]]=1,Tasks[[#This Row],[_LeafTotalWork]]&gt;0),NETWORKDAYS.INTL(ProjectStart,Tasks[[#This Row],[_ShownFcstStart]],WorkWeek,Holidays),0)</f>
        <v>0</v>
      </c>
      <c r="FS67" s="42" t="n">
        <f aca="false">IF(AND(Tasks[[#This Row],[_IsLeaf]]=1,Tasks[[#This Row],[_LeafTotalWork]]&gt;0),MAX(Tasks[[#This Row],[_StartWorkday]],NETWORKDAYS.INTL(ProjectStart,Tasks[[#This Row],[_ShownFcstFinish]],WorkWeek,Holidays)),0)</f>
        <v>0</v>
      </c>
      <c r="FT67" s="42" t="n">
        <f aca="false">IF(AND(Tasks[[#This Row],[_IsLeaf]]=1,Tasks[[#This Row],[_LeafTotalWork]]&gt;0),Tasks[[#This Row],[_LeafWork]]/(Tasks[[#This Row],[_FinishWorkday]]-Tasks[[#This Row],[_StartWorkday]]+1),0)</f>
        <v>0</v>
      </c>
      <c r="FU67" s="42" t="n">
        <f aca="false">Tasks[[#This Row],[_WorkPerWorkday]]*(Tasks[[#This Row],[_StartWorkday]]-1)</f>
        <v>-0</v>
      </c>
      <c r="FV67" s="42" t="n">
        <f aca="false">IF(Tasks[[#This Row],[_IsLeaf]]=1,MAX(N(Tasks[[#This Row],[_Days]]),0.1),0)</f>
        <v>0</v>
      </c>
      <c r="FW67" s="42" t="n">
        <f aca="false">Tasks[[#This Row],[_WeightDur]]*Tasks[[#This Row],[_LeafProgress]]</f>
        <v>0</v>
      </c>
      <c r="FX67" s="42" t="n">
        <f aca="false">Tasks[[#This Row],[_WeightDur]]*Tasks[[#This Row],[_PlannedPct]]</f>
        <v>0</v>
      </c>
      <c r="FY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7" s="42" t="str">
        <f aca="false">IF(AND(Tasks[[#This Row],[_IsLeaf]]=1,N(Tasks[[#This Row],[_Days]])=0,Tasks[[#This Row],[_LeafProgress]]&lt;1),Tasks[[#This Row],[_ShownFcstFinish]]+Tasks[[#This Row],[_Row]]/100000,"")</f>
        <v/>
      </c>
      <c r="GA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7" s="42" t="str">
        <f aca="false">IF(Tasks[[#This Row],[Task Name]]="","",LEFT(Tasks[[#This Row],[WBS]],FIND(".",Tasks[[#This Row],[WBS]]&amp;".")-1))</f>
        <v/>
      </c>
      <c r="GC67" s="42" t="str">
        <f aca="false">IF(AND(Tasks[[#This Row],[Task Name]]&lt;&gt;"",Tasks[[#This Row],[_Level]]=1),Tasks[[#This Row],[_Row]],"")</f>
        <v/>
      </c>
      <c r="GD67" s="42" t="str">
        <f aca="false">IF(AND(Tasks[[#This Row],[_IsLeaf]]=1,N(Tasks[[#This Row],[_Days]])=0),Tasks[[#This Row],[Planned Finish]]+Tasks[[#This Row],[_Row]]/100000,"")</f>
        <v/>
      </c>
      <c r="GE67" s="42" t="str">
        <f aca="false">IF(AND(Tasks[[#This Row],[_IsLeaf]]=1,Tasks[[#This Row],[_LeafProgress]]&lt;1,OR(N(Tasks[[#This Row],[Finish Var]])&gt;0,Tasks[[#This Row],[Status]]="Late Start")),MAX(0,Tasks[[#This Row],[Finish Var]])+1-Tasks[[#This Row],[_Row]]/1000000,"")</f>
        <v/>
      </c>
      <c r="GF67" s="42" t="str">
        <f aca="false">IF(AND(Tasks[[#This Row],[_IsLeaf]]=1,N(Tasks[[#This Row],[Actual Start]])=0,Tasks[[#This Row],[_ShownFcstStart]]&gt;=StatusDate,Tasks[[#This Row],[_ShownFcstStart]]&lt;=LookaheadEnd),Tasks[[#This Row],[_ShownFcstStart]]+Tasks[[#This Row],[_Row]]/100000,"")</f>
        <v/>
      </c>
      <c r="GG67" s="42" t="str">
        <f aca="false">IF(AND(Tasks[[#This Row],[_IsLeaf]]=1,Tasks[[#This Row],[_LeafProgress]]&lt;1,Tasks[[#This Row],[_ShownFcstFinish]]&gt;=StatusDate,Tasks[[#This Row],[_ShownFcstFinish]]&lt;=LookaheadEnd),Tasks[[#This Row],[_ShownFcstFinish]]+Tasks[[#This Row],[_Row]]/100000,"")</f>
        <v/>
      </c>
      <c r="GH67" s="42" t="str">
        <f aca="false">IF(Tasks[[#This Row],[_LeafCritical]],Tasks[[#This Row],[_ShownFcstStart]]+Tasks[[#This Row],[_Row]]/100000,"")</f>
        <v/>
      </c>
      <c r="GI67" s="42" t="n">
        <f aca="false">Tasks[[#This Row],[_LeafWork]]*Tasks[[#This Row],[_LeafProgress]]</f>
        <v>0</v>
      </c>
      <c r="GJ67" s="89" t="str">
        <f aca="false">IF(AND(Tasks[[#This Row],[_IsLeaf]]=1,Tasks[[#This Row],[_LeafProgress]]&gt;=1),IF(N(Tasks[[#This Row],[Actual Finish]])&gt;0,Tasks[[#This Row],[Actual Finish]],Tasks[[#This Row],[_ShownFcstFinish]]),"")</f>
        <v/>
      </c>
      <c r="GK67" s="42" t="n">
        <f aca="false">IF(Tasks[[#This Row],[_IsLeaf]]=1,N(Tasks[[#This Row],[Story Points]]),0)</f>
        <v>0</v>
      </c>
      <c r="GL67" s="42" t="str">
        <f aca="false">""</f>
        <v/>
      </c>
      <c r="GM67" s="88" t="b">
        <f aca="false">IF(Tasks[[#This Row],[Task Name]]="",FALSE(),AND(Tasks[[#This Row],[_IsLeaf]]=1,N(Tasks[[#This Row],[_Days]])=0))</f>
        <v>0</v>
      </c>
      <c r="GN67" s="89" t="n">
        <f aca="false">IF(Tasks[[#This Row],[Task Name]]="",0,IF(AND(Tasks[[#This Row],[_IsLeaf]]=1,NOT(Tasks[[#This Row],[_IsMilestone]]),N(Tasks[[#This Row],[Progress]])&gt;0),Tasks[[#This Row],[Start]],0))</f>
        <v>0</v>
      </c>
      <c r="GO67" s="89" t="n">
        <f aca="false">IF(Tasks[[#This Row],[_DoneFrom]]=0,0,IF(Tasks[[#This Row],[Progress]]&gt;=1,Tasks[[#This Row],[Finish]],MAX(Tasks[[#This Row],[_DoneFrom]],Tasks[[#This Row],[Start]]+ROUND((Tasks[[#This Row],[Finish]]-Tasks[[#This Row],[Start]]+1)*Tasks[[#This Row],[Progress]],0)-1)))</f>
        <v>0</v>
      </c>
      <c r="GP67" s="89" t="n">
        <f aca="false">IF(Tasks[[#This Row],[Task Name]]="",0,IF(OR(NOT(Tasks[[#This Row],[_IsLeaf]]=1),Tasks[[#This Row],[_IsMilestone]],N(Tasks[[#This Row],[Progress]])&gt;=1),0,IF(Tasks[[#This Row],[_DoneTo]]&gt;0,Tasks[[#This Row],[_DoneTo]]+1,Tasks[[#This Row],[Start]])))</f>
        <v>0</v>
      </c>
      <c r="GQ67" s="89" t="n">
        <f aca="false">IF(Tasks[[#This Row],[_RemFrom]]=0,0,Tasks[[#This Row],[Finish]])</f>
        <v>0</v>
      </c>
      <c r="GR67" s="88" t="b">
        <f aca="false">IF(Tasks[[#This Row],[Task Name]]="",FALSE(),OR(NOT(BaselineSet),N(Tasks[[#This Row],[Baseline Start]])&gt;0))</f>
        <v>0</v>
      </c>
      <c r="GS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7" s="90" t="str">
        <f aca="false">IF(Tasks[[#This Row],[_IsLeaf]]=1,Tasks[[#This Row],[_Row]],"")</f>
        <v/>
      </c>
      <c r="GW67" s="90" t="str">
        <f aca="false">IFERROR(INDEX(Tasks[UID],SMALL(Tasks[_PickKey],Tasks[[#This Row],[_Row]]))&amp;" "&amp;INDEX(Tasks[Task Name],SMALL(Tasks[_PickKey],Tasks[[#This Row],[_Row]])),"")</f>
        <v/>
      </c>
      <c r="GX67" s="42" t="str">
        <f aca="false">IF(Tasks[[#This Row],[Task Name]]="","",IF(Tasks[[#This Row],[_IsSummary]],NETWORKDAYS.INTL(Tasks[[#This Row],[Start]],Tasks[[#This Row],[Finish]],WorkWeek,Holidays),N(Tasks[[#This Row],[_Days]])))</f>
        <v/>
      </c>
    </row>
    <row r="68" customFormat="false" ht="15" hidden="false" customHeight="false" outlineLevel="0" collapsed="false">
      <c r="A68" s="21" t="str">
        <f aca="false">IF(Tasks[[#This Row],[Task Name]]="","",COUNTA(Tasks[[#Headers],[Task Name]]:Tasks[[#This Row],[Task Name]])-1)</f>
        <v/>
      </c>
      <c r="B68" s="22" t="n">
        <v>76</v>
      </c>
      <c r="C68" s="22"/>
      <c r="D68" s="23"/>
      <c r="E68" s="22"/>
      <c r="F68" s="23"/>
      <c r="G68" s="22"/>
      <c r="H68" s="22"/>
      <c r="I68" s="23"/>
      <c r="J68" s="22"/>
      <c r="K68" s="22"/>
      <c r="L68" s="23"/>
      <c r="M68" s="22"/>
      <c r="N68" s="22"/>
      <c r="O68" s="23"/>
      <c r="P68" s="22"/>
      <c r="Q68" s="22"/>
      <c r="R68" s="23"/>
      <c r="S68" s="23"/>
      <c r="T68" s="83"/>
      <c r="U68" s="23"/>
      <c r="V68" s="83"/>
      <c r="W68" s="23"/>
      <c r="X68" s="83"/>
      <c r="Y68" s="23"/>
      <c r="Z68" s="83"/>
      <c r="AA68" s="23"/>
      <c r="AB68" s="23"/>
      <c r="AC68" s="7"/>
      <c r="AD68" s="7"/>
      <c r="AE68" s="62" t="str">
        <f aca="false">IF(Tasks[[#This Row],[Task Name]]="","",IF(Tasks[[#This Row],[_IsSummary]],MIN(INDEX(Tasks[_ShownFcstStart],Tasks[[#This Row],[_Row]]+1):INDEX(Tasks[_ShownFcstStart],Tasks[[#This Row],[_Row]]+Tasks[[#This Row],[_Descendants]])),Tasks[[#This Row],[_ShownFcstStart]]))</f>
        <v/>
      </c>
      <c r="AF68" s="62" t="str">
        <f aca="false">IF(Tasks[[#This Row],[Task Name]]="","",IF(Tasks[[#This Row],[_IsSummary]],MAX(INDEX(Tasks[_ShownFcstFinish],Tasks[[#This Row],[_Row]]+1):INDEX(Tasks[_ShownFcstFinish],Tasks[[#This Row],[_Row]]+Tasks[[#This Row],[_Descendants]])),Tasks[[#This Row],[_ShownFcstFinish]]))</f>
        <v/>
      </c>
      <c r="AG68" s="21" t="str">
        <f aca="false">""</f>
        <v/>
      </c>
      <c r="AH68" s="23"/>
      <c r="AI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8" s="7"/>
      <c r="AK68" s="22"/>
      <c r="AL68" s="23"/>
      <c r="AM68" s="7"/>
      <c r="AN68" s="46" t="str">
        <f aca="false">IF(Tasks[[#This Row],[Task Name]]="","",IF(Tasks[[#This Row],[Finish]]&gt;=Tasks[[#This Row],[Planned Finish]],NETWORKDAYS.INTL(Tasks[[#This Row],[Planned Finish]],Tasks[[#This Row],[Finish]],WorkWeek,Holidays)-1,1-NETWORKDAYS.INTL(Tasks[[#This Row],[Finish]],Tasks[[#This Row],[Planned Finish]],WorkWeek,Holidays)))</f>
        <v/>
      </c>
      <c r="AO68" s="21" t="str">
        <f aca="false">IF(Tasks[[#This Row],[Task Name]]="","",IF(Tasks[[#This Row],[Progress]]&gt;=1,"Complete",IF(OR(N(Tasks[[#This Row],[Actual Start]])&gt;0,Tasks[[#This Row],[Progress]]&gt;0),IF(Tasks[[#This Row],[Finish Var]]&gt;0,"Behind","In Progress"),IF(Tasks[[#This Row],[Planned Start]]&lt;StatusDate,"Late Start","Not Started"))))</f>
        <v/>
      </c>
      <c r="AP68" s="21" t="str">
        <f aca="false">IF(Tasks[[#This Row],[Task Name]]="","",IF(IF(Tasks[[#This Row],[_IsSummary]],COUNTIF(INDEX(Tasks[_LeafCritical],Tasks[[#This Row],[_Row]]+1):INDEX(Tasks[_LeafCritical],Tasks[[#This Row],[_Row]]+Tasks[[#This Row],[_Descendants]]),TRUE())&gt;0,Tasks[[#This Row],[_LeafCritical]]),"Yes",""))</f>
        <v/>
      </c>
      <c r="AQ68" s="62" t="str">
        <f aca="false">IF(Tasks[[#This Row],[Task Name]]="","",IF(N(Tasks[[#This Row],[Baseline Start]])&gt;0,Tasks[[#This Row],[Baseline Start]],Tasks[[#This Row],[_CalcStart]]))</f>
        <v/>
      </c>
      <c r="AR68" s="62" t="str">
        <f aca="false">IF(Tasks[[#This Row],[Task Name]]="","",IF(N(Tasks[[#This Row],[Baseline Finish]])&gt;0,Tasks[[#This Row],[Baseline Finish]],Tasks[[#This Row],[_CalcFinish]]))</f>
        <v/>
      </c>
      <c r="AS68" s="46" t="str">
        <f aca="false">IF(Tasks[[#This Row],[Task Name]]="","",IF(Tasks[[#This Row],[Start]]&gt;=Tasks[[#This Row],[Planned Start]],NETWORKDAYS.INTL(Tasks[[#This Row],[Planned Start]],Tasks[[#This Row],[Start]],WorkWeek,Holidays)-1,1-NETWORKDAYS.INTL(Tasks[[#This Row],[Start]],Tasks[[#This Row],[Planned Start]],WorkWeek,Holidays)))</f>
        <v/>
      </c>
      <c r="AT68" s="62" t="str">
        <f aca="false">IF(Tasks[[#This Row],[Task Name]]="","",IF(Tasks[[#This Row],[_IsSummary]],MIN(INDEX(Tasks[_LeafLateStart],Tasks[[#This Row],[_Row]]+1):INDEX(Tasks[_LeafLateStart],Tasks[[#This Row],[_Row]]+Tasks[[#This Row],[_Descendants]])),Tasks[[#This Row],[_LeafLateStart]]))</f>
        <v/>
      </c>
      <c r="AU68" s="62" t="str">
        <f aca="false">IF(Tasks[[#This Row],[Task Name]]="","",IF(Tasks[[#This Row],[_IsSummary]],MAX(INDEX(Tasks[_LeafLateFinish],Tasks[[#This Row],[_Row]]+1):INDEX(Tasks[_LeafLateFinish],Tasks[[#This Row],[_Row]]+Tasks[[#This Row],[_Descendants]])),Tasks[[#This Row],[_LeafLateFinish]]))</f>
        <v/>
      </c>
      <c r="AV68" s="46" t="str">
        <f aca="false">IF(Tasks[[#This Row],[Task Name]]="","",IF(Tasks[[#This Row],[_IsSummary]],MIN(INDEX(Tasks[_LeafTotalSlack],Tasks[[#This Row],[_Row]]+1):INDEX(Tasks[_LeafTotalSlack],Tasks[[#This Row],[_Row]]+Tasks[[#This Row],[_Descendants]])),Tasks[[#This Row],[_LeafTotalSlack]]))</f>
        <v/>
      </c>
      <c r="AW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4"/>
      <c r="BA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t="str">
        <f aca="false">IF(Tasks[[#This Row],[Task Name]]="","",IF(Tasks[[#This Row],[_Level]]&lt;=OutlineShowLevel,"Yes","No"))</f>
        <v/>
      </c>
      <c r="BE68" s="85" t="str">
        <f aca="false">IF(Tasks[[#This Row],[Task Name]]="","",IF(Tasks[[#This Row],[_IsSummary]],SUM(INDEX(Tasks[_LeafTotalWork],Tasks[[#This Row],[_Row]]+1):INDEX(Tasks[_LeafTotalWork],Tasks[[#This Row],[_Row]]+Tasks[[#This Row],[_Descendants]])),Tasks[[#This Row],[_LeafTotalWork]]))</f>
        <v/>
      </c>
      <c r="BF68" s="23"/>
      <c r="BG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t="str">
        <f aca="false">""</f>
        <v/>
      </c>
      <c r="BI68" s="86"/>
      <c r="BJ68" s="22"/>
      <c r="BK68" s="46" t="str">
        <f aca="false">IF(OR(Tasks[[#This Row],[Task Name]]="",Tasks[[#This Row],[Baseline Duration]]=""),"",Tasks[[#This Row],[_SpanDays]]-N(Tasks[[#This Row],[Baseline Duration]]))</f>
        <v/>
      </c>
      <c r="BL68" s="85" t="str">
        <f aca="false">IF(OR(Tasks[[#This Row],[Task Name]]="",Tasks[[#This Row],[Baseline Work]]=""),"",Tasks[[#This Row],[Work]]-N(Tasks[[#This Row],[Baseline Work]]))</f>
        <v/>
      </c>
      <c r="BM68" s="62" t="str">
        <f aca="false">IF(Tasks[[#This Row],[Task Name]]="","",IF(OR(TakeBaseline="Yes",N(Tasks[[#This Row],[Baseline Start]])=0),Tasks[[#This Row],[Start]],Tasks[[#This Row],[Baseline Start]]))</f>
        <v/>
      </c>
      <c r="BN68" s="62" t="str">
        <f aca="false">IF(Tasks[[#This Row],[Task Name]]="","",IF(OR(TakeBaseline="Yes",N(Tasks[[#This Row],[Baseline Finish]])=0),Tasks[[#This Row],[Finish]],Tasks[[#This Row],[Baseline Finish]]))</f>
        <v/>
      </c>
      <c r="BO68" s="21" t="str">
        <f aca="false">IF(Tasks[[#This Row],[Task Name]]="","",IF(OR(TakeBaseline="Yes",N(Tasks[[#This Row],[Baseline Duration]])=0),Tasks[[#This Row],[_SpanDays]],Tasks[[#This Row],[Baseline Duration]]))</f>
        <v/>
      </c>
      <c r="BP68" s="85" t="str">
        <f aca="false">IF(Tasks[[#This Row],[Task Name]]="","",IF(OR(TakeBaseline="Yes",N(Tasks[[#This Row],[Baseline Work]])=0),Tasks[[#This Row],[Work]],Tasks[[#This Row],[Baseline Work]]))</f>
        <v/>
      </c>
      <c r="BQ68" s="7"/>
      <c r="BR68" s="7"/>
      <c r="BS68" s="22"/>
      <c r="BT68" s="87"/>
      <c r="BU68" s="42" t="str">
        <f aca="false">IF(Tasks[[#This Row],[Task Name]]="","",MAX(1,N(Tasks[[#This Row],[Level]])))</f>
        <v/>
      </c>
      <c r="BV68" s="42" t="n">
        <f aca="false">ROW()-ROW(Tasks[[#Headers],[ID]])</f>
        <v>63</v>
      </c>
      <c r="BW68" s="42" t="n">
        <f aca="false">IF(OR(Tasks[[#This Row],[Task Name]]="",Tasks[[#This Row],[_Level]]&lt;=1),0,IFERROR(LOOKUP(2,1/(Tasks[[#Headers],[_Level]]:Tasks[[#This Row],[_Level]]=Tasks[[#This Row],[_Level]]-1),ROW(Tasks[[#Headers],[_Level]]:Tasks[[#This Row],[_Level]])),0))</f>
        <v>0</v>
      </c>
      <c r="BX68" s="42" t="n">
        <f aca="false">IFERROR(N(INDEX(Tasks[_Level],Tasks[[#This Row],[_Row]]+1)),0)</f>
        <v>0</v>
      </c>
      <c r="BY68" s="88" t="b">
        <f aca="false">AND(Tasks[[#This Row],[Task Name]]&lt;&gt;"",Tasks[[#This Row],[_NextLevel]]&gt;Tasks[[#This Row],[_Level]])</f>
        <v>0</v>
      </c>
      <c r="BZ68" s="42" t="n">
        <f aca="false">IF(Tasks[[#This Row],[_IsSummary]],COUNTIF(Tasks[WBS],Tasks[[#This Row],[WBS]]&amp;".*"),0)</f>
        <v>0</v>
      </c>
      <c r="CA68" s="42" t="n">
        <f aca="false">IF(AND(Tasks[[#This Row],[Task Name]]&lt;&gt;"",NOT(Tasks[[#This Row],[_IsSummary]])),1,0)</f>
        <v>0</v>
      </c>
      <c r="CB68" s="42" t="n">
        <f aca="false">IF(N(Tasks[[#This Row],[_Pred1UID]])=0,0,IFERROR(MATCH(Tasks[[#This Row],[_Pred1UID]],Tasks[UID],0),-1))</f>
        <v>0</v>
      </c>
      <c r="CC68" s="42" t="n">
        <f aca="false">IF(N(Tasks[[#This Row],[_Pred2UID]])=0,0,IFERROR(MATCH(Tasks[[#This Row],[_Pred2UID]],Tasks[UID],0),-1))</f>
        <v>0</v>
      </c>
      <c r="CD68" s="42" t="n">
        <f aca="false">IF(N(Tasks[[#This Row],[_Pred3UID]])=0,0,IFERROR(MATCH(Tasks[[#This Row],[_Pred3UID]],Tasks[UID],0),-1))</f>
        <v>0</v>
      </c>
      <c r="CE68" s="42" t="n">
        <f aca="false">IF(N(Tasks[[#This Row],[_Pred4UID]])=0,0,IFERROR(MATCH(Tasks[[#This Row],[_Pred4UID]],Tasks[UID],0),-1))</f>
        <v>0</v>
      </c>
      <c r="CF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8" s="89" t="n">
        <f aca="false">IF(OR(Tasks[[#This Row],[_ConstraintCode]]=2,Tasks[[#This Row],[_ConstraintCode]]=3,Tasks[[#This Row],[_ConstraintCode]]=4,Tasks[[#This Row],[_ConstraintCode]]=6),Tasks[[#This Row],[_ConstraintStart]],0)</f>
        <v>0</v>
      </c>
      <c r="CI68" s="89" t="n">
        <f aca="false">IF(OR(Tasks[[#This Row],[_ConstraintCode]]=2,Tasks[[#This Row],[_ConstraintCode]]=3,Tasks[[#This Row],[_ConstraintCode]]=5,Tasks[[#This Row],[_ConstraintCode]]=7),Tasks[[#This Row],[_ConstraintStart]],2958465)</f>
        <v>2958465</v>
      </c>
      <c r="CJ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8" s="89" t="str">
        <f aca="false">IF(NOT(Tasks[[#This Row],[_IsLeaf]]=1),"",IF(N(Tasks[[#This Row],[_Days]])&lt;=0,Tasks[[#This Row],[_LeafCalcStart]],WORKDAY.INTL(Tasks[[#This Row],[_LeafCalcStart]],Tasks[[#This Row],[_Days]]-1,WorkWeek,Holidays)))</f>
        <v/>
      </c>
      <c r="CL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8" s="42" t="str">
        <f aca="false">IF(Tasks[[#This Row],[_Predecessors]]="","",TRIM(MID(SUBSTITUTE(SUBSTITUTE(SUBSTITUTE(UPPER(Tasks[[#This Row],[_Predecessors]]),";",",")," ",""),",",REPT(" ",99)),1,99)))</f>
        <v/>
      </c>
      <c r="CO68" s="42" t="str">
        <f aca="false">IF(Tasks[[#This Row],[_Pred1Text]]="","",IFERROR(VALUE(LEFT(Tasks[[#This Row],[_Pred1Text]],MIN(FIND("F",Tasks[[#This Row],[_Pred1Text]]&amp;"F"),FIND("S",Tasks[[#This Row],[_Pred1Text]]&amp;"S"),FIND("+",Tasks[[#This Row],[_Pred1Text]]&amp;"+"),FIND("-",Tasks[[#This Row],[_Pred1Text]]&amp;"-"))-1)),""))</f>
        <v/>
      </c>
      <c r="CP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8" s="42" t="str">
        <f aca="false">IF(Tasks[[#This Row],[_Pred1Text]]="","",TRIM(MID(SUBSTITUTE(SUBSTITUTE(SUBSTITUTE(UPPER(Tasks[[#This Row],[_Predecessors]]),";",",")," ",""),",",REPT(" ",99)),100,99)))</f>
        <v/>
      </c>
      <c r="CS68" s="42" t="str">
        <f aca="false">IF(Tasks[[#This Row],[_Pred2Text]]="","",IFERROR(VALUE(LEFT(Tasks[[#This Row],[_Pred2Text]],MIN(FIND("F",Tasks[[#This Row],[_Pred2Text]]&amp;"F"),FIND("S",Tasks[[#This Row],[_Pred2Text]]&amp;"S"),FIND("+",Tasks[[#This Row],[_Pred2Text]]&amp;"+"),FIND("-",Tasks[[#This Row],[_Pred2Text]]&amp;"-"))-1)),""))</f>
        <v/>
      </c>
      <c r="CT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8" s="42" t="str">
        <f aca="false">IF(Tasks[[#This Row],[_Pred2Text]]="","",TRIM(MID(SUBSTITUTE(SUBSTITUTE(SUBSTITUTE(UPPER(Tasks[[#This Row],[_Predecessors]]),";",",")," ",""),",",REPT(" ",99)),199,99)))</f>
        <v/>
      </c>
      <c r="CW68" s="42" t="str">
        <f aca="false">IF(Tasks[[#This Row],[_Pred3Text]]="","",IFERROR(VALUE(LEFT(Tasks[[#This Row],[_Pred3Text]],MIN(FIND("F",Tasks[[#This Row],[_Pred3Text]]&amp;"F"),FIND("S",Tasks[[#This Row],[_Pred3Text]]&amp;"S"),FIND("+",Tasks[[#This Row],[_Pred3Text]]&amp;"+"),FIND("-",Tasks[[#This Row],[_Pred3Text]]&amp;"-"))-1)),""))</f>
        <v/>
      </c>
      <c r="CX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8" s="42" t="str">
        <f aca="false">IF(Tasks[[#This Row],[_Pred3Text]]="","",TRIM(MID(SUBSTITUTE(SUBSTITUTE(SUBSTITUTE(UPPER(Tasks[[#This Row],[_Predecessors]]),";",",")," ",""),",",REPT(" ",99)),298,99)))</f>
        <v/>
      </c>
      <c r="DA68" s="42" t="str">
        <f aca="false">IF(Tasks[[#This Row],[_Pred4Text]]="","",IFERROR(VALUE(LEFT(Tasks[[#This Row],[_Pred4Text]],MIN(FIND("F",Tasks[[#This Row],[_Pred4Text]]&amp;"F"),FIND("S",Tasks[[#This Row],[_Pred4Text]]&amp;"S"),FIND("+",Tasks[[#This Row],[_Pred4Text]]&amp;"+"),FIND("-",Tasks[[#This Row],[_Pred4Text]]&amp;"-"))-1)),""))</f>
        <v/>
      </c>
      <c r="DB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8" s="42" t="str">
        <f aca="false">IF(OR(Tasks[[#This Row],[Task Name]]="",Tasks[[#This Row],[_Resources]]=""),"",TRIM(MID(SUBSTITUTE(Tasks[[#This Row],[_Resources]],",",REPT(" ",99)),1,99)))</f>
        <v/>
      </c>
      <c r="DE68" s="42" t="str">
        <f aca="false">IF(Tasks[[#This Row],[_Res1Text]]="","",TRIM(MID(SUBSTITUTE(Tasks[[#This Row],[_Resources]],",",REPT(" ",99)),100,99)))</f>
        <v/>
      </c>
      <c r="DF68" s="42" t="str">
        <f aca="false">IF(Tasks[[#This Row],[_Res2Text]]="","",TRIM(MID(SUBSTITUTE(Tasks[[#This Row],[_Resources]],",",REPT(" ",99)),199,99)))</f>
        <v/>
      </c>
      <c r="DG68" s="42" t="str">
        <f aca="false">IF(Tasks[[#This Row],[_Res3Text]]="","",TRIM(MID(SUBSTITUTE(Tasks[[#This Row],[_Resources]],",",REPT(" ",99)),298,99)))</f>
        <v/>
      </c>
      <c r="DH68" s="42" t="n">
        <f aca="false">IF(Tasks[[#This Row],[_Res1Text]]="",0,IFERROR(MATCH(TRIM(LEFT(Tasks[[#This Row],[_Res1Text]],FIND("[",Tasks[[#This Row],[_Res1Text]]&amp;"[")-1)),res_Name,0),IFERROR(MATCH(TRIM(LEFT(Tasks[[#This Row],[_Res1Text]],FIND("[",Tasks[[#This Row],[_Res1Text]]&amp;"[")-1)),res_Initials,0),0)))</f>
        <v>0</v>
      </c>
      <c r="DI68" s="42" t="n">
        <f aca="false">IF(Tasks[[#This Row],[_Res2Text]]="",0,IFERROR(MATCH(TRIM(LEFT(Tasks[[#This Row],[_Res2Text]],FIND("[",Tasks[[#This Row],[_Res2Text]]&amp;"[")-1)),res_Name,0),IFERROR(MATCH(TRIM(LEFT(Tasks[[#This Row],[_Res2Text]],FIND("[",Tasks[[#This Row],[_Res2Text]]&amp;"[")-1)),res_Initials,0),0)))</f>
        <v>0</v>
      </c>
      <c r="DJ68" s="42" t="n">
        <f aca="false">IF(Tasks[[#This Row],[_Res3Text]]="",0,IFERROR(MATCH(TRIM(LEFT(Tasks[[#This Row],[_Res3Text]],FIND("[",Tasks[[#This Row],[_Res3Text]]&amp;"[")-1)),res_Name,0),IFERROR(MATCH(TRIM(LEFT(Tasks[[#This Row],[_Res3Text]],FIND("[",Tasks[[#This Row],[_Res3Text]]&amp;"[")-1)),res_Initials,0),0)))</f>
        <v>0</v>
      </c>
      <c r="DK68" s="42" t="n">
        <f aca="false">IF(Tasks[[#This Row],[_Res4Text]]="",0,IFERROR(MATCH(TRIM(LEFT(Tasks[[#This Row],[_Res4Text]],FIND("[",Tasks[[#This Row],[_Res4Text]]&amp;"[")-1)),res_Name,0),IFERROR(MATCH(TRIM(LEFT(Tasks[[#This Row],[_Res4Text]],FIND("[",Tasks[[#This Row],[_Res4Text]]&amp;"[")-1)),res_Initials,0),0)))</f>
        <v>0</v>
      </c>
      <c r="DL68" s="42" t="str">
        <f aca="false">IF(Tasks[[#This Row],[_Res1Text]]="","",IF(Tasks[[#This Row],[_Res1Row]]&gt;0,INDEX(res_Name,Tasks[[#This Row],[_Res1Row]]),TRIM(LEFT(Tasks[[#This Row],[_Res1Text]],FIND("[",Tasks[[#This Row],[_Res1Text]]&amp;"[")-1))))</f>
        <v/>
      </c>
      <c r="DM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8" s="42" t="n">
        <f aca="false">IF(NOT(Tasks[[#This Row],[_IsLeaf]]=1),0,(Tasks[[#This Row],[_Resource1]]&lt;&gt;"")+(Tasks[[#This Row],[_Res2]]&lt;&gt;"")+(Tasks[[#This Row],[_Res3]]&lt;&gt;"")+(Tasks[[#This Row],[_Res4]]&lt;&gt;""))</f>
        <v>0</v>
      </c>
      <c r="DO68" s="42" t="str">
        <f aca="false">IF(Tasks[[#This Row],[_Res2Text]]="","",IF(Tasks[[#This Row],[_Res2Row]]&gt;0,INDEX(res_Name,Tasks[[#This Row],[_Res2Row]]),TRIM(LEFT(Tasks[[#This Row],[_Res2Text]],FIND("[",Tasks[[#This Row],[_Res2Text]]&amp;"[")-1))))</f>
        <v/>
      </c>
      <c r="DP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8" s="42" t="n">
        <f aca="false">IF(OR(NOT(Tasks[[#This Row],[_IsLeaf]]=1),Tasks[[#This Row],[_Res2Row]]=0),0,N(Tasks[[#This Row],[_Days]])*HoursPerDay*IF(Tasks[[#This Row],[_Res2Units]]="",DefaultUnits,Tasks[[#This Row],[_Res2Units]]))</f>
        <v>0</v>
      </c>
      <c r="DR68" s="42" t="n">
        <f aca="false">IF(AND(AND(Tasks[[#This Row],[_IsLeaf]]=1,Tasks[[#This Row],[_LeafTotalWork]]&gt;0),Tasks[[#This Row],[_Res2Work]]&gt;0),Tasks[[#This Row],[_Res2Work]]/(Tasks[[#This Row],[_FinishWorkday]]-Tasks[[#This Row],[_StartWorkday]]+1),0)</f>
        <v>0</v>
      </c>
      <c r="DS68" s="42" t="n">
        <f aca="false">Tasks[[#This Row],[_Res2WorkPerWD]]*MAX(0,Tasks[[#This Row],[_StartWorkday]]-1)</f>
        <v>0</v>
      </c>
      <c r="DT68" s="42" t="n">
        <f aca="false">Tasks[[#This Row],[_Res2Work]]*Tasks[[#This Row],[_LeafProgress]]</f>
        <v>0</v>
      </c>
      <c r="DU68" s="42" t="str">
        <f aca="false">IF(Tasks[[#This Row],[_Res3Text]]="","",IF(Tasks[[#This Row],[_Res3Row]]&gt;0,INDEX(res_Name,Tasks[[#This Row],[_Res3Row]]),TRIM(LEFT(Tasks[[#This Row],[_Res3Text]],FIND("[",Tasks[[#This Row],[_Res3Text]]&amp;"[")-1))))</f>
        <v/>
      </c>
      <c r="DV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8" s="42" t="n">
        <f aca="false">IF(OR(NOT(Tasks[[#This Row],[_IsLeaf]]=1),Tasks[[#This Row],[_Res3Row]]=0),0,N(Tasks[[#This Row],[_Days]])*HoursPerDay*IF(Tasks[[#This Row],[_Res3Units]]="",DefaultUnits,Tasks[[#This Row],[_Res3Units]]))</f>
        <v>0</v>
      </c>
      <c r="DX68" s="42" t="n">
        <f aca="false">IF(AND(AND(Tasks[[#This Row],[_IsLeaf]]=1,Tasks[[#This Row],[_LeafTotalWork]]&gt;0),Tasks[[#This Row],[_Res3Work]]&gt;0),Tasks[[#This Row],[_Res3Work]]/(Tasks[[#This Row],[_FinishWorkday]]-Tasks[[#This Row],[_StartWorkday]]+1),0)</f>
        <v>0</v>
      </c>
      <c r="DY68" s="42" t="n">
        <f aca="false">Tasks[[#This Row],[_Res3WorkPerWD]]*MAX(0,Tasks[[#This Row],[_StartWorkday]]-1)</f>
        <v>0</v>
      </c>
      <c r="DZ68" s="42" t="n">
        <f aca="false">Tasks[[#This Row],[_Res3Work]]*Tasks[[#This Row],[_LeafProgress]]</f>
        <v>0</v>
      </c>
      <c r="EA68" s="42" t="str">
        <f aca="false">IF(Tasks[[#This Row],[_Res4Text]]="","",IF(Tasks[[#This Row],[_Res4Row]]&gt;0,INDEX(res_Name,Tasks[[#This Row],[_Res4Row]]),TRIM(LEFT(Tasks[[#This Row],[_Res4Text]],FIND("[",Tasks[[#This Row],[_Res4Text]]&amp;"[")-1))))</f>
        <v/>
      </c>
      <c r="EB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8" s="42" t="n">
        <f aca="false">IF(OR(NOT(Tasks[[#This Row],[_IsLeaf]]=1),Tasks[[#This Row],[_Res4Row]]=0),0,N(Tasks[[#This Row],[_Days]])*HoursPerDay*IF(Tasks[[#This Row],[_Res4Units]]="",DefaultUnits,Tasks[[#This Row],[_Res4Units]]))</f>
        <v>0</v>
      </c>
      <c r="ED68" s="42" t="n">
        <f aca="false">IF(AND(AND(Tasks[[#This Row],[_IsLeaf]]=1,Tasks[[#This Row],[_LeafTotalWork]]&gt;0),Tasks[[#This Row],[_Res4Work]]&gt;0),Tasks[[#This Row],[_Res4Work]]/(Tasks[[#This Row],[_FinishWorkday]]-Tasks[[#This Row],[_StartWorkday]]+1),0)</f>
        <v>0</v>
      </c>
      <c r="EE68" s="42" t="n">
        <f aca="false">Tasks[[#This Row],[_Res4WorkPerWD]]*MAX(0,Tasks[[#This Row],[_StartWorkday]]-1)</f>
        <v>0</v>
      </c>
      <c r="EF68" s="42" t="n">
        <f aca="false">Tasks[[#This Row],[_Res4Work]]*Tasks[[#This Row],[_LeafProgress]]</f>
        <v>0</v>
      </c>
      <c r="EG68" s="42" t="n">
        <f aca="false">IF(ISNUMBER(Tasks[[#This Row],[% Complete]]),Tasks[[#This Row],[% Complete]],IF(Tasks[[#This Row],[Stage]]="",0,IFERROR(INDEX(stg_Pct,MATCH(Tasks[[#This Row],[Stage]],stg_Name,0)),0)))</f>
        <v>0</v>
      </c>
      <c r="EH68" s="42" t="n">
        <f aca="false">IF(NOT(Tasks[[#This Row],[_IsLeaf]]=1),0,IF(N(Tasks[[#This Row],[Actual Finish]])&gt;0,1,MIN(1,Tasks[[#This Row],[_Pct]])))</f>
        <v>0</v>
      </c>
      <c r="EI68" s="42" t="n">
        <f aca="false">IF(OR(NOT(Tasks[[#This Row],[_IsLeaf]]=1),Tasks[[#This Row],[_Res1Row]]=0),0,N(Tasks[[#This Row],[_Days]])*HoursPerDay*IF(Tasks[[#This Row],[_Units1]]="",DefaultUnits,Tasks[[#This Row],[_Units1]]))</f>
        <v>0</v>
      </c>
      <c r="EJ68" s="42" t="n">
        <f aca="false">Tasks[[#This Row],[_LeafWork]]+Tasks[[#This Row],[_Res2Work]]+Tasks[[#This Row],[_Res3Work]]+Tasks[[#This Row],[_Res4Work]]</f>
        <v>0</v>
      </c>
      <c r="EK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8" s="42" t="n">
        <f aca="false">IF(NOT(Tasks[[#This Row],[_IsLeaf]]=1),0,MAX(_xlfn.MAXIFS(Tasks[_Row],Tasks[_Pred1UID],Tasks[[#This Row],[UID]]),_xlfn.MAXIFS(Tasks[_Row],Tasks[_Pred2UID],Tasks[[#This Row],[UID]]),_xlfn.MAXIFS(Tasks[_Row],Tasks[_Pred3UID],Tasks[[#This Row],[UID]]),_xlfn.MAXIFS(Tasks[_Row],Tasks[_Pred4UID],Tasks[[#This Row],[UID]])))</f>
        <v>0</v>
      </c>
      <c r="ET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8" s="89" t="str">
        <f aca="false">IF(NOT(Tasks[[#This Row],[_IsLeaf]]=1),"",IF(N(Tasks[[#This Row],[_Days]])&lt;=0,Tasks[[#This Row],[_LeafLateFinish]],WORKDAY.INTL(Tasks[[#This Row],[_LeafLateFinish]],-(Tasks[[#This Row],[_Days]]-1),WorkWeek,Holidays)))</f>
        <v/>
      </c>
      <c r="EW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8" s="88" t="b">
        <f aca="false">AND(Tasks[[#This Row],[_IsLeaf]]=1,Tasks[[#This Row],[_LeafProgress]]&lt;1,N(Tasks[[#This Row],[_LeafTotalSlack]])&lt;=CriticalSlackDays)</f>
        <v>0</v>
      </c>
      <c r="EY68" s="42" t="n">
        <f aca="false">IF(AND(Tasks[[#This Row],[_IsLeaf]]=1,Tasks[[#This Row],[_ConstraintCode]]=1,Tasks[[#This Row],[Mode]]&lt;&gt;"Manual",N(Tasks[[#This Row],[Actual Start]])=0),MAX(0,N(Tasks[[#This Row],[Free Slack]])),0)</f>
        <v>0</v>
      </c>
      <c r="EZ68" s="89" t="str">
        <f aca="false">IF(NOT(Tasks[[#This Row],[_IsLeaf]]=1),"",IF(Tasks[[#This Row],[_AlapShift]]=0,Tasks[[#This Row],[_LeafCalcStart]],WORKDAY.INTL(Tasks[[#This Row],[_LeafCalcStart]],Tasks[[#This Row],[_AlapShift]],WorkWeek,Holidays)))</f>
        <v/>
      </c>
      <c r="FA68" s="89" t="str">
        <f aca="false">IF(NOT(Tasks[[#This Row],[_IsLeaf]]=1),"",IF(Tasks[[#This Row],[_AlapShift]]=0,Tasks[[#This Row],[_LeafCalcFinish]],WORKDAY.INTL(Tasks[[#This Row],[_LeafCalcFinish]],Tasks[[#This Row],[_AlapShift]],WorkWeek,Holidays)))</f>
        <v/>
      </c>
      <c r="FB68" s="89" t="str">
        <f aca="false">IF(NOT(Tasks[[#This Row],[_IsLeaf]]=1),"",IF(Tasks[[#This Row],[_AlapShift]]=0,Tasks[[#This Row],[_LeafFcstStart]],WORKDAY.INTL(Tasks[[#This Row],[_LeafFcstStart]],Tasks[[#This Row],[_AlapShift]],WorkWeek,Holidays)))</f>
        <v/>
      </c>
      <c r="FC68" s="89" t="str">
        <f aca="false">IF(NOT(Tasks[[#This Row],[_IsLeaf]]=1),"",IF(Tasks[[#This Row],[_AlapShift]]=0,Tasks[[#This Row],[_LeafFcstFinish]],WORKDAY.INTL(Tasks[[#This Row],[_LeafFcstFinish]],Tasks[[#This Row],[_AlapShift]],WorkWeek,Holidays)))</f>
        <v/>
      </c>
      <c r="FD68" s="89" t="str">
        <f aca="false">IF(Tasks[[#This Row],[Task Name]]="","",IF(Tasks[[#This Row],[_IsSummary]],MIN(INDEX(Tasks[_ShownCalcStart],Tasks[[#This Row],[_Row]]+1):INDEX(Tasks[_ShownCalcStart],Tasks[[#This Row],[_Row]]+Tasks[[#This Row],[_Descendants]])),Tasks[[#This Row],[_ShownCalcStart]]))</f>
        <v/>
      </c>
      <c r="FE68" s="89" t="str">
        <f aca="false">IF(Tasks[[#This Row],[Task Name]]="","",IF(Tasks[[#This Row],[_IsSummary]],MAX(INDEX(Tasks[_ShownCalcFinish],Tasks[[#This Row],[_Row]]+1):INDEX(Tasks[_ShownCalcFinish],Tasks[[#This Row],[_Row]]+Tasks[[#This Row],[_Descendants]])),Tasks[[#This Row],[_ShownCalcFinish]]))</f>
        <v/>
      </c>
      <c r="FF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8" s="42" t="n">
        <f aca="false">IF(AND(Tasks[[#This Row],[_IsLeaf]]=1,Tasks[[#This Row],[_LeafTotalWork]]&gt;0),NETWORKDAYS.INTL(ProjectStart,Tasks[[#This Row],[_ShownFcstStart]],WorkWeek,Holidays),0)</f>
        <v>0</v>
      </c>
      <c r="FS68" s="42" t="n">
        <f aca="false">IF(AND(Tasks[[#This Row],[_IsLeaf]]=1,Tasks[[#This Row],[_LeafTotalWork]]&gt;0),MAX(Tasks[[#This Row],[_StartWorkday]],NETWORKDAYS.INTL(ProjectStart,Tasks[[#This Row],[_ShownFcstFinish]],WorkWeek,Holidays)),0)</f>
        <v>0</v>
      </c>
      <c r="FT68" s="42" t="n">
        <f aca="false">IF(AND(Tasks[[#This Row],[_IsLeaf]]=1,Tasks[[#This Row],[_LeafTotalWork]]&gt;0),Tasks[[#This Row],[_LeafWork]]/(Tasks[[#This Row],[_FinishWorkday]]-Tasks[[#This Row],[_StartWorkday]]+1),0)</f>
        <v>0</v>
      </c>
      <c r="FU68" s="42" t="n">
        <f aca="false">Tasks[[#This Row],[_WorkPerWorkday]]*(Tasks[[#This Row],[_StartWorkday]]-1)</f>
        <v>-0</v>
      </c>
      <c r="FV68" s="42" t="n">
        <f aca="false">IF(Tasks[[#This Row],[_IsLeaf]]=1,MAX(N(Tasks[[#This Row],[_Days]]),0.1),0)</f>
        <v>0</v>
      </c>
      <c r="FW68" s="42" t="n">
        <f aca="false">Tasks[[#This Row],[_WeightDur]]*Tasks[[#This Row],[_LeafProgress]]</f>
        <v>0</v>
      </c>
      <c r="FX68" s="42" t="n">
        <f aca="false">Tasks[[#This Row],[_WeightDur]]*Tasks[[#This Row],[_PlannedPct]]</f>
        <v>0</v>
      </c>
      <c r="FY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8" s="42" t="str">
        <f aca="false">IF(AND(Tasks[[#This Row],[_IsLeaf]]=1,N(Tasks[[#This Row],[_Days]])=0,Tasks[[#This Row],[_LeafProgress]]&lt;1),Tasks[[#This Row],[_ShownFcstFinish]]+Tasks[[#This Row],[_Row]]/100000,"")</f>
        <v/>
      </c>
      <c r="GA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8" s="42" t="str">
        <f aca="false">IF(Tasks[[#This Row],[Task Name]]="","",LEFT(Tasks[[#This Row],[WBS]],FIND(".",Tasks[[#This Row],[WBS]]&amp;".")-1))</f>
        <v/>
      </c>
      <c r="GC68" s="42" t="str">
        <f aca="false">IF(AND(Tasks[[#This Row],[Task Name]]&lt;&gt;"",Tasks[[#This Row],[_Level]]=1),Tasks[[#This Row],[_Row]],"")</f>
        <v/>
      </c>
      <c r="GD68" s="42" t="str">
        <f aca="false">IF(AND(Tasks[[#This Row],[_IsLeaf]]=1,N(Tasks[[#This Row],[_Days]])=0),Tasks[[#This Row],[Planned Finish]]+Tasks[[#This Row],[_Row]]/100000,"")</f>
        <v/>
      </c>
      <c r="GE68" s="42" t="str">
        <f aca="false">IF(AND(Tasks[[#This Row],[_IsLeaf]]=1,Tasks[[#This Row],[_LeafProgress]]&lt;1,OR(N(Tasks[[#This Row],[Finish Var]])&gt;0,Tasks[[#This Row],[Status]]="Late Start")),MAX(0,Tasks[[#This Row],[Finish Var]])+1-Tasks[[#This Row],[_Row]]/1000000,"")</f>
        <v/>
      </c>
      <c r="GF68" s="42" t="str">
        <f aca="false">IF(AND(Tasks[[#This Row],[_IsLeaf]]=1,N(Tasks[[#This Row],[Actual Start]])=0,Tasks[[#This Row],[_ShownFcstStart]]&gt;=StatusDate,Tasks[[#This Row],[_ShownFcstStart]]&lt;=LookaheadEnd),Tasks[[#This Row],[_ShownFcstStart]]+Tasks[[#This Row],[_Row]]/100000,"")</f>
        <v/>
      </c>
      <c r="GG68" s="42" t="str">
        <f aca="false">IF(AND(Tasks[[#This Row],[_IsLeaf]]=1,Tasks[[#This Row],[_LeafProgress]]&lt;1,Tasks[[#This Row],[_ShownFcstFinish]]&gt;=StatusDate,Tasks[[#This Row],[_ShownFcstFinish]]&lt;=LookaheadEnd),Tasks[[#This Row],[_ShownFcstFinish]]+Tasks[[#This Row],[_Row]]/100000,"")</f>
        <v/>
      </c>
      <c r="GH68" s="42" t="str">
        <f aca="false">IF(Tasks[[#This Row],[_LeafCritical]],Tasks[[#This Row],[_ShownFcstStart]]+Tasks[[#This Row],[_Row]]/100000,"")</f>
        <v/>
      </c>
      <c r="GI68" s="42" t="n">
        <f aca="false">Tasks[[#This Row],[_LeafWork]]*Tasks[[#This Row],[_LeafProgress]]</f>
        <v>0</v>
      </c>
      <c r="GJ68" s="89" t="str">
        <f aca="false">IF(AND(Tasks[[#This Row],[_IsLeaf]]=1,Tasks[[#This Row],[_LeafProgress]]&gt;=1),IF(N(Tasks[[#This Row],[Actual Finish]])&gt;0,Tasks[[#This Row],[Actual Finish]],Tasks[[#This Row],[_ShownFcstFinish]]),"")</f>
        <v/>
      </c>
      <c r="GK68" s="42" t="n">
        <f aca="false">IF(Tasks[[#This Row],[_IsLeaf]]=1,N(Tasks[[#This Row],[Story Points]]),0)</f>
        <v>0</v>
      </c>
      <c r="GL68" s="42" t="str">
        <f aca="false">""</f>
        <v/>
      </c>
      <c r="GM68" s="88" t="b">
        <f aca="false">IF(Tasks[[#This Row],[Task Name]]="",FALSE(),AND(Tasks[[#This Row],[_IsLeaf]]=1,N(Tasks[[#This Row],[_Days]])=0))</f>
        <v>0</v>
      </c>
      <c r="GN68" s="89" t="n">
        <f aca="false">IF(Tasks[[#This Row],[Task Name]]="",0,IF(AND(Tasks[[#This Row],[_IsLeaf]]=1,NOT(Tasks[[#This Row],[_IsMilestone]]),N(Tasks[[#This Row],[Progress]])&gt;0),Tasks[[#This Row],[Start]],0))</f>
        <v>0</v>
      </c>
      <c r="GO68" s="89" t="n">
        <f aca="false">IF(Tasks[[#This Row],[_DoneFrom]]=0,0,IF(Tasks[[#This Row],[Progress]]&gt;=1,Tasks[[#This Row],[Finish]],MAX(Tasks[[#This Row],[_DoneFrom]],Tasks[[#This Row],[Start]]+ROUND((Tasks[[#This Row],[Finish]]-Tasks[[#This Row],[Start]]+1)*Tasks[[#This Row],[Progress]],0)-1)))</f>
        <v>0</v>
      </c>
      <c r="GP68" s="89" t="n">
        <f aca="false">IF(Tasks[[#This Row],[Task Name]]="",0,IF(OR(NOT(Tasks[[#This Row],[_IsLeaf]]=1),Tasks[[#This Row],[_IsMilestone]],N(Tasks[[#This Row],[Progress]])&gt;=1),0,IF(Tasks[[#This Row],[_DoneTo]]&gt;0,Tasks[[#This Row],[_DoneTo]]+1,Tasks[[#This Row],[Start]])))</f>
        <v>0</v>
      </c>
      <c r="GQ68" s="89" t="n">
        <f aca="false">IF(Tasks[[#This Row],[_RemFrom]]=0,0,Tasks[[#This Row],[Finish]])</f>
        <v>0</v>
      </c>
      <c r="GR68" s="88" t="b">
        <f aca="false">IF(Tasks[[#This Row],[Task Name]]="",FALSE(),OR(NOT(BaselineSet),N(Tasks[[#This Row],[Baseline Start]])&gt;0))</f>
        <v>0</v>
      </c>
      <c r="GS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8" s="90" t="str">
        <f aca="false">IF(Tasks[[#This Row],[_IsLeaf]]=1,Tasks[[#This Row],[_Row]],"")</f>
        <v/>
      </c>
      <c r="GW68" s="90" t="str">
        <f aca="false">IFERROR(INDEX(Tasks[UID],SMALL(Tasks[_PickKey],Tasks[[#This Row],[_Row]]))&amp;" "&amp;INDEX(Tasks[Task Name],SMALL(Tasks[_PickKey],Tasks[[#This Row],[_Row]])),"")</f>
        <v/>
      </c>
      <c r="GX68" s="42" t="str">
        <f aca="false">IF(Tasks[[#This Row],[Task Name]]="","",IF(Tasks[[#This Row],[_IsSummary]],NETWORKDAYS.INTL(Tasks[[#This Row],[Start]],Tasks[[#This Row],[Finish]],WorkWeek,Holidays),N(Tasks[[#This Row],[_Days]])))</f>
        <v/>
      </c>
    </row>
    <row r="69" customFormat="false" ht="15" hidden="false" customHeight="false" outlineLevel="0" collapsed="false">
      <c r="A69" s="21" t="str">
        <f aca="false">IF(Tasks[[#This Row],[Task Name]]="","",COUNTA(Tasks[[#Headers],[Task Name]]:Tasks[[#This Row],[Task Name]])-1)</f>
        <v/>
      </c>
      <c r="B69" s="22" t="n">
        <v>77</v>
      </c>
      <c r="C69" s="22"/>
      <c r="D69" s="23"/>
      <c r="E69" s="22"/>
      <c r="F69" s="23"/>
      <c r="G69" s="22"/>
      <c r="H69" s="22"/>
      <c r="I69" s="23"/>
      <c r="J69" s="22"/>
      <c r="K69" s="22"/>
      <c r="L69" s="23"/>
      <c r="M69" s="22"/>
      <c r="N69" s="22"/>
      <c r="O69" s="23"/>
      <c r="P69" s="22"/>
      <c r="Q69" s="22"/>
      <c r="R69" s="23"/>
      <c r="S69" s="23"/>
      <c r="T69" s="83"/>
      <c r="U69" s="23"/>
      <c r="V69" s="83"/>
      <c r="W69" s="23"/>
      <c r="X69" s="83"/>
      <c r="Y69" s="23"/>
      <c r="Z69" s="83"/>
      <c r="AA69" s="23"/>
      <c r="AB69" s="23"/>
      <c r="AC69" s="7"/>
      <c r="AD69" s="7"/>
      <c r="AE69" s="62" t="str">
        <f aca="false">IF(Tasks[[#This Row],[Task Name]]="","",IF(Tasks[[#This Row],[_IsSummary]],MIN(INDEX(Tasks[_ShownFcstStart],Tasks[[#This Row],[_Row]]+1):INDEX(Tasks[_ShownFcstStart],Tasks[[#This Row],[_Row]]+Tasks[[#This Row],[_Descendants]])),Tasks[[#This Row],[_ShownFcstStart]]))</f>
        <v/>
      </c>
      <c r="AF69" s="62" t="str">
        <f aca="false">IF(Tasks[[#This Row],[Task Name]]="","",IF(Tasks[[#This Row],[_IsSummary]],MAX(INDEX(Tasks[_ShownFcstFinish],Tasks[[#This Row],[_Row]]+1):INDEX(Tasks[_ShownFcstFinish],Tasks[[#This Row],[_Row]]+Tasks[[#This Row],[_Descendants]])),Tasks[[#This Row],[_ShownFcstFinish]]))</f>
        <v/>
      </c>
      <c r="AG69" s="21" t="str">
        <f aca="false">""</f>
        <v/>
      </c>
      <c r="AH69" s="23"/>
      <c r="AI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69" s="7"/>
      <c r="AK69" s="22"/>
      <c r="AL69" s="23"/>
      <c r="AM69" s="7"/>
      <c r="AN69" s="46" t="str">
        <f aca="false">IF(Tasks[[#This Row],[Task Name]]="","",IF(Tasks[[#This Row],[Finish]]&gt;=Tasks[[#This Row],[Planned Finish]],NETWORKDAYS.INTL(Tasks[[#This Row],[Planned Finish]],Tasks[[#This Row],[Finish]],WorkWeek,Holidays)-1,1-NETWORKDAYS.INTL(Tasks[[#This Row],[Finish]],Tasks[[#This Row],[Planned Finish]],WorkWeek,Holidays)))</f>
        <v/>
      </c>
      <c r="AO69" s="21" t="str">
        <f aca="false">IF(Tasks[[#This Row],[Task Name]]="","",IF(Tasks[[#This Row],[Progress]]&gt;=1,"Complete",IF(OR(N(Tasks[[#This Row],[Actual Start]])&gt;0,Tasks[[#This Row],[Progress]]&gt;0),IF(Tasks[[#This Row],[Finish Var]]&gt;0,"Behind","In Progress"),IF(Tasks[[#This Row],[Planned Start]]&lt;StatusDate,"Late Start","Not Started"))))</f>
        <v/>
      </c>
      <c r="AP69" s="21" t="str">
        <f aca="false">IF(Tasks[[#This Row],[Task Name]]="","",IF(IF(Tasks[[#This Row],[_IsSummary]],COUNTIF(INDEX(Tasks[_LeafCritical],Tasks[[#This Row],[_Row]]+1):INDEX(Tasks[_LeafCritical],Tasks[[#This Row],[_Row]]+Tasks[[#This Row],[_Descendants]]),TRUE())&gt;0,Tasks[[#This Row],[_LeafCritical]]),"Yes",""))</f>
        <v/>
      </c>
      <c r="AQ69" s="62" t="str">
        <f aca="false">IF(Tasks[[#This Row],[Task Name]]="","",IF(N(Tasks[[#This Row],[Baseline Start]])&gt;0,Tasks[[#This Row],[Baseline Start]],Tasks[[#This Row],[_CalcStart]]))</f>
        <v/>
      </c>
      <c r="AR69" s="62" t="str">
        <f aca="false">IF(Tasks[[#This Row],[Task Name]]="","",IF(N(Tasks[[#This Row],[Baseline Finish]])&gt;0,Tasks[[#This Row],[Baseline Finish]],Tasks[[#This Row],[_CalcFinish]]))</f>
        <v/>
      </c>
      <c r="AS69" s="46" t="str">
        <f aca="false">IF(Tasks[[#This Row],[Task Name]]="","",IF(Tasks[[#This Row],[Start]]&gt;=Tasks[[#This Row],[Planned Start]],NETWORKDAYS.INTL(Tasks[[#This Row],[Planned Start]],Tasks[[#This Row],[Start]],WorkWeek,Holidays)-1,1-NETWORKDAYS.INTL(Tasks[[#This Row],[Start]],Tasks[[#This Row],[Planned Start]],WorkWeek,Holidays)))</f>
        <v/>
      </c>
      <c r="AT69" s="62" t="str">
        <f aca="false">IF(Tasks[[#This Row],[Task Name]]="","",IF(Tasks[[#This Row],[_IsSummary]],MIN(INDEX(Tasks[_LeafLateStart],Tasks[[#This Row],[_Row]]+1):INDEX(Tasks[_LeafLateStart],Tasks[[#This Row],[_Row]]+Tasks[[#This Row],[_Descendants]])),Tasks[[#This Row],[_LeafLateStart]]))</f>
        <v/>
      </c>
      <c r="AU69" s="62" t="str">
        <f aca="false">IF(Tasks[[#This Row],[Task Name]]="","",IF(Tasks[[#This Row],[_IsSummary]],MAX(INDEX(Tasks[_LeafLateFinish],Tasks[[#This Row],[_Row]]+1):INDEX(Tasks[_LeafLateFinish],Tasks[[#This Row],[_Row]]+Tasks[[#This Row],[_Descendants]])),Tasks[[#This Row],[_LeafLateFinish]]))</f>
        <v/>
      </c>
      <c r="AV69" s="46" t="str">
        <f aca="false">IF(Tasks[[#This Row],[Task Name]]="","",IF(Tasks[[#This Row],[_IsSummary]],MIN(INDEX(Tasks[_LeafTotalSlack],Tasks[[#This Row],[_Row]]+1):INDEX(Tasks[_LeafTotalSlack],Tasks[[#This Row],[_Row]]+Tasks[[#This Row],[_Descendants]])),Tasks[[#This Row],[_LeafTotalSlack]]))</f>
        <v/>
      </c>
      <c r="AW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4"/>
      <c r="BA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t="str">
        <f aca="false">IF(Tasks[[#This Row],[Task Name]]="","",IF(Tasks[[#This Row],[_Level]]&lt;=OutlineShowLevel,"Yes","No"))</f>
        <v/>
      </c>
      <c r="BE69" s="85" t="str">
        <f aca="false">IF(Tasks[[#This Row],[Task Name]]="","",IF(Tasks[[#This Row],[_IsSummary]],SUM(INDEX(Tasks[_LeafTotalWork],Tasks[[#This Row],[_Row]]+1):INDEX(Tasks[_LeafTotalWork],Tasks[[#This Row],[_Row]]+Tasks[[#This Row],[_Descendants]])),Tasks[[#This Row],[_LeafTotalWork]]))</f>
        <v/>
      </c>
      <c r="BF69" s="23"/>
      <c r="BG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t="str">
        <f aca="false">""</f>
        <v/>
      </c>
      <c r="BI69" s="86"/>
      <c r="BJ69" s="22"/>
      <c r="BK69" s="46" t="str">
        <f aca="false">IF(OR(Tasks[[#This Row],[Task Name]]="",Tasks[[#This Row],[Baseline Duration]]=""),"",Tasks[[#This Row],[_SpanDays]]-N(Tasks[[#This Row],[Baseline Duration]]))</f>
        <v/>
      </c>
      <c r="BL69" s="85" t="str">
        <f aca="false">IF(OR(Tasks[[#This Row],[Task Name]]="",Tasks[[#This Row],[Baseline Work]]=""),"",Tasks[[#This Row],[Work]]-N(Tasks[[#This Row],[Baseline Work]]))</f>
        <v/>
      </c>
      <c r="BM69" s="62" t="str">
        <f aca="false">IF(Tasks[[#This Row],[Task Name]]="","",IF(OR(TakeBaseline="Yes",N(Tasks[[#This Row],[Baseline Start]])=0),Tasks[[#This Row],[Start]],Tasks[[#This Row],[Baseline Start]]))</f>
        <v/>
      </c>
      <c r="BN69" s="62" t="str">
        <f aca="false">IF(Tasks[[#This Row],[Task Name]]="","",IF(OR(TakeBaseline="Yes",N(Tasks[[#This Row],[Baseline Finish]])=0),Tasks[[#This Row],[Finish]],Tasks[[#This Row],[Baseline Finish]]))</f>
        <v/>
      </c>
      <c r="BO69" s="21" t="str">
        <f aca="false">IF(Tasks[[#This Row],[Task Name]]="","",IF(OR(TakeBaseline="Yes",N(Tasks[[#This Row],[Baseline Duration]])=0),Tasks[[#This Row],[_SpanDays]],Tasks[[#This Row],[Baseline Duration]]))</f>
        <v/>
      </c>
      <c r="BP69" s="85" t="str">
        <f aca="false">IF(Tasks[[#This Row],[Task Name]]="","",IF(OR(TakeBaseline="Yes",N(Tasks[[#This Row],[Baseline Work]])=0),Tasks[[#This Row],[Work]],Tasks[[#This Row],[Baseline Work]]))</f>
        <v/>
      </c>
      <c r="BQ69" s="7"/>
      <c r="BR69" s="7"/>
      <c r="BS69" s="22"/>
      <c r="BT69" s="87"/>
      <c r="BU69" s="42" t="str">
        <f aca="false">IF(Tasks[[#This Row],[Task Name]]="","",MAX(1,N(Tasks[[#This Row],[Level]])))</f>
        <v/>
      </c>
      <c r="BV69" s="42" t="n">
        <f aca="false">ROW()-ROW(Tasks[[#Headers],[ID]])</f>
        <v>64</v>
      </c>
      <c r="BW69" s="42" t="n">
        <f aca="false">IF(OR(Tasks[[#This Row],[Task Name]]="",Tasks[[#This Row],[_Level]]&lt;=1),0,IFERROR(LOOKUP(2,1/(Tasks[[#Headers],[_Level]]:Tasks[[#This Row],[_Level]]=Tasks[[#This Row],[_Level]]-1),ROW(Tasks[[#Headers],[_Level]]:Tasks[[#This Row],[_Level]])),0))</f>
        <v>0</v>
      </c>
      <c r="BX69" s="42" t="n">
        <f aca="false">IFERROR(N(INDEX(Tasks[_Level],Tasks[[#This Row],[_Row]]+1)),0)</f>
        <v>0</v>
      </c>
      <c r="BY69" s="88" t="b">
        <f aca="false">AND(Tasks[[#This Row],[Task Name]]&lt;&gt;"",Tasks[[#This Row],[_NextLevel]]&gt;Tasks[[#This Row],[_Level]])</f>
        <v>0</v>
      </c>
      <c r="BZ69" s="42" t="n">
        <f aca="false">IF(Tasks[[#This Row],[_IsSummary]],COUNTIF(Tasks[WBS],Tasks[[#This Row],[WBS]]&amp;".*"),0)</f>
        <v>0</v>
      </c>
      <c r="CA69" s="42" t="n">
        <f aca="false">IF(AND(Tasks[[#This Row],[Task Name]]&lt;&gt;"",NOT(Tasks[[#This Row],[_IsSummary]])),1,0)</f>
        <v>0</v>
      </c>
      <c r="CB69" s="42" t="n">
        <f aca="false">IF(N(Tasks[[#This Row],[_Pred1UID]])=0,0,IFERROR(MATCH(Tasks[[#This Row],[_Pred1UID]],Tasks[UID],0),-1))</f>
        <v>0</v>
      </c>
      <c r="CC69" s="42" t="n">
        <f aca="false">IF(N(Tasks[[#This Row],[_Pred2UID]])=0,0,IFERROR(MATCH(Tasks[[#This Row],[_Pred2UID]],Tasks[UID],0),-1))</f>
        <v>0</v>
      </c>
      <c r="CD69" s="42" t="n">
        <f aca="false">IF(N(Tasks[[#This Row],[_Pred3UID]])=0,0,IFERROR(MATCH(Tasks[[#This Row],[_Pred3UID]],Tasks[UID],0),-1))</f>
        <v>0</v>
      </c>
      <c r="CE69" s="42" t="n">
        <f aca="false">IF(N(Tasks[[#This Row],[_Pred4UID]])=0,0,IFERROR(MATCH(Tasks[[#This Row],[_Pred4UID]],Tasks[UID],0),-1))</f>
        <v>0</v>
      </c>
      <c r="CF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69" s="89" t="n">
        <f aca="false">IF(OR(Tasks[[#This Row],[_ConstraintCode]]=2,Tasks[[#This Row],[_ConstraintCode]]=3,Tasks[[#This Row],[_ConstraintCode]]=4,Tasks[[#This Row],[_ConstraintCode]]=6),Tasks[[#This Row],[_ConstraintStart]],0)</f>
        <v>0</v>
      </c>
      <c r="CI69" s="89" t="n">
        <f aca="false">IF(OR(Tasks[[#This Row],[_ConstraintCode]]=2,Tasks[[#This Row],[_ConstraintCode]]=3,Tasks[[#This Row],[_ConstraintCode]]=5,Tasks[[#This Row],[_ConstraintCode]]=7),Tasks[[#This Row],[_ConstraintStart]],2958465)</f>
        <v>2958465</v>
      </c>
      <c r="CJ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69" s="89" t="str">
        <f aca="false">IF(NOT(Tasks[[#This Row],[_IsLeaf]]=1),"",IF(N(Tasks[[#This Row],[_Days]])&lt;=0,Tasks[[#This Row],[_LeafCalcStart]],WORKDAY.INTL(Tasks[[#This Row],[_LeafCalcStart]],Tasks[[#This Row],[_Days]]-1,WorkWeek,Holidays)))</f>
        <v/>
      </c>
      <c r="CL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69" s="42" t="str">
        <f aca="false">IF(Tasks[[#This Row],[_Predecessors]]="","",TRIM(MID(SUBSTITUTE(SUBSTITUTE(SUBSTITUTE(UPPER(Tasks[[#This Row],[_Predecessors]]),";",",")," ",""),",",REPT(" ",99)),1,99)))</f>
        <v/>
      </c>
      <c r="CO69" s="42" t="str">
        <f aca="false">IF(Tasks[[#This Row],[_Pred1Text]]="","",IFERROR(VALUE(LEFT(Tasks[[#This Row],[_Pred1Text]],MIN(FIND("F",Tasks[[#This Row],[_Pred1Text]]&amp;"F"),FIND("S",Tasks[[#This Row],[_Pred1Text]]&amp;"S"),FIND("+",Tasks[[#This Row],[_Pred1Text]]&amp;"+"),FIND("-",Tasks[[#This Row],[_Pred1Text]]&amp;"-"))-1)),""))</f>
        <v/>
      </c>
      <c r="CP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69" s="42" t="str">
        <f aca="false">IF(Tasks[[#This Row],[_Pred1Text]]="","",TRIM(MID(SUBSTITUTE(SUBSTITUTE(SUBSTITUTE(UPPER(Tasks[[#This Row],[_Predecessors]]),";",",")," ",""),",",REPT(" ",99)),100,99)))</f>
        <v/>
      </c>
      <c r="CS69" s="42" t="str">
        <f aca="false">IF(Tasks[[#This Row],[_Pred2Text]]="","",IFERROR(VALUE(LEFT(Tasks[[#This Row],[_Pred2Text]],MIN(FIND("F",Tasks[[#This Row],[_Pred2Text]]&amp;"F"),FIND("S",Tasks[[#This Row],[_Pred2Text]]&amp;"S"),FIND("+",Tasks[[#This Row],[_Pred2Text]]&amp;"+"),FIND("-",Tasks[[#This Row],[_Pred2Text]]&amp;"-"))-1)),""))</f>
        <v/>
      </c>
      <c r="CT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69" s="42" t="str">
        <f aca="false">IF(Tasks[[#This Row],[_Pred2Text]]="","",TRIM(MID(SUBSTITUTE(SUBSTITUTE(SUBSTITUTE(UPPER(Tasks[[#This Row],[_Predecessors]]),";",",")," ",""),",",REPT(" ",99)),199,99)))</f>
        <v/>
      </c>
      <c r="CW69" s="42" t="str">
        <f aca="false">IF(Tasks[[#This Row],[_Pred3Text]]="","",IFERROR(VALUE(LEFT(Tasks[[#This Row],[_Pred3Text]],MIN(FIND("F",Tasks[[#This Row],[_Pred3Text]]&amp;"F"),FIND("S",Tasks[[#This Row],[_Pred3Text]]&amp;"S"),FIND("+",Tasks[[#This Row],[_Pred3Text]]&amp;"+"),FIND("-",Tasks[[#This Row],[_Pred3Text]]&amp;"-"))-1)),""))</f>
        <v/>
      </c>
      <c r="CX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69" s="42" t="str">
        <f aca="false">IF(Tasks[[#This Row],[_Pred3Text]]="","",TRIM(MID(SUBSTITUTE(SUBSTITUTE(SUBSTITUTE(UPPER(Tasks[[#This Row],[_Predecessors]]),";",",")," ",""),",",REPT(" ",99)),298,99)))</f>
        <v/>
      </c>
      <c r="DA69" s="42" t="str">
        <f aca="false">IF(Tasks[[#This Row],[_Pred4Text]]="","",IFERROR(VALUE(LEFT(Tasks[[#This Row],[_Pred4Text]],MIN(FIND("F",Tasks[[#This Row],[_Pred4Text]]&amp;"F"),FIND("S",Tasks[[#This Row],[_Pred4Text]]&amp;"S"),FIND("+",Tasks[[#This Row],[_Pred4Text]]&amp;"+"),FIND("-",Tasks[[#This Row],[_Pred4Text]]&amp;"-"))-1)),""))</f>
        <v/>
      </c>
      <c r="DB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69" s="42" t="str">
        <f aca="false">IF(OR(Tasks[[#This Row],[Task Name]]="",Tasks[[#This Row],[_Resources]]=""),"",TRIM(MID(SUBSTITUTE(Tasks[[#This Row],[_Resources]],",",REPT(" ",99)),1,99)))</f>
        <v/>
      </c>
      <c r="DE69" s="42" t="str">
        <f aca="false">IF(Tasks[[#This Row],[_Res1Text]]="","",TRIM(MID(SUBSTITUTE(Tasks[[#This Row],[_Resources]],",",REPT(" ",99)),100,99)))</f>
        <v/>
      </c>
      <c r="DF69" s="42" t="str">
        <f aca="false">IF(Tasks[[#This Row],[_Res2Text]]="","",TRIM(MID(SUBSTITUTE(Tasks[[#This Row],[_Resources]],",",REPT(" ",99)),199,99)))</f>
        <v/>
      </c>
      <c r="DG69" s="42" t="str">
        <f aca="false">IF(Tasks[[#This Row],[_Res3Text]]="","",TRIM(MID(SUBSTITUTE(Tasks[[#This Row],[_Resources]],",",REPT(" ",99)),298,99)))</f>
        <v/>
      </c>
      <c r="DH69" s="42" t="n">
        <f aca="false">IF(Tasks[[#This Row],[_Res1Text]]="",0,IFERROR(MATCH(TRIM(LEFT(Tasks[[#This Row],[_Res1Text]],FIND("[",Tasks[[#This Row],[_Res1Text]]&amp;"[")-1)),res_Name,0),IFERROR(MATCH(TRIM(LEFT(Tasks[[#This Row],[_Res1Text]],FIND("[",Tasks[[#This Row],[_Res1Text]]&amp;"[")-1)),res_Initials,0),0)))</f>
        <v>0</v>
      </c>
      <c r="DI69" s="42" t="n">
        <f aca="false">IF(Tasks[[#This Row],[_Res2Text]]="",0,IFERROR(MATCH(TRIM(LEFT(Tasks[[#This Row],[_Res2Text]],FIND("[",Tasks[[#This Row],[_Res2Text]]&amp;"[")-1)),res_Name,0),IFERROR(MATCH(TRIM(LEFT(Tasks[[#This Row],[_Res2Text]],FIND("[",Tasks[[#This Row],[_Res2Text]]&amp;"[")-1)),res_Initials,0),0)))</f>
        <v>0</v>
      </c>
      <c r="DJ69" s="42" t="n">
        <f aca="false">IF(Tasks[[#This Row],[_Res3Text]]="",0,IFERROR(MATCH(TRIM(LEFT(Tasks[[#This Row],[_Res3Text]],FIND("[",Tasks[[#This Row],[_Res3Text]]&amp;"[")-1)),res_Name,0),IFERROR(MATCH(TRIM(LEFT(Tasks[[#This Row],[_Res3Text]],FIND("[",Tasks[[#This Row],[_Res3Text]]&amp;"[")-1)),res_Initials,0),0)))</f>
        <v>0</v>
      </c>
      <c r="DK69" s="42" t="n">
        <f aca="false">IF(Tasks[[#This Row],[_Res4Text]]="",0,IFERROR(MATCH(TRIM(LEFT(Tasks[[#This Row],[_Res4Text]],FIND("[",Tasks[[#This Row],[_Res4Text]]&amp;"[")-1)),res_Name,0),IFERROR(MATCH(TRIM(LEFT(Tasks[[#This Row],[_Res4Text]],FIND("[",Tasks[[#This Row],[_Res4Text]]&amp;"[")-1)),res_Initials,0),0)))</f>
        <v>0</v>
      </c>
      <c r="DL69" s="42" t="str">
        <f aca="false">IF(Tasks[[#This Row],[_Res1Text]]="","",IF(Tasks[[#This Row],[_Res1Row]]&gt;0,INDEX(res_Name,Tasks[[#This Row],[_Res1Row]]),TRIM(LEFT(Tasks[[#This Row],[_Res1Text]],FIND("[",Tasks[[#This Row],[_Res1Text]]&amp;"[")-1))))</f>
        <v/>
      </c>
      <c r="DM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69" s="42" t="n">
        <f aca="false">IF(NOT(Tasks[[#This Row],[_IsLeaf]]=1),0,(Tasks[[#This Row],[_Resource1]]&lt;&gt;"")+(Tasks[[#This Row],[_Res2]]&lt;&gt;"")+(Tasks[[#This Row],[_Res3]]&lt;&gt;"")+(Tasks[[#This Row],[_Res4]]&lt;&gt;""))</f>
        <v>0</v>
      </c>
      <c r="DO69" s="42" t="str">
        <f aca="false">IF(Tasks[[#This Row],[_Res2Text]]="","",IF(Tasks[[#This Row],[_Res2Row]]&gt;0,INDEX(res_Name,Tasks[[#This Row],[_Res2Row]]),TRIM(LEFT(Tasks[[#This Row],[_Res2Text]],FIND("[",Tasks[[#This Row],[_Res2Text]]&amp;"[")-1))))</f>
        <v/>
      </c>
      <c r="DP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69" s="42" t="n">
        <f aca="false">IF(OR(NOT(Tasks[[#This Row],[_IsLeaf]]=1),Tasks[[#This Row],[_Res2Row]]=0),0,N(Tasks[[#This Row],[_Days]])*HoursPerDay*IF(Tasks[[#This Row],[_Res2Units]]="",DefaultUnits,Tasks[[#This Row],[_Res2Units]]))</f>
        <v>0</v>
      </c>
      <c r="DR69" s="42" t="n">
        <f aca="false">IF(AND(AND(Tasks[[#This Row],[_IsLeaf]]=1,Tasks[[#This Row],[_LeafTotalWork]]&gt;0),Tasks[[#This Row],[_Res2Work]]&gt;0),Tasks[[#This Row],[_Res2Work]]/(Tasks[[#This Row],[_FinishWorkday]]-Tasks[[#This Row],[_StartWorkday]]+1),0)</f>
        <v>0</v>
      </c>
      <c r="DS69" s="42" t="n">
        <f aca="false">Tasks[[#This Row],[_Res2WorkPerWD]]*MAX(0,Tasks[[#This Row],[_StartWorkday]]-1)</f>
        <v>0</v>
      </c>
      <c r="DT69" s="42" t="n">
        <f aca="false">Tasks[[#This Row],[_Res2Work]]*Tasks[[#This Row],[_LeafProgress]]</f>
        <v>0</v>
      </c>
      <c r="DU69" s="42" t="str">
        <f aca="false">IF(Tasks[[#This Row],[_Res3Text]]="","",IF(Tasks[[#This Row],[_Res3Row]]&gt;0,INDEX(res_Name,Tasks[[#This Row],[_Res3Row]]),TRIM(LEFT(Tasks[[#This Row],[_Res3Text]],FIND("[",Tasks[[#This Row],[_Res3Text]]&amp;"[")-1))))</f>
        <v/>
      </c>
      <c r="DV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69" s="42" t="n">
        <f aca="false">IF(OR(NOT(Tasks[[#This Row],[_IsLeaf]]=1),Tasks[[#This Row],[_Res3Row]]=0),0,N(Tasks[[#This Row],[_Days]])*HoursPerDay*IF(Tasks[[#This Row],[_Res3Units]]="",DefaultUnits,Tasks[[#This Row],[_Res3Units]]))</f>
        <v>0</v>
      </c>
      <c r="DX69" s="42" t="n">
        <f aca="false">IF(AND(AND(Tasks[[#This Row],[_IsLeaf]]=1,Tasks[[#This Row],[_LeafTotalWork]]&gt;0),Tasks[[#This Row],[_Res3Work]]&gt;0),Tasks[[#This Row],[_Res3Work]]/(Tasks[[#This Row],[_FinishWorkday]]-Tasks[[#This Row],[_StartWorkday]]+1),0)</f>
        <v>0</v>
      </c>
      <c r="DY69" s="42" t="n">
        <f aca="false">Tasks[[#This Row],[_Res3WorkPerWD]]*MAX(0,Tasks[[#This Row],[_StartWorkday]]-1)</f>
        <v>0</v>
      </c>
      <c r="DZ69" s="42" t="n">
        <f aca="false">Tasks[[#This Row],[_Res3Work]]*Tasks[[#This Row],[_LeafProgress]]</f>
        <v>0</v>
      </c>
      <c r="EA69" s="42" t="str">
        <f aca="false">IF(Tasks[[#This Row],[_Res4Text]]="","",IF(Tasks[[#This Row],[_Res4Row]]&gt;0,INDEX(res_Name,Tasks[[#This Row],[_Res4Row]]),TRIM(LEFT(Tasks[[#This Row],[_Res4Text]],FIND("[",Tasks[[#This Row],[_Res4Text]]&amp;"[")-1))))</f>
        <v/>
      </c>
      <c r="EB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69" s="42" t="n">
        <f aca="false">IF(OR(NOT(Tasks[[#This Row],[_IsLeaf]]=1),Tasks[[#This Row],[_Res4Row]]=0),0,N(Tasks[[#This Row],[_Days]])*HoursPerDay*IF(Tasks[[#This Row],[_Res4Units]]="",DefaultUnits,Tasks[[#This Row],[_Res4Units]]))</f>
        <v>0</v>
      </c>
      <c r="ED69" s="42" t="n">
        <f aca="false">IF(AND(AND(Tasks[[#This Row],[_IsLeaf]]=1,Tasks[[#This Row],[_LeafTotalWork]]&gt;0),Tasks[[#This Row],[_Res4Work]]&gt;0),Tasks[[#This Row],[_Res4Work]]/(Tasks[[#This Row],[_FinishWorkday]]-Tasks[[#This Row],[_StartWorkday]]+1),0)</f>
        <v>0</v>
      </c>
      <c r="EE69" s="42" t="n">
        <f aca="false">Tasks[[#This Row],[_Res4WorkPerWD]]*MAX(0,Tasks[[#This Row],[_StartWorkday]]-1)</f>
        <v>0</v>
      </c>
      <c r="EF69" s="42" t="n">
        <f aca="false">Tasks[[#This Row],[_Res4Work]]*Tasks[[#This Row],[_LeafProgress]]</f>
        <v>0</v>
      </c>
      <c r="EG69" s="42" t="n">
        <f aca="false">IF(ISNUMBER(Tasks[[#This Row],[% Complete]]),Tasks[[#This Row],[% Complete]],IF(Tasks[[#This Row],[Stage]]="",0,IFERROR(INDEX(stg_Pct,MATCH(Tasks[[#This Row],[Stage]],stg_Name,0)),0)))</f>
        <v>0</v>
      </c>
      <c r="EH69" s="42" t="n">
        <f aca="false">IF(NOT(Tasks[[#This Row],[_IsLeaf]]=1),0,IF(N(Tasks[[#This Row],[Actual Finish]])&gt;0,1,MIN(1,Tasks[[#This Row],[_Pct]])))</f>
        <v>0</v>
      </c>
      <c r="EI69" s="42" t="n">
        <f aca="false">IF(OR(NOT(Tasks[[#This Row],[_IsLeaf]]=1),Tasks[[#This Row],[_Res1Row]]=0),0,N(Tasks[[#This Row],[_Days]])*HoursPerDay*IF(Tasks[[#This Row],[_Units1]]="",DefaultUnits,Tasks[[#This Row],[_Units1]]))</f>
        <v>0</v>
      </c>
      <c r="EJ69" s="42" t="n">
        <f aca="false">Tasks[[#This Row],[_LeafWork]]+Tasks[[#This Row],[_Res2Work]]+Tasks[[#This Row],[_Res3Work]]+Tasks[[#This Row],[_Res4Work]]</f>
        <v>0</v>
      </c>
      <c r="EK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69" s="42" t="n">
        <f aca="false">IF(NOT(Tasks[[#This Row],[_IsLeaf]]=1),0,MAX(_xlfn.MAXIFS(Tasks[_Row],Tasks[_Pred1UID],Tasks[[#This Row],[UID]]),_xlfn.MAXIFS(Tasks[_Row],Tasks[_Pred2UID],Tasks[[#This Row],[UID]]),_xlfn.MAXIFS(Tasks[_Row],Tasks[_Pred3UID],Tasks[[#This Row],[UID]]),_xlfn.MAXIFS(Tasks[_Row],Tasks[_Pred4UID],Tasks[[#This Row],[UID]])))</f>
        <v>0</v>
      </c>
      <c r="ET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69" s="89" t="str">
        <f aca="false">IF(NOT(Tasks[[#This Row],[_IsLeaf]]=1),"",IF(N(Tasks[[#This Row],[_Days]])&lt;=0,Tasks[[#This Row],[_LeafLateFinish]],WORKDAY.INTL(Tasks[[#This Row],[_LeafLateFinish]],-(Tasks[[#This Row],[_Days]]-1),WorkWeek,Holidays)))</f>
        <v/>
      </c>
      <c r="EW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69" s="88" t="b">
        <f aca="false">AND(Tasks[[#This Row],[_IsLeaf]]=1,Tasks[[#This Row],[_LeafProgress]]&lt;1,N(Tasks[[#This Row],[_LeafTotalSlack]])&lt;=CriticalSlackDays)</f>
        <v>0</v>
      </c>
      <c r="EY69" s="42" t="n">
        <f aca="false">IF(AND(Tasks[[#This Row],[_IsLeaf]]=1,Tasks[[#This Row],[_ConstraintCode]]=1,Tasks[[#This Row],[Mode]]&lt;&gt;"Manual",N(Tasks[[#This Row],[Actual Start]])=0),MAX(0,N(Tasks[[#This Row],[Free Slack]])),0)</f>
        <v>0</v>
      </c>
      <c r="EZ69" s="89" t="str">
        <f aca="false">IF(NOT(Tasks[[#This Row],[_IsLeaf]]=1),"",IF(Tasks[[#This Row],[_AlapShift]]=0,Tasks[[#This Row],[_LeafCalcStart]],WORKDAY.INTL(Tasks[[#This Row],[_LeafCalcStart]],Tasks[[#This Row],[_AlapShift]],WorkWeek,Holidays)))</f>
        <v/>
      </c>
      <c r="FA69" s="89" t="str">
        <f aca="false">IF(NOT(Tasks[[#This Row],[_IsLeaf]]=1),"",IF(Tasks[[#This Row],[_AlapShift]]=0,Tasks[[#This Row],[_LeafCalcFinish]],WORKDAY.INTL(Tasks[[#This Row],[_LeafCalcFinish]],Tasks[[#This Row],[_AlapShift]],WorkWeek,Holidays)))</f>
        <v/>
      </c>
      <c r="FB69" s="89" t="str">
        <f aca="false">IF(NOT(Tasks[[#This Row],[_IsLeaf]]=1),"",IF(Tasks[[#This Row],[_AlapShift]]=0,Tasks[[#This Row],[_LeafFcstStart]],WORKDAY.INTL(Tasks[[#This Row],[_LeafFcstStart]],Tasks[[#This Row],[_AlapShift]],WorkWeek,Holidays)))</f>
        <v/>
      </c>
      <c r="FC69" s="89" t="str">
        <f aca="false">IF(NOT(Tasks[[#This Row],[_IsLeaf]]=1),"",IF(Tasks[[#This Row],[_AlapShift]]=0,Tasks[[#This Row],[_LeafFcstFinish]],WORKDAY.INTL(Tasks[[#This Row],[_LeafFcstFinish]],Tasks[[#This Row],[_AlapShift]],WorkWeek,Holidays)))</f>
        <v/>
      </c>
      <c r="FD69" s="89" t="str">
        <f aca="false">IF(Tasks[[#This Row],[Task Name]]="","",IF(Tasks[[#This Row],[_IsSummary]],MIN(INDEX(Tasks[_ShownCalcStart],Tasks[[#This Row],[_Row]]+1):INDEX(Tasks[_ShownCalcStart],Tasks[[#This Row],[_Row]]+Tasks[[#This Row],[_Descendants]])),Tasks[[#This Row],[_ShownCalcStart]]))</f>
        <v/>
      </c>
      <c r="FE69" s="89" t="str">
        <f aca="false">IF(Tasks[[#This Row],[Task Name]]="","",IF(Tasks[[#This Row],[_IsSummary]],MAX(INDEX(Tasks[_ShownCalcFinish],Tasks[[#This Row],[_Row]]+1):INDEX(Tasks[_ShownCalcFinish],Tasks[[#This Row],[_Row]]+Tasks[[#This Row],[_Descendants]])),Tasks[[#This Row],[_ShownCalcFinish]]))</f>
        <v/>
      </c>
      <c r="FF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69" s="42" t="n">
        <f aca="false">IF(AND(Tasks[[#This Row],[_IsLeaf]]=1,Tasks[[#This Row],[_LeafTotalWork]]&gt;0),NETWORKDAYS.INTL(ProjectStart,Tasks[[#This Row],[_ShownFcstStart]],WorkWeek,Holidays),0)</f>
        <v>0</v>
      </c>
      <c r="FS69" s="42" t="n">
        <f aca="false">IF(AND(Tasks[[#This Row],[_IsLeaf]]=1,Tasks[[#This Row],[_LeafTotalWork]]&gt;0),MAX(Tasks[[#This Row],[_StartWorkday]],NETWORKDAYS.INTL(ProjectStart,Tasks[[#This Row],[_ShownFcstFinish]],WorkWeek,Holidays)),0)</f>
        <v>0</v>
      </c>
      <c r="FT69" s="42" t="n">
        <f aca="false">IF(AND(Tasks[[#This Row],[_IsLeaf]]=1,Tasks[[#This Row],[_LeafTotalWork]]&gt;0),Tasks[[#This Row],[_LeafWork]]/(Tasks[[#This Row],[_FinishWorkday]]-Tasks[[#This Row],[_StartWorkday]]+1),0)</f>
        <v>0</v>
      </c>
      <c r="FU69" s="42" t="n">
        <f aca="false">Tasks[[#This Row],[_WorkPerWorkday]]*(Tasks[[#This Row],[_StartWorkday]]-1)</f>
        <v>-0</v>
      </c>
      <c r="FV69" s="42" t="n">
        <f aca="false">IF(Tasks[[#This Row],[_IsLeaf]]=1,MAX(N(Tasks[[#This Row],[_Days]]),0.1),0)</f>
        <v>0</v>
      </c>
      <c r="FW69" s="42" t="n">
        <f aca="false">Tasks[[#This Row],[_WeightDur]]*Tasks[[#This Row],[_LeafProgress]]</f>
        <v>0</v>
      </c>
      <c r="FX69" s="42" t="n">
        <f aca="false">Tasks[[#This Row],[_WeightDur]]*Tasks[[#This Row],[_PlannedPct]]</f>
        <v>0</v>
      </c>
      <c r="FY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69" s="42" t="str">
        <f aca="false">IF(AND(Tasks[[#This Row],[_IsLeaf]]=1,N(Tasks[[#This Row],[_Days]])=0,Tasks[[#This Row],[_LeafProgress]]&lt;1),Tasks[[#This Row],[_ShownFcstFinish]]+Tasks[[#This Row],[_Row]]/100000,"")</f>
        <v/>
      </c>
      <c r="GA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69" s="42" t="str">
        <f aca="false">IF(Tasks[[#This Row],[Task Name]]="","",LEFT(Tasks[[#This Row],[WBS]],FIND(".",Tasks[[#This Row],[WBS]]&amp;".")-1))</f>
        <v/>
      </c>
      <c r="GC69" s="42" t="str">
        <f aca="false">IF(AND(Tasks[[#This Row],[Task Name]]&lt;&gt;"",Tasks[[#This Row],[_Level]]=1),Tasks[[#This Row],[_Row]],"")</f>
        <v/>
      </c>
      <c r="GD69" s="42" t="str">
        <f aca="false">IF(AND(Tasks[[#This Row],[_IsLeaf]]=1,N(Tasks[[#This Row],[_Days]])=0),Tasks[[#This Row],[Planned Finish]]+Tasks[[#This Row],[_Row]]/100000,"")</f>
        <v/>
      </c>
      <c r="GE69" s="42" t="str">
        <f aca="false">IF(AND(Tasks[[#This Row],[_IsLeaf]]=1,Tasks[[#This Row],[_LeafProgress]]&lt;1,OR(N(Tasks[[#This Row],[Finish Var]])&gt;0,Tasks[[#This Row],[Status]]="Late Start")),MAX(0,Tasks[[#This Row],[Finish Var]])+1-Tasks[[#This Row],[_Row]]/1000000,"")</f>
        <v/>
      </c>
      <c r="GF69" s="42" t="str">
        <f aca="false">IF(AND(Tasks[[#This Row],[_IsLeaf]]=1,N(Tasks[[#This Row],[Actual Start]])=0,Tasks[[#This Row],[_ShownFcstStart]]&gt;=StatusDate,Tasks[[#This Row],[_ShownFcstStart]]&lt;=LookaheadEnd),Tasks[[#This Row],[_ShownFcstStart]]+Tasks[[#This Row],[_Row]]/100000,"")</f>
        <v/>
      </c>
      <c r="GG69" s="42" t="str">
        <f aca="false">IF(AND(Tasks[[#This Row],[_IsLeaf]]=1,Tasks[[#This Row],[_LeafProgress]]&lt;1,Tasks[[#This Row],[_ShownFcstFinish]]&gt;=StatusDate,Tasks[[#This Row],[_ShownFcstFinish]]&lt;=LookaheadEnd),Tasks[[#This Row],[_ShownFcstFinish]]+Tasks[[#This Row],[_Row]]/100000,"")</f>
        <v/>
      </c>
      <c r="GH69" s="42" t="str">
        <f aca="false">IF(Tasks[[#This Row],[_LeafCritical]],Tasks[[#This Row],[_ShownFcstStart]]+Tasks[[#This Row],[_Row]]/100000,"")</f>
        <v/>
      </c>
      <c r="GI69" s="42" t="n">
        <f aca="false">Tasks[[#This Row],[_LeafWork]]*Tasks[[#This Row],[_LeafProgress]]</f>
        <v>0</v>
      </c>
      <c r="GJ69" s="89" t="str">
        <f aca="false">IF(AND(Tasks[[#This Row],[_IsLeaf]]=1,Tasks[[#This Row],[_LeafProgress]]&gt;=1),IF(N(Tasks[[#This Row],[Actual Finish]])&gt;0,Tasks[[#This Row],[Actual Finish]],Tasks[[#This Row],[_ShownFcstFinish]]),"")</f>
        <v/>
      </c>
      <c r="GK69" s="42" t="n">
        <f aca="false">IF(Tasks[[#This Row],[_IsLeaf]]=1,N(Tasks[[#This Row],[Story Points]]),0)</f>
        <v>0</v>
      </c>
      <c r="GL69" s="42" t="str">
        <f aca="false">""</f>
        <v/>
      </c>
      <c r="GM69" s="88" t="b">
        <f aca="false">IF(Tasks[[#This Row],[Task Name]]="",FALSE(),AND(Tasks[[#This Row],[_IsLeaf]]=1,N(Tasks[[#This Row],[_Days]])=0))</f>
        <v>0</v>
      </c>
      <c r="GN69" s="89" t="n">
        <f aca="false">IF(Tasks[[#This Row],[Task Name]]="",0,IF(AND(Tasks[[#This Row],[_IsLeaf]]=1,NOT(Tasks[[#This Row],[_IsMilestone]]),N(Tasks[[#This Row],[Progress]])&gt;0),Tasks[[#This Row],[Start]],0))</f>
        <v>0</v>
      </c>
      <c r="GO69" s="89" t="n">
        <f aca="false">IF(Tasks[[#This Row],[_DoneFrom]]=0,0,IF(Tasks[[#This Row],[Progress]]&gt;=1,Tasks[[#This Row],[Finish]],MAX(Tasks[[#This Row],[_DoneFrom]],Tasks[[#This Row],[Start]]+ROUND((Tasks[[#This Row],[Finish]]-Tasks[[#This Row],[Start]]+1)*Tasks[[#This Row],[Progress]],0)-1)))</f>
        <v>0</v>
      </c>
      <c r="GP69" s="89" t="n">
        <f aca="false">IF(Tasks[[#This Row],[Task Name]]="",0,IF(OR(NOT(Tasks[[#This Row],[_IsLeaf]]=1),Tasks[[#This Row],[_IsMilestone]],N(Tasks[[#This Row],[Progress]])&gt;=1),0,IF(Tasks[[#This Row],[_DoneTo]]&gt;0,Tasks[[#This Row],[_DoneTo]]+1,Tasks[[#This Row],[Start]])))</f>
        <v>0</v>
      </c>
      <c r="GQ69" s="89" t="n">
        <f aca="false">IF(Tasks[[#This Row],[_RemFrom]]=0,0,Tasks[[#This Row],[Finish]])</f>
        <v>0</v>
      </c>
      <c r="GR69" s="88" t="b">
        <f aca="false">IF(Tasks[[#This Row],[Task Name]]="",FALSE(),OR(NOT(BaselineSet),N(Tasks[[#This Row],[Baseline Start]])&gt;0))</f>
        <v>0</v>
      </c>
      <c r="GS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69" s="90" t="str">
        <f aca="false">IF(Tasks[[#This Row],[_IsLeaf]]=1,Tasks[[#This Row],[_Row]],"")</f>
        <v/>
      </c>
      <c r="GW69" s="90" t="str">
        <f aca="false">IFERROR(INDEX(Tasks[UID],SMALL(Tasks[_PickKey],Tasks[[#This Row],[_Row]]))&amp;" "&amp;INDEX(Tasks[Task Name],SMALL(Tasks[_PickKey],Tasks[[#This Row],[_Row]])),"")</f>
        <v/>
      </c>
      <c r="GX69" s="42" t="str">
        <f aca="false">IF(Tasks[[#This Row],[Task Name]]="","",IF(Tasks[[#This Row],[_IsSummary]],NETWORKDAYS.INTL(Tasks[[#This Row],[Start]],Tasks[[#This Row],[Finish]],WorkWeek,Holidays),N(Tasks[[#This Row],[_Days]])))</f>
        <v/>
      </c>
    </row>
    <row r="70" customFormat="false" ht="15" hidden="false" customHeight="false" outlineLevel="0" collapsed="false">
      <c r="A70" s="21" t="str">
        <f aca="false">IF(Tasks[[#This Row],[Task Name]]="","",COUNTA(Tasks[[#Headers],[Task Name]]:Tasks[[#This Row],[Task Name]])-1)</f>
        <v/>
      </c>
      <c r="B70" s="22" t="n">
        <v>78</v>
      </c>
      <c r="C70" s="22"/>
      <c r="D70" s="23"/>
      <c r="E70" s="22"/>
      <c r="F70" s="23"/>
      <c r="G70" s="22"/>
      <c r="H70" s="22"/>
      <c r="I70" s="23"/>
      <c r="J70" s="22"/>
      <c r="K70" s="22"/>
      <c r="L70" s="23"/>
      <c r="M70" s="22"/>
      <c r="N70" s="22"/>
      <c r="O70" s="23"/>
      <c r="P70" s="22"/>
      <c r="Q70" s="22"/>
      <c r="R70" s="23"/>
      <c r="S70" s="23"/>
      <c r="T70" s="83"/>
      <c r="U70" s="23"/>
      <c r="V70" s="83"/>
      <c r="W70" s="23"/>
      <c r="X70" s="83"/>
      <c r="Y70" s="23"/>
      <c r="Z70" s="83"/>
      <c r="AA70" s="23"/>
      <c r="AB70" s="23"/>
      <c r="AC70" s="7"/>
      <c r="AD70" s="7"/>
      <c r="AE70" s="62" t="str">
        <f aca="false">IF(Tasks[[#This Row],[Task Name]]="","",IF(Tasks[[#This Row],[_IsSummary]],MIN(INDEX(Tasks[_ShownFcstStart],Tasks[[#This Row],[_Row]]+1):INDEX(Tasks[_ShownFcstStart],Tasks[[#This Row],[_Row]]+Tasks[[#This Row],[_Descendants]])),Tasks[[#This Row],[_ShownFcstStart]]))</f>
        <v/>
      </c>
      <c r="AF70" s="62" t="str">
        <f aca="false">IF(Tasks[[#This Row],[Task Name]]="","",IF(Tasks[[#This Row],[_IsSummary]],MAX(INDEX(Tasks[_ShownFcstFinish],Tasks[[#This Row],[_Row]]+1):INDEX(Tasks[_ShownFcstFinish],Tasks[[#This Row],[_Row]]+Tasks[[#This Row],[_Descendants]])),Tasks[[#This Row],[_ShownFcstFinish]]))</f>
        <v/>
      </c>
      <c r="AG70" s="21" t="str">
        <f aca="false">""</f>
        <v/>
      </c>
      <c r="AH70" s="23"/>
      <c r="AI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0" s="7"/>
      <c r="AK70" s="22"/>
      <c r="AL70" s="23"/>
      <c r="AM70" s="7"/>
      <c r="AN70" s="46" t="str">
        <f aca="false">IF(Tasks[[#This Row],[Task Name]]="","",IF(Tasks[[#This Row],[Finish]]&gt;=Tasks[[#This Row],[Planned Finish]],NETWORKDAYS.INTL(Tasks[[#This Row],[Planned Finish]],Tasks[[#This Row],[Finish]],WorkWeek,Holidays)-1,1-NETWORKDAYS.INTL(Tasks[[#This Row],[Finish]],Tasks[[#This Row],[Planned Finish]],WorkWeek,Holidays)))</f>
        <v/>
      </c>
      <c r="AO70" s="21" t="str">
        <f aca="false">IF(Tasks[[#This Row],[Task Name]]="","",IF(Tasks[[#This Row],[Progress]]&gt;=1,"Complete",IF(OR(N(Tasks[[#This Row],[Actual Start]])&gt;0,Tasks[[#This Row],[Progress]]&gt;0),IF(Tasks[[#This Row],[Finish Var]]&gt;0,"Behind","In Progress"),IF(Tasks[[#This Row],[Planned Start]]&lt;StatusDate,"Late Start","Not Started"))))</f>
        <v/>
      </c>
      <c r="AP70" s="21" t="str">
        <f aca="false">IF(Tasks[[#This Row],[Task Name]]="","",IF(IF(Tasks[[#This Row],[_IsSummary]],COUNTIF(INDEX(Tasks[_LeafCritical],Tasks[[#This Row],[_Row]]+1):INDEX(Tasks[_LeafCritical],Tasks[[#This Row],[_Row]]+Tasks[[#This Row],[_Descendants]]),TRUE())&gt;0,Tasks[[#This Row],[_LeafCritical]]),"Yes",""))</f>
        <v/>
      </c>
      <c r="AQ70" s="62" t="str">
        <f aca="false">IF(Tasks[[#This Row],[Task Name]]="","",IF(N(Tasks[[#This Row],[Baseline Start]])&gt;0,Tasks[[#This Row],[Baseline Start]],Tasks[[#This Row],[_CalcStart]]))</f>
        <v/>
      </c>
      <c r="AR70" s="62" t="str">
        <f aca="false">IF(Tasks[[#This Row],[Task Name]]="","",IF(N(Tasks[[#This Row],[Baseline Finish]])&gt;0,Tasks[[#This Row],[Baseline Finish]],Tasks[[#This Row],[_CalcFinish]]))</f>
        <v/>
      </c>
      <c r="AS70" s="46" t="str">
        <f aca="false">IF(Tasks[[#This Row],[Task Name]]="","",IF(Tasks[[#This Row],[Start]]&gt;=Tasks[[#This Row],[Planned Start]],NETWORKDAYS.INTL(Tasks[[#This Row],[Planned Start]],Tasks[[#This Row],[Start]],WorkWeek,Holidays)-1,1-NETWORKDAYS.INTL(Tasks[[#This Row],[Start]],Tasks[[#This Row],[Planned Start]],WorkWeek,Holidays)))</f>
        <v/>
      </c>
      <c r="AT70" s="62" t="str">
        <f aca="false">IF(Tasks[[#This Row],[Task Name]]="","",IF(Tasks[[#This Row],[_IsSummary]],MIN(INDEX(Tasks[_LeafLateStart],Tasks[[#This Row],[_Row]]+1):INDEX(Tasks[_LeafLateStart],Tasks[[#This Row],[_Row]]+Tasks[[#This Row],[_Descendants]])),Tasks[[#This Row],[_LeafLateStart]]))</f>
        <v/>
      </c>
      <c r="AU70" s="62" t="str">
        <f aca="false">IF(Tasks[[#This Row],[Task Name]]="","",IF(Tasks[[#This Row],[_IsSummary]],MAX(INDEX(Tasks[_LeafLateFinish],Tasks[[#This Row],[_Row]]+1):INDEX(Tasks[_LeafLateFinish],Tasks[[#This Row],[_Row]]+Tasks[[#This Row],[_Descendants]])),Tasks[[#This Row],[_LeafLateFinish]]))</f>
        <v/>
      </c>
      <c r="AV70" s="46" t="str">
        <f aca="false">IF(Tasks[[#This Row],[Task Name]]="","",IF(Tasks[[#This Row],[_IsSummary]],MIN(INDEX(Tasks[_LeafTotalSlack],Tasks[[#This Row],[_Row]]+1):INDEX(Tasks[_LeafTotalSlack],Tasks[[#This Row],[_Row]]+Tasks[[#This Row],[_Descendants]])),Tasks[[#This Row],[_LeafTotalSlack]]))</f>
        <v/>
      </c>
      <c r="AW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4"/>
      <c r="BA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t="str">
        <f aca="false">IF(Tasks[[#This Row],[Task Name]]="","",IF(Tasks[[#This Row],[_Level]]&lt;=OutlineShowLevel,"Yes","No"))</f>
        <v/>
      </c>
      <c r="BE70" s="85" t="str">
        <f aca="false">IF(Tasks[[#This Row],[Task Name]]="","",IF(Tasks[[#This Row],[_IsSummary]],SUM(INDEX(Tasks[_LeafTotalWork],Tasks[[#This Row],[_Row]]+1):INDEX(Tasks[_LeafTotalWork],Tasks[[#This Row],[_Row]]+Tasks[[#This Row],[_Descendants]])),Tasks[[#This Row],[_LeafTotalWork]]))</f>
        <v/>
      </c>
      <c r="BF70" s="23"/>
      <c r="BG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t="str">
        <f aca="false">""</f>
        <v/>
      </c>
      <c r="BI70" s="86"/>
      <c r="BJ70" s="22"/>
      <c r="BK70" s="46" t="str">
        <f aca="false">IF(OR(Tasks[[#This Row],[Task Name]]="",Tasks[[#This Row],[Baseline Duration]]=""),"",Tasks[[#This Row],[_SpanDays]]-N(Tasks[[#This Row],[Baseline Duration]]))</f>
        <v/>
      </c>
      <c r="BL70" s="85" t="str">
        <f aca="false">IF(OR(Tasks[[#This Row],[Task Name]]="",Tasks[[#This Row],[Baseline Work]]=""),"",Tasks[[#This Row],[Work]]-N(Tasks[[#This Row],[Baseline Work]]))</f>
        <v/>
      </c>
      <c r="BM70" s="62" t="str">
        <f aca="false">IF(Tasks[[#This Row],[Task Name]]="","",IF(OR(TakeBaseline="Yes",N(Tasks[[#This Row],[Baseline Start]])=0),Tasks[[#This Row],[Start]],Tasks[[#This Row],[Baseline Start]]))</f>
        <v/>
      </c>
      <c r="BN70" s="62" t="str">
        <f aca="false">IF(Tasks[[#This Row],[Task Name]]="","",IF(OR(TakeBaseline="Yes",N(Tasks[[#This Row],[Baseline Finish]])=0),Tasks[[#This Row],[Finish]],Tasks[[#This Row],[Baseline Finish]]))</f>
        <v/>
      </c>
      <c r="BO70" s="21" t="str">
        <f aca="false">IF(Tasks[[#This Row],[Task Name]]="","",IF(OR(TakeBaseline="Yes",N(Tasks[[#This Row],[Baseline Duration]])=0),Tasks[[#This Row],[_SpanDays]],Tasks[[#This Row],[Baseline Duration]]))</f>
        <v/>
      </c>
      <c r="BP70" s="85" t="str">
        <f aca="false">IF(Tasks[[#This Row],[Task Name]]="","",IF(OR(TakeBaseline="Yes",N(Tasks[[#This Row],[Baseline Work]])=0),Tasks[[#This Row],[Work]],Tasks[[#This Row],[Baseline Work]]))</f>
        <v/>
      </c>
      <c r="BQ70" s="7"/>
      <c r="BR70" s="7"/>
      <c r="BS70" s="22"/>
      <c r="BT70" s="87"/>
      <c r="BU70" s="42" t="str">
        <f aca="false">IF(Tasks[[#This Row],[Task Name]]="","",MAX(1,N(Tasks[[#This Row],[Level]])))</f>
        <v/>
      </c>
      <c r="BV70" s="42" t="n">
        <f aca="false">ROW()-ROW(Tasks[[#Headers],[ID]])</f>
        <v>65</v>
      </c>
      <c r="BW70" s="42" t="n">
        <f aca="false">IF(OR(Tasks[[#This Row],[Task Name]]="",Tasks[[#This Row],[_Level]]&lt;=1),0,IFERROR(LOOKUP(2,1/(Tasks[[#Headers],[_Level]]:Tasks[[#This Row],[_Level]]=Tasks[[#This Row],[_Level]]-1),ROW(Tasks[[#Headers],[_Level]]:Tasks[[#This Row],[_Level]])),0))</f>
        <v>0</v>
      </c>
      <c r="BX70" s="42" t="n">
        <f aca="false">IFERROR(N(INDEX(Tasks[_Level],Tasks[[#This Row],[_Row]]+1)),0)</f>
        <v>0</v>
      </c>
      <c r="BY70" s="88" t="b">
        <f aca="false">AND(Tasks[[#This Row],[Task Name]]&lt;&gt;"",Tasks[[#This Row],[_NextLevel]]&gt;Tasks[[#This Row],[_Level]])</f>
        <v>0</v>
      </c>
      <c r="BZ70" s="42" t="n">
        <f aca="false">IF(Tasks[[#This Row],[_IsSummary]],COUNTIF(Tasks[WBS],Tasks[[#This Row],[WBS]]&amp;".*"),0)</f>
        <v>0</v>
      </c>
      <c r="CA70" s="42" t="n">
        <f aca="false">IF(AND(Tasks[[#This Row],[Task Name]]&lt;&gt;"",NOT(Tasks[[#This Row],[_IsSummary]])),1,0)</f>
        <v>0</v>
      </c>
      <c r="CB70" s="42" t="n">
        <f aca="false">IF(N(Tasks[[#This Row],[_Pred1UID]])=0,0,IFERROR(MATCH(Tasks[[#This Row],[_Pred1UID]],Tasks[UID],0),-1))</f>
        <v>0</v>
      </c>
      <c r="CC70" s="42" t="n">
        <f aca="false">IF(N(Tasks[[#This Row],[_Pred2UID]])=0,0,IFERROR(MATCH(Tasks[[#This Row],[_Pred2UID]],Tasks[UID],0),-1))</f>
        <v>0</v>
      </c>
      <c r="CD70" s="42" t="n">
        <f aca="false">IF(N(Tasks[[#This Row],[_Pred3UID]])=0,0,IFERROR(MATCH(Tasks[[#This Row],[_Pred3UID]],Tasks[UID],0),-1))</f>
        <v>0</v>
      </c>
      <c r="CE70" s="42" t="n">
        <f aca="false">IF(N(Tasks[[#This Row],[_Pred4UID]])=0,0,IFERROR(MATCH(Tasks[[#This Row],[_Pred4UID]],Tasks[UID],0),-1))</f>
        <v>0</v>
      </c>
      <c r="CF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0" s="89" t="n">
        <f aca="false">IF(OR(Tasks[[#This Row],[_ConstraintCode]]=2,Tasks[[#This Row],[_ConstraintCode]]=3,Tasks[[#This Row],[_ConstraintCode]]=4,Tasks[[#This Row],[_ConstraintCode]]=6),Tasks[[#This Row],[_ConstraintStart]],0)</f>
        <v>0</v>
      </c>
      <c r="CI70" s="89" t="n">
        <f aca="false">IF(OR(Tasks[[#This Row],[_ConstraintCode]]=2,Tasks[[#This Row],[_ConstraintCode]]=3,Tasks[[#This Row],[_ConstraintCode]]=5,Tasks[[#This Row],[_ConstraintCode]]=7),Tasks[[#This Row],[_ConstraintStart]],2958465)</f>
        <v>2958465</v>
      </c>
      <c r="CJ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0" s="89" t="str">
        <f aca="false">IF(NOT(Tasks[[#This Row],[_IsLeaf]]=1),"",IF(N(Tasks[[#This Row],[_Days]])&lt;=0,Tasks[[#This Row],[_LeafCalcStart]],WORKDAY.INTL(Tasks[[#This Row],[_LeafCalcStart]],Tasks[[#This Row],[_Days]]-1,WorkWeek,Holidays)))</f>
        <v/>
      </c>
      <c r="CL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0" s="42" t="str">
        <f aca="false">IF(Tasks[[#This Row],[_Predecessors]]="","",TRIM(MID(SUBSTITUTE(SUBSTITUTE(SUBSTITUTE(UPPER(Tasks[[#This Row],[_Predecessors]]),";",",")," ",""),",",REPT(" ",99)),1,99)))</f>
        <v/>
      </c>
      <c r="CO70" s="42" t="str">
        <f aca="false">IF(Tasks[[#This Row],[_Pred1Text]]="","",IFERROR(VALUE(LEFT(Tasks[[#This Row],[_Pred1Text]],MIN(FIND("F",Tasks[[#This Row],[_Pred1Text]]&amp;"F"),FIND("S",Tasks[[#This Row],[_Pred1Text]]&amp;"S"),FIND("+",Tasks[[#This Row],[_Pred1Text]]&amp;"+"),FIND("-",Tasks[[#This Row],[_Pred1Text]]&amp;"-"))-1)),""))</f>
        <v/>
      </c>
      <c r="CP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0" s="42" t="str">
        <f aca="false">IF(Tasks[[#This Row],[_Pred1Text]]="","",TRIM(MID(SUBSTITUTE(SUBSTITUTE(SUBSTITUTE(UPPER(Tasks[[#This Row],[_Predecessors]]),";",",")," ",""),",",REPT(" ",99)),100,99)))</f>
        <v/>
      </c>
      <c r="CS70" s="42" t="str">
        <f aca="false">IF(Tasks[[#This Row],[_Pred2Text]]="","",IFERROR(VALUE(LEFT(Tasks[[#This Row],[_Pred2Text]],MIN(FIND("F",Tasks[[#This Row],[_Pred2Text]]&amp;"F"),FIND("S",Tasks[[#This Row],[_Pred2Text]]&amp;"S"),FIND("+",Tasks[[#This Row],[_Pred2Text]]&amp;"+"),FIND("-",Tasks[[#This Row],[_Pred2Text]]&amp;"-"))-1)),""))</f>
        <v/>
      </c>
      <c r="CT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0" s="42" t="str">
        <f aca="false">IF(Tasks[[#This Row],[_Pred2Text]]="","",TRIM(MID(SUBSTITUTE(SUBSTITUTE(SUBSTITUTE(UPPER(Tasks[[#This Row],[_Predecessors]]),";",",")," ",""),",",REPT(" ",99)),199,99)))</f>
        <v/>
      </c>
      <c r="CW70" s="42" t="str">
        <f aca="false">IF(Tasks[[#This Row],[_Pred3Text]]="","",IFERROR(VALUE(LEFT(Tasks[[#This Row],[_Pred3Text]],MIN(FIND("F",Tasks[[#This Row],[_Pred3Text]]&amp;"F"),FIND("S",Tasks[[#This Row],[_Pred3Text]]&amp;"S"),FIND("+",Tasks[[#This Row],[_Pred3Text]]&amp;"+"),FIND("-",Tasks[[#This Row],[_Pred3Text]]&amp;"-"))-1)),""))</f>
        <v/>
      </c>
      <c r="CX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0" s="42" t="str">
        <f aca="false">IF(Tasks[[#This Row],[_Pred3Text]]="","",TRIM(MID(SUBSTITUTE(SUBSTITUTE(SUBSTITUTE(UPPER(Tasks[[#This Row],[_Predecessors]]),";",",")," ",""),",",REPT(" ",99)),298,99)))</f>
        <v/>
      </c>
      <c r="DA70" s="42" t="str">
        <f aca="false">IF(Tasks[[#This Row],[_Pred4Text]]="","",IFERROR(VALUE(LEFT(Tasks[[#This Row],[_Pred4Text]],MIN(FIND("F",Tasks[[#This Row],[_Pred4Text]]&amp;"F"),FIND("S",Tasks[[#This Row],[_Pred4Text]]&amp;"S"),FIND("+",Tasks[[#This Row],[_Pred4Text]]&amp;"+"),FIND("-",Tasks[[#This Row],[_Pred4Text]]&amp;"-"))-1)),""))</f>
        <v/>
      </c>
      <c r="DB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0" s="42" t="str">
        <f aca="false">IF(OR(Tasks[[#This Row],[Task Name]]="",Tasks[[#This Row],[_Resources]]=""),"",TRIM(MID(SUBSTITUTE(Tasks[[#This Row],[_Resources]],",",REPT(" ",99)),1,99)))</f>
        <v/>
      </c>
      <c r="DE70" s="42" t="str">
        <f aca="false">IF(Tasks[[#This Row],[_Res1Text]]="","",TRIM(MID(SUBSTITUTE(Tasks[[#This Row],[_Resources]],",",REPT(" ",99)),100,99)))</f>
        <v/>
      </c>
      <c r="DF70" s="42" t="str">
        <f aca="false">IF(Tasks[[#This Row],[_Res2Text]]="","",TRIM(MID(SUBSTITUTE(Tasks[[#This Row],[_Resources]],",",REPT(" ",99)),199,99)))</f>
        <v/>
      </c>
      <c r="DG70" s="42" t="str">
        <f aca="false">IF(Tasks[[#This Row],[_Res3Text]]="","",TRIM(MID(SUBSTITUTE(Tasks[[#This Row],[_Resources]],",",REPT(" ",99)),298,99)))</f>
        <v/>
      </c>
      <c r="DH70" s="42" t="n">
        <f aca="false">IF(Tasks[[#This Row],[_Res1Text]]="",0,IFERROR(MATCH(TRIM(LEFT(Tasks[[#This Row],[_Res1Text]],FIND("[",Tasks[[#This Row],[_Res1Text]]&amp;"[")-1)),res_Name,0),IFERROR(MATCH(TRIM(LEFT(Tasks[[#This Row],[_Res1Text]],FIND("[",Tasks[[#This Row],[_Res1Text]]&amp;"[")-1)),res_Initials,0),0)))</f>
        <v>0</v>
      </c>
      <c r="DI70" s="42" t="n">
        <f aca="false">IF(Tasks[[#This Row],[_Res2Text]]="",0,IFERROR(MATCH(TRIM(LEFT(Tasks[[#This Row],[_Res2Text]],FIND("[",Tasks[[#This Row],[_Res2Text]]&amp;"[")-1)),res_Name,0),IFERROR(MATCH(TRIM(LEFT(Tasks[[#This Row],[_Res2Text]],FIND("[",Tasks[[#This Row],[_Res2Text]]&amp;"[")-1)),res_Initials,0),0)))</f>
        <v>0</v>
      </c>
      <c r="DJ70" s="42" t="n">
        <f aca="false">IF(Tasks[[#This Row],[_Res3Text]]="",0,IFERROR(MATCH(TRIM(LEFT(Tasks[[#This Row],[_Res3Text]],FIND("[",Tasks[[#This Row],[_Res3Text]]&amp;"[")-1)),res_Name,0),IFERROR(MATCH(TRIM(LEFT(Tasks[[#This Row],[_Res3Text]],FIND("[",Tasks[[#This Row],[_Res3Text]]&amp;"[")-1)),res_Initials,0),0)))</f>
        <v>0</v>
      </c>
      <c r="DK70" s="42" t="n">
        <f aca="false">IF(Tasks[[#This Row],[_Res4Text]]="",0,IFERROR(MATCH(TRIM(LEFT(Tasks[[#This Row],[_Res4Text]],FIND("[",Tasks[[#This Row],[_Res4Text]]&amp;"[")-1)),res_Name,0),IFERROR(MATCH(TRIM(LEFT(Tasks[[#This Row],[_Res4Text]],FIND("[",Tasks[[#This Row],[_Res4Text]]&amp;"[")-1)),res_Initials,0),0)))</f>
        <v>0</v>
      </c>
      <c r="DL70" s="42" t="str">
        <f aca="false">IF(Tasks[[#This Row],[_Res1Text]]="","",IF(Tasks[[#This Row],[_Res1Row]]&gt;0,INDEX(res_Name,Tasks[[#This Row],[_Res1Row]]),TRIM(LEFT(Tasks[[#This Row],[_Res1Text]],FIND("[",Tasks[[#This Row],[_Res1Text]]&amp;"[")-1))))</f>
        <v/>
      </c>
      <c r="DM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0" s="42" t="n">
        <f aca="false">IF(NOT(Tasks[[#This Row],[_IsLeaf]]=1),0,(Tasks[[#This Row],[_Resource1]]&lt;&gt;"")+(Tasks[[#This Row],[_Res2]]&lt;&gt;"")+(Tasks[[#This Row],[_Res3]]&lt;&gt;"")+(Tasks[[#This Row],[_Res4]]&lt;&gt;""))</f>
        <v>0</v>
      </c>
      <c r="DO70" s="42" t="str">
        <f aca="false">IF(Tasks[[#This Row],[_Res2Text]]="","",IF(Tasks[[#This Row],[_Res2Row]]&gt;0,INDEX(res_Name,Tasks[[#This Row],[_Res2Row]]),TRIM(LEFT(Tasks[[#This Row],[_Res2Text]],FIND("[",Tasks[[#This Row],[_Res2Text]]&amp;"[")-1))))</f>
        <v/>
      </c>
      <c r="DP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0" s="42" t="n">
        <f aca="false">IF(OR(NOT(Tasks[[#This Row],[_IsLeaf]]=1),Tasks[[#This Row],[_Res2Row]]=0),0,N(Tasks[[#This Row],[_Days]])*HoursPerDay*IF(Tasks[[#This Row],[_Res2Units]]="",DefaultUnits,Tasks[[#This Row],[_Res2Units]]))</f>
        <v>0</v>
      </c>
      <c r="DR70" s="42" t="n">
        <f aca="false">IF(AND(AND(Tasks[[#This Row],[_IsLeaf]]=1,Tasks[[#This Row],[_LeafTotalWork]]&gt;0),Tasks[[#This Row],[_Res2Work]]&gt;0),Tasks[[#This Row],[_Res2Work]]/(Tasks[[#This Row],[_FinishWorkday]]-Tasks[[#This Row],[_StartWorkday]]+1),0)</f>
        <v>0</v>
      </c>
      <c r="DS70" s="42" t="n">
        <f aca="false">Tasks[[#This Row],[_Res2WorkPerWD]]*MAX(0,Tasks[[#This Row],[_StartWorkday]]-1)</f>
        <v>0</v>
      </c>
      <c r="DT70" s="42" t="n">
        <f aca="false">Tasks[[#This Row],[_Res2Work]]*Tasks[[#This Row],[_LeafProgress]]</f>
        <v>0</v>
      </c>
      <c r="DU70" s="42" t="str">
        <f aca="false">IF(Tasks[[#This Row],[_Res3Text]]="","",IF(Tasks[[#This Row],[_Res3Row]]&gt;0,INDEX(res_Name,Tasks[[#This Row],[_Res3Row]]),TRIM(LEFT(Tasks[[#This Row],[_Res3Text]],FIND("[",Tasks[[#This Row],[_Res3Text]]&amp;"[")-1))))</f>
        <v/>
      </c>
      <c r="DV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0" s="42" t="n">
        <f aca="false">IF(OR(NOT(Tasks[[#This Row],[_IsLeaf]]=1),Tasks[[#This Row],[_Res3Row]]=0),0,N(Tasks[[#This Row],[_Days]])*HoursPerDay*IF(Tasks[[#This Row],[_Res3Units]]="",DefaultUnits,Tasks[[#This Row],[_Res3Units]]))</f>
        <v>0</v>
      </c>
      <c r="DX70" s="42" t="n">
        <f aca="false">IF(AND(AND(Tasks[[#This Row],[_IsLeaf]]=1,Tasks[[#This Row],[_LeafTotalWork]]&gt;0),Tasks[[#This Row],[_Res3Work]]&gt;0),Tasks[[#This Row],[_Res3Work]]/(Tasks[[#This Row],[_FinishWorkday]]-Tasks[[#This Row],[_StartWorkday]]+1),0)</f>
        <v>0</v>
      </c>
      <c r="DY70" s="42" t="n">
        <f aca="false">Tasks[[#This Row],[_Res3WorkPerWD]]*MAX(0,Tasks[[#This Row],[_StartWorkday]]-1)</f>
        <v>0</v>
      </c>
      <c r="DZ70" s="42" t="n">
        <f aca="false">Tasks[[#This Row],[_Res3Work]]*Tasks[[#This Row],[_LeafProgress]]</f>
        <v>0</v>
      </c>
      <c r="EA70" s="42" t="str">
        <f aca="false">IF(Tasks[[#This Row],[_Res4Text]]="","",IF(Tasks[[#This Row],[_Res4Row]]&gt;0,INDEX(res_Name,Tasks[[#This Row],[_Res4Row]]),TRIM(LEFT(Tasks[[#This Row],[_Res4Text]],FIND("[",Tasks[[#This Row],[_Res4Text]]&amp;"[")-1))))</f>
        <v/>
      </c>
      <c r="EB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0" s="42" t="n">
        <f aca="false">IF(OR(NOT(Tasks[[#This Row],[_IsLeaf]]=1),Tasks[[#This Row],[_Res4Row]]=0),0,N(Tasks[[#This Row],[_Days]])*HoursPerDay*IF(Tasks[[#This Row],[_Res4Units]]="",DefaultUnits,Tasks[[#This Row],[_Res4Units]]))</f>
        <v>0</v>
      </c>
      <c r="ED70" s="42" t="n">
        <f aca="false">IF(AND(AND(Tasks[[#This Row],[_IsLeaf]]=1,Tasks[[#This Row],[_LeafTotalWork]]&gt;0),Tasks[[#This Row],[_Res4Work]]&gt;0),Tasks[[#This Row],[_Res4Work]]/(Tasks[[#This Row],[_FinishWorkday]]-Tasks[[#This Row],[_StartWorkday]]+1),0)</f>
        <v>0</v>
      </c>
      <c r="EE70" s="42" t="n">
        <f aca="false">Tasks[[#This Row],[_Res4WorkPerWD]]*MAX(0,Tasks[[#This Row],[_StartWorkday]]-1)</f>
        <v>0</v>
      </c>
      <c r="EF70" s="42" t="n">
        <f aca="false">Tasks[[#This Row],[_Res4Work]]*Tasks[[#This Row],[_LeafProgress]]</f>
        <v>0</v>
      </c>
      <c r="EG70" s="42" t="n">
        <f aca="false">IF(ISNUMBER(Tasks[[#This Row],[% Complete]]),Tasks[[#This Row],[% Complete]],IF(Tasks[[#This Row],[Stage]]="",0,IFERROR(INDEX(stg_Pct,MATCH(Tasks[[#This Row],[Stage]],stg_Name,0)),0)))</f>
        <v>0</v>
      </c>
      <c r="EH70" s="42" t="n">
        <f aca="false">IF(NOT(Tasks[[#This Row],[_IsLeaf]]=1),0,IF(N(Tasks[[#This Row],[Actual Finish]])&gt;0,1,MIN(1,Tasks[[#This Row],[_Pct]])))</f>
        <v>0</v>
      </c>
      <c r="EI70" s="42" t="n">
        <f aca="false">IF(OR(NOT(Tasks[[#This Row],[_IsLeaf]]=1),Tasks[[#This Row],[_Res1Row]]=0),0,N(Tasks[[#This Row],[_Days]])*HoursPerDay*IF(Tasks[[#This Row],[_Units1]]="",DefaultUnits,Tasks[[#This Row],[_Units1]]))</f>
        <v>0</v>
      </c>
      <c r="EJ70" s="42" t="n">
        <f aca="false">Tasks[[#This Row],[_LeafWork]]+Tasks[[#This Row],[_Res2Work]]+Tasks[[#This Row],[_Res3Work]]+Tasks[[#This Row],[_Res4Work]]</f>
        <v>0</v>
      </c>
      <c r="EK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0" s="42" t="n">
        <f aca="false">IF(NOT(Tasks[[#This Row],[_IsLeaf]]=1),0,MAX(_xlfn.MAXIFS(Tasks[_Row],Tasks[_Pred1UID],Tasks[[#This Row],[UID]]),_xlfn.MAXIFS(Tasks[_Row],Tasks[_Pred2UID],Tasks[[#This Row],[UID]]),_xlfn.MAXIFS(Tasks[_Row],Tasks[_Pred3UID],Tasks[[#This Row],[UID]]),_xlfn.MAXIFS(Tasks[_Row],Tasks[_Pred4UID],Tasks[[#This Row],[UID]])))</f>
        <v>0</v>
      </c>
      <c r="ET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0" s="89" t="str">
        <f aca="false">IF(NOT(Tasks[[#This Row],[_IsLeaf]]=1),"",IF(N(Tasks[[#This Row],[_Days]])&lt;=0,Tasks[[#This Row],[_LeafLateFinish]],WORKDAY.INTL(Tasks[[#This Row],[_LeafLateFinish]],-(Tasks[[#This Row],[_Days]]-1),WorkWeek,Holidays)))</f>
        <v/>
      </c>
      <c r="EW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0" s="88" t="b">
        <f aca="false">AND(Tasks[[#This Row],[_IsLeaf]]=1,Tasks[[#This Row],[_LeafProgress]]&lt;1,N(Tasks[[#This Row],[_LeafTotalSlack]])&lt;=CriticalSlackDays)</f>
        <v>0</v>
      </c>
      <c r="EY70" s="42" t="n">
        <f aca="false">IF(AND(Tasks[[#This Row],[_IsLeaf]]=1,Tasks[[#This Row],[_ConstraintCode]]=1,Tasks[[#This Row],[Mode]]&lt;&gt;"Manual",N(Tasks[[#This Row],[Actual Start]])=0),MAX(0,N(Tasks[[#This Row],[Free Slack]])),0)</f>
        <v>0</v>
      </c>
      <c r="EZ70" s="89" t="str">
        <f aca="false">IF(NOT(Tasks[[#This Row],[_IsLeaf]]=1),"",IF(Tasks[[#This Row],[_AlapShift]]=0,Tasks[[#This Row],[_LeafCalcStart]],WORKDAY.INTL(Tasks[[#This Row],[_LeafCalcStart]],Tasks[[#This Row],[_AlapShift]],WorkWeek,Holidays)))</f>
        <v/>
      </c>
      <c r="FA70" s="89" t="str">
        <f aca="false">IF(NOT(Tasks[[#This Row],[_IsLeaf]]=1),"",IF(Tasks[[#This Row],[_AlapShift]]=0,Tasks[[#This Row],[_LeafCalcFinish]],WORKDAY.INTL(Tasks[[#This Row],[_LeafCalcFinish]],Tasks[[#This Row],[_AlapShift]],WorkWeek,Holidays)))</f>
        <v/>
      </c>
      <c r="FB70" s="89" t="str">
        <f aca="false">IF(NOT(Tasks[[#This Row],[_IsLeaf]]=1),"",IF(Tasks[[#This Row],[_AlapShift]]=0,Tasks[[#This Row],[_LeafFcstStart]],WORKDAY.INTL(Tasks[[#This Row],[_LeafFcstStart]],Tasks[[#This Row],[_AlapShift]],WorkWeek,Holidays)))</f>
        <v/>
      </c>
      <c r="FC70" s="89" t="str">
        <f aca="false">IF(NOT(Tasks[[#This Row],[_IsLeaf]]=1),"",IF(Tasks[[#This Row],[_AlapShift]]=0,Tasks[[#This Row],[_LeafFcstFinish]],WORKDAY.INTL(Tasks[[#This Row],[_LeafFcstFinish]],Tasks[[#This Row],[_AlapShift]],WorkWeek,Holidays)))</f>
        <v/>
      </c>
      <c r="FD70" s="89" t="str">
        <f aca="false">IF(Tasks[[#This Row],[Task Name]]="","",IF(Tasks[[#This Row],[_IsSummary]],MIN(INDEX(Tasks[_ShownCalcStart],Tasks[[#This Row],[_Row]]+1):INDEX(Tasks[_ShownCalcStart],Tasks[[#This Row],[_Row]]+Tasks[[#This Row],[_Descendants]])),Tasks[[#This Row],[_ShownCalcStart]]))</f>
        <v/>
      </c>
      <c r="FE70" s="89" t="str">
        <f aca="false">IF(Tasks[[#This Row],[Task Name]]="","",IF(Tasks[[#This Row],[_IsSummary]],MAX(INDEX(Tasks[_ShownCalcFinish],Tasks[[#This Row],[_Row]]+1):INDEX(Tasks[_ShownCalcFinish],Tasks[[#This Row],[_Row]]+Tasks[[#This Row],[_Descendants]])),Tasks[[#This Row],[_ShownCalcFinish]]))</f>
        <v/>
      </c>
      <c r="FF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0" s="42" t="n">
        <f aca="false">IF(AND(Tasks[[#This Row],[_IsLeaf]]=1,Tasks[[#This Row],[_LeafTotalWork]]&gt;0),NETWORKDAYS.INTL(ProjectStart,Tasks[[#This Row],[_ShownFcstStart]],WorkWeek,Holidays),0)</f>
        <v>0</v>
      </c>
      <c r="FS70" s="42" t="n">
        <f aca="false">IF(AND(Tasks[[#This Row],[_IsLeaf]]=1,Tasks[[#This Row],[_LeafTotalWork]]&gt;0),MAX(Tasks[[#This Row],[_StartWorkday]],NETWORKDAYS.INTL(ProjectStart,Tasks[[#This Row],[_ShownFcstFinish]],WorkWeek,Holidays)),0)</f>
        <v>0</v>
      </c>
      <c r="FT70" s="42" t="n">
        <f aca="false">IF(AND(Tasks[[#This Row],[_IsLeaf]]=1,Tasks[[#This Row],[_LeafTotalWork]]&gt;0),Tasks[[#This Row],[_LeafWork]]/(Tasks[[#This Row],[_FinishWorkday]]-Tasks[[#This Row],[_StartWorkday]]+1),0)</f>
        <v>0</v>
      </c>
      <c r="FU70" s="42" t="n">
        <f aca="false">Tasks[[#This Row],[_WorkPerWorkday]]*(Tasks[[#This Row],[_StartWorkday]]-1)</f>
        <v>-0</v>
      </c>
      <c r="FV70" s="42" t="n">
        <f aca="false">IF(Tasks[[#This Row],[_IsLeaf]]=1,MAX(N(Tasks[[#This Row],[_Days]]),0.1),0)</f>
        <v>0</v>
      </c>
      <c r="FW70" s="42" t="n">
        <f aca="false">Tasks[[#This Row],[_WeightDur]]*Tasks[[#This Row],[_LeafProgress]]</f>
        <v>0</v>
      </c>
      <c r="FX70" s="42" t="n">
        <f aca="false">Tasks[[#This Row],[_WeightDur]]*Tasks[[#This Row],[_PlannedPct]]</f>
        <v>0</v>
      </c>
      <c r="FY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0" s="42" t="str">
        <f aca="false">IF(AND(Tasks[[#This Row],[_IsLeaf]]=1,N(Tasks[[#This Row],[_Days]])=0,Tasks[[#This Row],[_LeafProgress]]&lt;1),Tasks[[#This Row],[_ShownFcstFinish]]+Tasks[[#This Row],[_Row]]/100000,"")</f>
        <v/>
      </c>
      <c r="GA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0" s="42" t="str">
        <f aca="false">IF(Tasks[[#This Row],[Task Name]]="","",LEFT(Tasks[[#This Row],[WBS]],FIND(".",Tasks[[#This Row],[WBS]]&amp;".")-1))</f>
        <v/>
      </c>
      <c r="GC70" s="42" t="str">
        <f aca="false">IF(AND(Tasks[[#This Row],[Task Name]]&lt;&gt;"",Tasks[[#This Row],[_Level]]=1),Tasks[[#This Row],[_Row]],"")</f>
        <v/>
      </c>
      <c r="GD70" s="42" t="str">
        <f aca="false">IF(AND(Tasks[[#This Row],[_IsLeaf]]=1,N(Tasks[[#This Row],[_Days]])=0),Tasks[[#This Row],[Planned Finish]]+Tasks[[#This Row],[_Row]]/100000,"")</f>
        <v/>
      </c>
      <c r="GE70" s="42" t="str">
        <f aca="false">IF(AND(Tasks[[#This Row],[_IsLeaf]]=1,Tasks[[#This Row],[_LeafProgress]]&lt;1,OR(N(Tasks[[#This Row],[Finish Var]])&gt;0,Tasks[[#This Row],[Status]]="Late Start")),MAX(0,Tasks[[#This Row],[Finish Var]])+1-Tasks[[#This Row],[_Row]]/1000000,"")</f>
        <v/>
      </c>
      <c r="GF70" s="42" t="str">
        <f aca="false">IF(AND(Tasks[[#This Row],[_IsLeaf]]=1,N(Tasks[[#This Row],[Actual Start]])=0,Tasks[[#This Row],[_ShownFcstStart]]&gt;=StatusDate,Tasks[[#This Row],[_ShownFcstStart]]&lt;=LookaheadEnd),Tasks[[#This Row],[_ShownFcstStart]]+Tasks[[#This Row],[_Row]]/100000,"")</f>
        <v/>
      </c>
      <c r="GG70" s="42" t="str">
        <f aca="false">IF(AND(Tasks[[#This Row],[_IsLeaf]]=1,Tasks[[#This Row],[_LeafProgress]]&lt;1,Tasks[[#This Row],[_ShownFcstFinish]]&gt;=StatusDate,Tasks[[#This Row],[_ShownFcstFinish]]&lt;=LookaheadEnd),Tasks[[#This Row],[_ShownFcstFinish]]+Tasks[[#This Row],[_Row]]/100000,"")</f>
        <v/>
      </c>
      <c r="GH70" s="42" t="str">
        <f aca="false">IF(Tasks[[#This Row],[_LeafCritical]],Tasks[[#This Row],[_ShownFcstStart]]+Tasks[[#This Row],[_Row]]/100000,"")</f>
        <v/>
      </c>
      <c r="GI70" s="42" t="n">
        <f aca="false">Tasks[[#This Row],[_LeafWork]]*Tasks[[#This Row],[_LeafProgress]]</f>
        <v>0</v>
      </c>
      <c r="GJ70" s="89" t="str">
        <f aca="false">IF(AND(Tasks[[#This Row],[_IsLeaf]]=1,Tasks[[#This Row],[_LeafProgress]]&gt;=1),IF(N(Tasks[[#This Row],[Actual Finish]])&gt;0,Tasks[[#This Row],[Actual Finish]],Tasks[[#This Row],[_ShownFcstFinish]]),"")</f>
        <v/>
      </c>
      <c r="GK70" s="42" t="n">
        <f aca="false">IF(Tasks[[#This Row],[_IsLeaf]]=1,N(Tasks[[#This Row],[Story Points]]),0)</f>
        <v>0</v>
      </c>
      <c r="GL70" s="42" t="str">
        <f aca="false">""</f>
        <v/>
      </c>
      <c r="GM70" s="88" t="b">
        <f aca="false">IF(Tasks[[#This Row],[Task Name]]="",FALSE(),AND(Tasks[[#This Row],[_IsLeaf]]=1,N(Tasks[[#This Row],[_Days]])=0))</f>
        <v>0</v>
      </c>
      <c r="GN70" s="89" t="n">
        <f aca="false">IF(Tasks[[#This Row],[Task Name]]="",0,IF(AND(Tasks[[#This Row],[_IsLeaf]]=1,NOT(Tasks[[#This Row],[_IsMilestone]]),N(Tasks[[#This Row],[Progress]])&gt;0),Tasks[[#This Row],[Start]],0))</f>
        <v>0</v>
      </c>
      <c r="GO70" s="89" t="n">
        <f aca="false">IF(Tasks[[#This Row],[_DoneFrom]]=0,0,IF(Tasks[[#This Row],[Progress]]&gt;=1,Tasks[[#This Row],[Finish]],MAX(Tasks[[#This Row],[_DoneFrom]],Tasks[[#This Row],[Start]]+ROUND((Tasks[[#This Row],[Finish]]-Tasks[[#This Row],[Start]]+1)*Tasks[[#This Row],[Progress]],0)-1)))</f>
        <v>0</v>
      </c>
      <c r="GP70" s="89" t="n">
        <f aca="false">IF(Tasks[[#This Row],[Task Name]]="",0,IF(OR(NOT(Tasks[[#This Row],[_IsLeaf]]=1),Tasks[[#This Row],[_IsMilestone]],N(Tasks[[#This Row],[Progress]])&gt;=1),0,IF(Tasks[[#This Row],[_DoneTo]]&gt;0,Tasks[[#This Row],[_DoneTo]]+1,Tasks[[#This Row],[Start]])))</f>
        <v>0</v>
      </c>
      <c r="GQ70" s="89" t="n">
        <f aca="false">IF(Tasks[[#This Row],[_RemFrom]]=0,0,Tasks[[#This Row],[Finish]])</f>
        <v>0</v>
      </c>
      <c r="GR70" s="88" t="b">
        <f aca="false">IF(Tasks[[#This Row],[Task Name]]="",FALSE(),OR(NOT(BaselineSet),N(Tasks[[#This Row],[Baseline Start]])&gt;0))</f>
        <v>0</v>
      </c>
      <c r="GS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0" s="90" t="str">
        <f aca="false">IF(Tasks[[#This Row],[_IsLeaf]]=1,Tasks[[#This Row],[_Row]],"")</f>
        <v/>
      </c>
      <c r="GW70" s="90" t="str">
        <f aca="false">IFERROR(INDEX(Tasks[UID],SMALL(Tasks[_PickKey],Tasks[[#This Row],[_Row]]))&amp;" "&amp;INDEX(Tasks[Task Name],SMALL(Tasks[_PickKey],Tasks[[#This Row],[_Row]])),"")</f>
        <v/>
      </c>
      <c r="GX70" s="42" t="str">
        <f aca="false">IF(Tasks[[#This Row],[Task Name]]="","",IF(Tasks[[#This Row],[_IsSummary]],NETWORKDAYS.INTL(Tasks[[#This Row],[Start]],Tasks[[#This Row],[Finish]],WorkWeek,Holidays),N(Tasks[[#This Row],[_Days]])))</f>
        <v/>
      </c>
    </row>
    <row r="71" customFormat="false" ht="15" hidden="false" customHeight="false" outlineLevel="0" collapsed="false">
      <c r="A71" s="21" t="str">
        <f aca="false">IF(Tasks[[#This Row],[Task Name]]="","",COUNTA(Tasks[[#Headers],[Task Name]]:Tasks[[#This Row],[Task Name]])-1)</f>
        <v/>
      </c>
      <c r="B71" s="22" t="n">
        <v>79</v>
      </c>
      <c r="C71" s="22"/>
      <c r="D71" s="23"/>
      <c r="E71" s="22"/>
      <c r="F71" s="23"/>
      <c r="G71" s="22"/>
      <c r="H71" s="22"/>
      <c r="I71" s="23"/>
      <c r="J71" s="22"/>
      <c r="K71" s="22"/>
      <c r="L71" s="23"/>
      <c r="M71" s="22"/>
      <c r="N71" s="22"/>
      <c r="O71" s="23"/>
      <c r="P71" s="22"/>
      <c r="Q71" s="22"/>
      <c r="R71" s="23"/>
      <c r="S71" s="23"/>
      <c r="T71" s="83"/>
      <c r="U71" s="23"/>
      <c r="V71" s="83"/>
      <c r="W71" s="23"/>
      <c r="X71" s="83"/>
      <c r="Y71" s="23"/>
      <c r="Z71" s="83"/>
      <c r="AA71" s="23"/>
      <c r="AB71" s="23"/>
      <c r="AC71" s="7"/>
      <c r="AD71" s="7"/>
      <c r="AE71" s="62" t="str">
        <f aca="false">IF(Tasks[[#This Row],[Task Name]]="","",IF(Tasks[[#This Row],[_IsSummary]],MIN(INDEX(Tasks[_ShownFcstStart],Tasks[[#This Row],[_Row]]+1):INDEX(Tasks[_ShownFcstStart],Tasks[[#This Row],[_Row]]+Tasks[[#This Row],[_Descendants]])),Tasks[[#This Row],[_ShownFcstStart]]))</f>
        <v/>
      </c>
      <c r="AF71" s="62" t="str">
        <f aca="false">IF(Tasks[[#This Row],[Task Name]]="","",IF(Tasks[[#This Row],[_IsSummary]],MAX(INDEX(Tasks[_ShownFcstFinish],Tasks[[#This Row],[_Row]]+1):INDEX(Tasks[_ShownFcstFinish],Tasks[[#This Row],[_Row]]+Tasks[[#This Row],[_Descendants]])),Tasks[[#This Row],[_ShownFcstFinish]]))</f>
        <v/>
      </c>
      <c r="AG71" s="21" t="str">
        <f aca="false">""</f>
        <v/>
      </c>
      <c r="AH71" s="23"/>
      <c r="AI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1" s="7"/>
      <c r="AK71" s="22"/>
      <c r="AL71" s="23"/>
      <c r="AM71" s="7"/>
      <c r="AN71" s="46" t="str">
        <f aca="false">IF(Tasks[[#This Row],[Task Name]]="","",IF(Tasks[[#This Row],[Finish]]&gt;=Tasks[[#This Row],[Planned Finish]],NETWORKDAYS.INTL(Tasks[[#This Row],[Planned Finish]],Tasks[[#This Row],[Finish]],WorkWeek,Holidays)-1,1-NETWORKDAYS.INTL(Tasks[[#This Row],[Finish]],Tasks[[#This Row],[Planned Finish]],WorkWeek,Holidays)))</f>
        <v/>
      </c>
      <c r="AO71" s="21" t="str">
        <f aca="false">IF(Tasks[[#This Row],[Task Name]]="","",IF(Tasks[[#This Row],[Progress]]&gt;=1,"Complete",IF(OR(N(Tasks[[#This Row],[Actual Start]])&gt;0,Tasks[[#This Row],[Progress]]&gt;0),IF(Tasks[[#This Row],[Finish Var]]&gt;0,"Behind","In Progress"),IF(Tasks[[#This Row],[Planned Start]]&lt;StatusDate,"Late Start","Not Started"))))</f>
        <v/>
      </c>
      <c r="AP71" s="21" t="str">
        <f aca="false">IF(Tasks[[#This Row],[Task Name]]="","",IF(IF(Tasks[[#This Row],[_IsSummary]],COUNTIF(INDEX(Tasks[_LeafCritical],Tasks[[#This Row],[_Row]]+1):INDEX(Tasks[_LeafCritical],Tasks[[#This Row],[_Row]]+Tasks[[#This Row],[_Descendants]]),TRUE())&gt;0,Tasks[[#This Row],[_LeafCritical]]),"Yes",""))</f>
        <v/>
      </c>
      <c r="AQ71" s="62" t="str">
        <f aca="false">IF(Tasks[[#This Row],[Task Name]]="","",IF(N(Tasks[[#This Row],[Baseline Start]])&gt;0,Tasks[[#This Row],[Baseline Start]],Tasks[[#This Row],[_CalcStart]]))</f>
        <v/>
      </c>
      <c r="AR71" s="62" t="str">
        <f aca="false">IF(Tasks[[#This Row],[Task Name]]="","",IF(N(Tasks[[#This Row],[Baseline Finish]])&gt;0,Tasks[[#This Row],[Baseline Finish]],Tasks[[#This Row],[_CalcFinish]]))</f>
        <v/>
      </c>
      <c r="AS71" s="46" t="str">
        <f aca="false">IF(Tasks[[#This Row],[Task Name]]="","",IF(Tasks[[#This Row],[Start]]&gt;=Tasks[[#This Row],[Planned Start]],NETWORKDAYS.INTL(Tasks[[#This Row],[Planned Start]],Tasks[[#This Row],[Start]],WorkWeek,Holidays)-1,1-NETWORKDAYS.INTL(Tasks[[#This Row],[Start]],Tasks[[#This Row],[Planned Start]],WorkWeek,Holidays)))</f>
        <v/>
      </c>
      <c r="AT71" s="62" t="str">
        <f aca="false">IF(Tasks[[#This Row],[Task Name]]="","",IF(Tasks[[#This Row],[_IsSummary]],MIN(INDEX(Tasks[_LeafLateStart],Tasks[[#This Row],[_Row]]+1):INDEX(Tasks[_LeafLateStart],Tasks[[#This Row],[_Row]]+Tasks[[#This Row],[_Descendants]])),Tasks[[#This Row],[_LeafLateStart]]))</f>
        <v/>
      </c>
      <c r="AU71" s="62" t="str">
        <f aca="false">IF(Tasks[[#This Row],[Task Name]]="","",IF(Tasks[[#This Row],[_IsSummary]],MAX(INDEX(Tasks[_LeafLateFinish],Tasks[[#This Row],[_Row]]+1):INDEX(Tasks[_LeafLateFinish],Tasks[[#This Row],[_Row]]+Tasks[[#This Row],[_Descendants]])),Tasks[[#This Row],[_LeafLateFinish]]))</f>
        <v/>
      </c>
      <c r="AV71" s="46" t="str">
        <f aca="false">IF(Tasks[[#This Row],[Task Name]]="","",IF(Tasks[[#This Row],[_IsSummary]],MIN(INDEX(Tasks[_LeafTotalSlack],Tasks[[#This Row],[_Row]]+1):INDEX(Tasks[_LeafTotalSlack],Tasks[[#This Row],[_Row]]+Tasks[[#This Row],[_Descendants]])),Tasks[[#This Row],[_LeafTotalSlack]]))</f>
        <v/>
      </c>
      <c r="AW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4"/>
      <c r="BA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t="str">
        <f aca="false">IF(Tasks[[#This Row],[Task Name]]="","",IF(Tasks[[#This Row],[_Level]]&lt;=OutlineShowLevel,"Yes","No"))</f>
        <v/>
      </c>
      <c r="BE71" s="85" t="str">
        <f aca="false">IF(Tasks[[#This Row],[Task Name]]="","",IF(Tasks[[#This Row],[_IsSummary]],SUM(INDEX(Tasks[_LeafTotalWork],Tasks[[#This Row],[_Row]]+1):INDEX(Tasks[_LeafTotalWork],Tasks[[#This Row],[_Row]]+Tasks[[#This Row],[_Descendants]])),Tasks[[#This Row],[_LeafTotalWork]]))</f>
        <v/>
      </c>
      <c r="BF71" s="23"/>
      <c r="BG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t="str">
        <f aca="false">""</f>
        <v/>
      </c>
      <c r="BI71" s="86"/>
      <c r="BJ71" s="22"/>
      <c r="BK71" s="46" t="str">
        <f aca="false">IF(OR(Tasks[[#This Row],[Task Name]]="",Tasks[[#This Row],[Baseline Duration]]=""),"",Tasks[[#This Row],[_SpanDays]]-N(Tasks[[#This Row],[Baseline Duration]]))</f>
        <v/>
      </c>
      <c r="BL71" s="85" t="str">
        <f aca="false">IF(OR(Tasks[[#This Row],[Task Name]]="",Tasks[[#This Row],[Baseline Work]]=""),"",Tasks[[#This Row],[Work]]-N(Tasks[[#This Row],[Baseline Work]]))</f>
        <v/>
      </c>
      <c r="BM71" s="62" t="str">
        <f aca="false">IF(Tasks[[#This Row],[Task Name]]="","",IF(OR(TakeBaseline="Yes",N(Tasks[[#This Row],[Baseline Start]])=0),Tasks[[#This Row],[Start]],Tasks[[#This Row],[Baseline Start]]))</f>
        <v/>
      </c>
      <c r="BN71" s="62" t="str">
        <f aca="false">IF(Tasks[[#This Row],[Task Name]]="","",IF(OR(TakeBaseline="Yes",N(Tasks[[#This Row],[Baseline Finish]])=0),Tasks[[#This Row],[Finish]],Tasks[[#This Row],[Baseline Finish]]))</f>
        <v/>
      </c>
      <c r="BO71" s="21" t="str">
        <f aca="false">IF(Tasks[[#This Row],[Task Name]]="","",IF(OR(TakeBaseline="Yes",N(Tasks[[#This Row],[Baseline Duration]])=0),Tasks[[#This Row],[_SpanDays]],Tasks[[#This Row],[Baseline Duration]]))</f>
        <v/>
      </c>
      <c r="BP71" s="85" t="str">
        <f aca="false">IF(Tasks[[#This Row],[Task Name]]="","",IF(OR(TakeBaseline="Yes",N(Tasks[[#This Row],[Baseline Work]])=0),Tasks[[#This Row],[Work]],Tasks[[#This Row],[Baseline Work]]))</f>
        <v/>
      </c>
      <c r="BQ71" s="7"/>
      <c r="BR71" s="7"/>
      <c r="BS71" s="22"/>
      <c r="BT71" s="87"/>
      <c r="BU71" s="42" t="str">
        <f aca="false">IF(Tasks[[#This Row],[Task Name]]="","",MAX(1,N(Tasks[[#This Row],[Level]])))</f>
        <v/>
      </c>
      <c r="BV71" s="42" t="n">
        <f aca="false">ROW()-ROW(Tasks[[#Headers],[ID]])</f>
        <v>66</v>
      </c>
      <c r="BW71" s="42" t="n">
        <f aca="false">IF(OR(Tasks[[#This Row],[Task Name]]="",Tasks[[#This Row],[_Level]]&lt;=1),0,IFERROR(LOOKUP(2,1/(Tasks[[#Headers],[_Level]]:Tasks[[#This Row],[_Level]]=Tasks[[#This Row],[_Level]]-1),ROW(Tasks[[#Headers],[_Level]]:Tasks[[#This Row],[_Level]])),0))</f>
        <v>0</v>
      </c>
      <c r="BX71" s="42" t="n">
        <f aca="false">IFERROR(N(INDEX(Tasks[_Level],Tasks[[#This Row],[_Row]]+1)),0)</f>
        <v>0</v>
      </c>
      <c r="BY71" s="88" t="b">
        <f aca="false">AND(Tasks[[#This Row],[Task Name]]&lt;&gt;"",Tasks[[#This Row],[_NextLevel]]&gt;Tasks[[#This Row],[_Level]])</f>
        <v>0</v>
      </c>
      <c r="BZ71" s="42" t="n">
        <f aca="false">IF(Tasks[[#This Row],[_IsSummary]],COUNTIF(Tasks[WBS],Tasks[[#This Row],[WBS]]&amp;".*"),0)</f>
        <v>0</v>
      </c>
      <c r="CA71" s="42" t="n">
        <f aca="false">IF(AND(Tasks[[#This Row],[Task Name]]&lt;&gt;"",NOT(Tasks[[#This Row],[_IsSummary]])),1,0)</f>
        <v>0</v>
      </c>
      <c r="CB71" s="42" t="n">
        <f aca="false">IF(N(Tasks[[#This Row],[_Pred1UID]])=0,0,IFERROR(MATCH(Tasks[[#This Row],[_Pred1UID]],Tasks[UID],0),-1))</f>
        <v>0</v>
      </c>
      <c r="CC71" s="42" t="n">
        <f aca="false">IF(N(Tasks[[#This Row],[_Pred2UID]])=0,0,IFERROR(MATCH(Tasks[[#This Row],[_Pred2UID]],Tasks[UID],0),-1))</f>
        <v>0</v>
      </c>
      <c r="CD71" s="42" t="n">
        <f aca="false">IF(N(Tasks[[#This Row],[_Pred3UID]])=0,0,IFERROR(MATCH(Tasks[[#This Row],[_Pred3UID]],Tasks[UID],0),-1))</f>
        <v>0</v>
      </c>
      <c r="CE71" s="42" t="n">
        <f aca="false">IF(N(Tasks[[#This Row],[_Pred4UID]])=0,0,IFERROR(MATCH(Tasks[[#This Row],[_Pred4UID]],Tasks[UID],0),-1))</f>
        <v>0</v>
      </c>
      <c r="CF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1" s="89" t="n">
        <f aca="false">IF(OR(Tasks[[#This Row],[_ConstraintCode]]=2,Tasks[[#This Row],[_ConstraintCode]]=3,Tasks[[#This Row],[_ConstraintCode]]=4,Tasks[[#This Row],[_ConstraintCode]]=6),Tasks[[#This Row],[_ConstraintStart]],0)</f>
        <v>0</v>
      </c>
      <c r="CI71" s="89" t="n">
        <f aca="false">IF(OR(Tasks[[#This Row],[_ConstraintCode]]=2,Tasks[[#This Row],[_ConstraintCode]]=3,Tasks[[#This Row],[_ConstraintCode]]=5,Tasks[[#This Row],[_ConstraintCode]]=7),Tasks[[#This Row],[_ConstraintStart]],2958465)</f>
        <v>2958465</v>
      </c>
      <c r="CJ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1" s="89" t="str">
        <f aca="false">IF(NOT(Tasks[[#This Row],[_IsLeaf]]=1),"",IF(N(Tasks[[#This Row],[_Days]])&lt;=0,Tasks[[#This Row],[_LeafCalcStart]],WORKDAY.INTL(Tasks[[#This Row],[_LeafCalcStart]],Tasks[[#This Row],[_Days]]-1,WorkWeek,Holidays)))</f>
        <v/>
      </c>
      <c r="CL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1" s="42" t="str">
        <f aca="false">IF(Tasks[[#This Row],[_Predecessors]]="","",TRIM(MID(SUBSTITUTE(SUBSTITUTE(SUBSTITUTE(UPPER(Tasks[[#This Row],[_Predecessors]]),";",",")," ",""),",",REPT(" ",99)),1,99)))</f>
        <v/>
      </c>
      <c r="CO71" s="42" t="str">
        <f aca="false">IF(Tasks[[#This Row],[_Pred1Text]]="","",IFERROR(VALUE(LEFT(Tasks[[#This Row],[_Pred1Text]],MIN(FIND("F",Tasks[[#This Row],[_Pred1Text]]&amp;"F"),FIND("S",Tasks[[#This Row],[_Pred1Text]]&amp;"S"),FIND("+",Tasks[[#This Row],[_Pred1Text]]&amp;"+"),FIND("-",Tasks[[#This Row],[_Pred1Text]]&amp;"-"))-1)),""))</f>
        <v/>
      </c>
      <c r="CP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1" s="42" t="str">
        <f aca="false">IF(Tasks[[#This Row],[_Pred1Text]]="","",TRIM(MID(SUBSTITUTE(SUBSTITUTE(SUBSTITUTE(UPPER(Tasks[[#This Row],[_Predecessors]]),";",",")," ",""),",",REPT(" ",99)),100,99)))</f>
        <v/>
      </c>
      <c r="CS71" s="42" t="str">
        <f aca="false">IF(Tasks[[#This Row],[_Pred2Text]]="","",IFERROR(VALUE(LEFT(Tasks[[#This Row],[_Pred2Text]],MIN(FIND("F",Tasks[[#This Row],[_Pred2Text]]&amp;"F"),FIND("S",Tasks[[#This Row],[_Pred2Text]]&amp;"S"),FIND("+",Tasks[[#This Row],[_Pred2Text]]&amp;"+"),FIND("-",Tasks[[#This Row],[_Pred2Text]]&amp;"-"))-1)),""))</f>
        <v/>
      </c>
      <c r="CT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1" s="42" t="str">
        <f aca="false">IF(Tasks[[#This Row],[_Pred2Text]]="","",TRIM(MID(SUBSTITUTE(SUBSTITUTE(SUBSTITUTE(UPPER(Tasks[[#This Row],[_Predecessors]]),";",",")," ",""),",",REPT(" ",99)),199,99)))</f>
        <v/>
      </c>
      <c r="CW71" s="42" t="str">
        <f aca="false">IF(Tasks[[#This Row],[_Pred3Text]]="","",IFERROR(VALUE(LEFT(Tasks[[#This Row],[_Pred3Text]],MIN(FIND("F",Tasks[[#This Row],[_Pred3Text]]&amp;"F"),FIND("S",Tasks[[#This Row],[_Pred3Text]]&amp;"S"),FIND("+",Tasks[[#This Row],[_Pred3Text]]&amp;"+"),FIND("-",Tasks[[#This Row],[_Pred3Text]]&amp;"-"))-1)),""))</f>
        <v/>
      </c>
      <c r="CX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1" s="42" t="str">
        <f aca="false">IF(Tasks[[#This Row],[_Pred3Text]]="","",TRIM(MID(SUBSTITUTE(SUBSTITUTE(SUBSTITUTE(UPPER(Tasks[[#This Row],[_Predecessors]]),";",",")," ",""),",",REPT(" ",99)),298,99)))</f>
        <v/>
      </c>
      <c r="DA71" s="42" t="str">
        <f aca="false">IF(Tasks[[#This Row],[_Pred4Text]]="","",IFERROR(VALUE(LEFT(Tasks[[#This Row],[_Pred4Text]],MIN(FIND("F",Tasks[[#This Row],[_Pred4Text]]&amp;"F"),FIND("S",Tasks[[#This Row],[_Pred4Text]]&amp;"S"),FIND("+",Tasks[[#This Row],[_Pred4Text]]&amp;"+"),FIND("-",Tasks[[#This Row],[_Pred4Text]]&amp;"-"))-1)),""))</f>
        <v/>
      </c>
      <c r="DB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1" s="42" t="str">
        <f aca="false">IF(OR(Tasks[[#This Row],[Task Name]]="",Tasks[[#This Row],[_Resources]]=""),"",TRIM(MID(SUBSTITUTE(Tasks[[#This Row],[_Resources]],",",REPT(" ",99)),1,99)))</f>
        <v/>
      </c>
      <c r="DE71" s="42" t="str">
        <f aca="false">IF(Tasks[[#This Row],[_Res1Text]]="","",TRIM(MID(SUBSTITUTE(Tasks[[#This Row],[_Resources]],",",REPT(" ",99)),100,99)))</f>
        <v/>
      </c>
      <c r="DF71" s="42" t="str">
        <f aca="false">IF(Tasks[[#This Row],[_Res2Text]]="","",TRIM(MID(SUBSTITUTE(Tasks[[#This Row],[_Resources]],",",REPT(" ",99)),199,99)))</f>
        <v/>
      </c>
      <c r="DG71" s="42" t="str">
        <f aca="false">IF(Tasks[[#This Row],[_Res3Text]]="","",TRIM(MID(SUBSTITUTE(Tasks[[#This Row],[_Resources]],",",REPT(" ",99)),298,99)))</f>
        <v/>
      </c>
      <c r="DH71" s="42" t="n">
        <f aca="false">IF(Tasks[[#This Row],[_Res1Text]]="",0,IFERROR(MATCH(TRIM(LEFT(Tasks[[#This Row],[_Res1Text]],FIND("[",Tasks[[#This Row],[_Res1Text]]&amp;"[")-1)),res_Name,0),IFERROR(MATCH(TRIM(LEFT(Tasks[[#This Row],[_Res1Text]],FIND("[",Tasks[[#This Row],[_Res1Text]]&amp;"[")-1)),res_Initials,0),0)))</f>
        <v>0</v>
      </c>
      <c r="DI71" s="42" t="n">
        <f aca="false">IF(Tasks[[#This Row],[_Res2Text]]="",0,IFERROR(MATCH(TRIM(LEFT(Tasks[[#This Row],[_Res2Text]],FIND("[",Tasks[[#This Row],[_Res2Text]]&amp;"[")-1)),res_Name,0),IFERROR(MATCH(TRIM(LEFT(Tasks[[#This Row],[_Res2Text]],FIND("[",Tasks[[#This Row],[_Res2Text]]&amp;"[")-1)),res_Initials,0),0)))</f>
        <v>0</v>
      </c>
      <c r="DJ71" s="42" t="n">
        <f aca="false">IF(Tasks[[#This Row],[_Res3Text]]="",0,IFERROR(MATCH(TRIM(LEFT(Tasks[[#This Row],[_Res3Text]],FIND("[",Tasks[[#This Row],[_Res3Text]]&amp;"[")-1)),res_Name,0),IFERROR(MATCH(TRIM(LEFT(Tasks[[#This Row],[_Res3Text]],FIND("[",Tasks[[#This Row],[_Res3Text]]&amp;"[")-1)),res_Initials,0),0)))</f>
        <v>0</v>
      </c>
      <c r="DK71" s="42" t="n">
        <f aca="false">IF(Tasks[[#This Row],[_Res4Text]]="",0,IFERROR(MATCH(TRIM(LEFT(Tasks[[#This Row],[_Res4Text]],FIND("[",Tasks[[#This Row],[_Res4Text]]&amp;"[")-1)),res_Name,0),IFERROR(MATCH(TRIM(LEFT(Tasks[[#This Row],[_Res4Text]],FIND("[",Tasks[[#This Row],[_Res4Text]]&amp;"[")-1)),res_Initials,0),0)))</f>
        <v>0</v>
      </c>
      <c r="DL71" s="42" t="str">
        <f aca="false">IF(Tasks[[#This Row],[_Res1Text]]="","",IF(Tasks[[#This Row],[_Res1Row]]&gt;0,INDEX(res_Name,Tasks[[#This Row],[_Res1Row]]),TRIM(LEFT(Tasks[[#This Row],[_Res1Text]],FIND("[",Tasks[[#This Row],[_Res1Text]]&amp;"[")-1))))</f>
        <v/>
      </c>
      <c r="DM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1" s="42" t="n">
        <f aca="false">IF(NOT(Tasks[[#This Row],[_IsLeaf]]=1),0,(Tasks[[#This Row],[_Resource1]]&lt;&gt;"")+(Tasks[[#This Row],[_Res2]]&lt;&gt;"")+(Tasks[[#This Row],[_Res3]]&lt;&gt;"")+(Tasks[[#This Row],[_Res4]]&lt;&gt;""))</f>
        <v>0</v>
      </c>
      <c r="DO71" s="42" t="str">
        <f aca="false">IF(Tasks[[#This Row],[_Res2Text]]="","",IF(Tasks[[#This Row],[_Res2Row]]&gt;0,INDEX(res_Name,Tasks[[#This Row],[_Res2Row]]),TRIM(LEFT(Tasks[[#This Row],[_Res2Text]],FIND("[",Tasks[[#This Row],[_Res2Text]]&amp;"[")-1))))</f>
        <v/>
      </c>
      <c r="DP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1" s="42" t="n">
        <f aca="false">IF(OR(NOT(Tasks[[#This Row],[_IsLeaf]]=1),Tasks[[#This Row],[_Res2Row]]=0),0,N(Tasks[[#This Row],[_Days]])*HoursPerDay*IF(Tasks[[#This Row],[_Res2Units]]="",DefaultUnits,Tasks[[#This Row],[_Res2Units]]))</f>
        <v>0</v>
      </c>
      <c r="DR71" s="42" t="n">
        <f aca="false">IF(AND(AND(Tasks[[#This Row],[_IsLeaf]]=1,Tasks[[#This Row],[_LeafTotalWork]]&gt;0),Tasks[[#This Row],[_Res2Work]]&gt;0),Tasks[[#This Row],[_Res2Work]]/(Tasks[[#This Row],[_FinishWorkday]]-Tasks[[#This Row],[_StartWorkday]]+1),0)</f>
        <v>0</v>
      </c>
      <c r="DS71" s="42" t="n">
        <f aca="false">Tasks[[#This Row],[_Res2WorkPerWD]]*MAX(0,Tasks[[#This Row],[_StartWorkday]]-1)</f>
        <v>0</v>
      </c>
      <c r="DT71" s="42" t="n">
        <f aca="false">Tasks[[#This Row],[_Res2Work]]*Tasks[[#This Row],[_LeafProgress]]</f>
        <v>0</v>
      </c>
      <c r="DU71" s="42" t="str">
        <f aca="false">IF(Tasks[[#This Row],[_Res3Text]]="","",IF(Tasks[[#This Row],[_Res3Row]]&gt;0,INDEX(res_Name,Tasks[[#This Row],[_Res3Row]]),TRIM(LEFT(Tasks[[#This Row],[_Res3Text]],FIND("[",Tasks[[#This Row],[_Res3Text]]&amp;"[")-1))))</f>
        <v/>
      </c>
      <c r="DV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1" s="42" t="n">
        <f aca="false">IF(OR(NOT(Tasks[[#This Row],[_IsLeaf]]=1),Tasks[[#This Row],[_Res3Row]]=0),0,N(Tasks[[#This Row],[_Days]])*HoursPerDay*IF(Tasks[[#This Row],[_Res3Units]]="",DefaultUnits,Tasks[[#This Row],[_Res3Units]]))</f>
        <v>0</v>
      </c>
      <c r="DX71" s="42" t="n">
        <f aca="false">IF(AND(AND(Tasks[[#This Row],[_IsLeaf]]=1,Tasks[[#This Row],[_LeafTotalWork]]&gt;0),Tasks[[#This Row],[_Res3Work]]&gt;0),Tasks[[#This Row],[_Res3Work]]/(Tasks[[#This Row],[_FinishWorkday]]-Tasks[[#This Row],[_StartWorkday]]+1),0)</f>
        <v>0</v>
      </c>
      <c r="DY71" s="42" t="n">
        <f aca="false">Tasks[[#This Row],[_Res3WorkPerWD]]*MAX(0,Tasks[[#This Row],[_StartWorkday]]-1)</f>
        <v>0</v>
      </c>
      <c r="DZ71" s="42" t="n">
        <f aca="false">Tasks[[#This Row],[_Res3Work]]*Tasks[[#This Row],[_LeafProgress]]</f>
        <v>0</v>
      </c>
      <c r="EA71" s="42" t="str">
        <f aca="false">IF(Tasks[[#This Row],[_Res4Text]]="","",IF(Tasks[[#This Row],[_Res4Row]]&gt;0,INDEX(res_Name,Tasks[[#This Row],[_Res4Row]]),TRIM(LEFT(Tasks[[#This Row],[_Res4Text]],FIND("[",Tasks[[#This Row],[_Res4Text]]&amp;"[")-1))))</f>
        <v/>
      </c>
      <c r="EB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1" s="42" t="n">
        <f aca="false">IF(OR(NOT(Tasks[[#This Row],[_IsLeaf]]=1),Tasks[[#This Row],[_Res4Row]]=0),0,N(Tasks[[#This Row],[_Days]])*HoursPerDay*IF(Tasks[[#This Row],[_Res4Units]]="",DefaultUnits,Tasks[[#This Row],[_Res4Units]]))</f>
        <v>0</v>
      </c>
      <c r="ED71" s="42" t="n">
        <f aca="false">IF(AND(AND(Tasks[[#This Row],[_IsLeaf]]=1,Tasks[[#This Row],[_LeafTotalWork]]&gt;0),Tasks[[#This Row],[_Res4Work]]&gt;0),Tasks[[#This Row],[_Res4Work]]/(Tasks[[#This Row],[_FinishWorkday]]-Tasks[[#This Row],[_StartWorkday]]+1),0)</f>
        <v>0</v>
      </c>
      <c r="EE71" s="42" t="n">
        <f aca="false">Tasks[[#This Row],[_Res4WorkPerWD]]*MAX(0,Tasks[[#This Row],[_StartWorkday]]-1)</f>
        <v>0</v>
      </c>
      <c r="EF71" s="42" t="n">
        <f aca="false">Tasks[[#This Row],[_Res4Work]]*Tasks[[#This Row],[_LeafProgress]]</f>
        <v>0</v>
      </c>
      <c r="EG71" s="42" t="n">
        <f aca="false">IF(ISNUMBER(Tasks[[#This Row],[% Complete]]),Tasks[[#This Row],[% Complete]],IF(Tasks[[#This Row],[Stage]]="",0,IFERROR(INDEX(stg_Pct,MATCH(Tasks[[#This Row],[Stage]],stg_Name,0)),0)))</f>
        <v>0</v>
      </c>
      <c r="EH71" s="42" t="n">
        <f aca="false">IF(NOT(Tasks[[#This Row],[_IsLeaf]]=1),0,IF(N(Tasks[[#This Row],[Actual Finish]])&gt;0,1,MIN(1,Tasks[[#This Row],[_Pct]])))</f>
        <v>0</v>
      </c>
      <c r="EI71" s="42" t="n">
        <f aca="false">IF(OR(NOT(Tasks[[#This Row],[_IsLeaf]]=1),Tasks[[#This Row],[_Res1Row]]=0),0,N(Tasks[[#This Row],[_Days]])*HoursPerDay*IF(Tasks[[#This Row],[_Units1]]="",DefaultUnits,Tasks[[#This Row],[_Units1]]))</f>
        <v>0</v>
      </c>
      <c r="EJ71" s="42" t="n">
        <f aca="false">Tasks[[#This Row],[_LeafWork]]+Tasks[[#This Row],[_Res2Work]]+Tasks[[#This Row],[_Res3Work]]+Tasks[[#This Row],[_Res4Work]]</f>
        <v>0</v>
      </c>
      <c r="EK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1" s="42" t="n">
        <f aca="false">IF(NOT(Tasks[[#This Row],[_IsLeaf]]=1),0,MAX(_xlfn.MAXIFS(Tasks[_Row],Tasks[_Pred1UID],Tasks[[#This Row],[UID]]),_xlfn.MAXIFS(Tasks[_Row],Tasks[_Pred2UID],Tasks[[#This Row],[UID]]),_xlfn.MAXIFS(Tasks[_Row],Tasks[_Pred3UID],Tasks[[#This Row],[UID]]),_xlfn.MAXIFS(Tasks[_Row],Tasks[_Pred4UID],Tasks[[#This Row],[UID]])))</f>
        <v>0</v>
      </c>
      <c r="ET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1" s="89" t="str">
        <f aca="false">IF(NOT(Tasks[[#This Row],[_IsLeaf]]=1),"",IF(N(Tasks[[#This Row],[_Days]])&lt;=0,Tasks[[#This Row],[_LeafLateFinish]],WORKDAY.INTL(Tasks[[#This Row],[_LeafLateFinish]],-(Tasks[[#This Row],[_Days]]-1),WorkWeek,Holidays)))</f>
        <v/>
      </c>
      <c r="EW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1" s="88" t="b">
        <f aca="false">AND(Tasks[[#This Row],[_IsLeaf]]=1,Tasks[[#This Row],[_LeafProgress]]&lt;1,N(Tasks[[#This Row],[_LeafTotalSlack]])&lt;=CriticalSlackDays)</f>
        <v>0</v>
      </c>
      <c r="EY71" s="42" t="n">
        <f aca="false">IF(AND(Tasks[[#This Row],[_IsLeaf]]=1,Tasks[[#This Row],[_ConstraintCode]]=1,Tasks[[#This Row],[Mode]]&lt;&gt;"Manual",N(Tasks[[#This Row],[Actual Start]])=0),MAX(0,N(Tasks[[#This Row],[Free Slack]])),0)</f>
        <v>0</v>
      </c>
      <c r="EZ71" s="89" t="str">
        <f aca="false">IF(NOT(Tasks[[#This Row],[_IsLeaf]]=1),"",IF(Tasks[[#This Row],[_AlapShift]]=0,Tasks[[#This Row],[_LeafCalcStart]],WORKDAY.INTL(Tasks[[#This Row],[_LeafCalcStart]],Tasks[[#This Row],[_AlapShift]],WorkWeek,Holidays)))</f>
        <v/>
      </c>
      <c r="FA71" s="89" t="str">
        <f aca="false">IF(NOT(Tasks[[#This Row],[_IsLeaf]]=1),"",IF(Tasks[[#This Row],[_AlapShift]]=0,Tasks[[#This Row],[_LeafCalcFinish]],WORKDAY.INTL(Tasks[[#This Row],[_LeafCalcFinish]],Tasks[[#This Row],[_AlapShift]],WorkWeek,Holidays)))</f>
        <v/>
      </c>
      <c r="FB71" s="89" t="str">
        <f aca="false">IF(NOT(Tasks[[#This Row],[_IsLeaf]]=1),"",IF(Tasks[[#This Row],[_AlapShift]]=0,Tasks[[#This Row],[_LeafFcstStart]],WORKDAY.INTL(Tasks[[#This Row],[_LeafFcstStart]],Tasks[[#This Row],[_AlapShift]],WorkWeek,Holidays)))</f>
        <v/>
      </c>
      <c r="FC71" s="89" t="str">
        <f aca="false">IF(NOT(Tasks[[#This Row],[_IsLeaf]]=1),"",IF(Tasks[[#This Row],[_AlapShift]]=0,Tasks[[#This Row],[_LeafFcstFinish]],WORKDAY.INTL(Tasks[[#This Row],[_LeafFcstFinish]],Tasks[[#This Row],[_AlapShift]],WorkWeek,Holidays)))</f>
        <v/>
      </c>
      <c r="FD71" s="89" t="str">
        <f aca="false">IF(Tasks[[#This Row],[Task Name]]="","",IF(Tasks[[#This Row],[_IsSummary]],MIN(INDEX(Tasks[_ShownCalcStart],Tasks[[#This Row],[_Row]]+1):INDEX(Tasks[_ShownCalcStart],Tasks[[#This Row],[_Row]]+Tasks[[#This Row],[_Descendants]])),Tasks[[#This Row],[_ShownCalcStart]]))</f>
        <v/>
      </c>
      <c r="FE71" s="89" t="str">
        <f aca="false">IF(Tasks[[#This Row],[Task Name]]="","",IF(Tasks[[#This Row],[_IsSummary]],MAX(INDEX(Tasks[_ShownCalcFinish],Tasks[[#This Row],[_Row]]+1):INDEX(Tasks[_ShownCalcFinish],Tasks[[#This Row],[_Row]]+Tasks[[#This Row],[_Descendants]])),Tasks[[#This Row],[_ShownCalcFinish]]))</f>
        <v/>
      </c>
      <c r="FF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1" s="42" t="n">
        <f aca="false">IF(AND(Tasks[[#This Row],[_IsLeaf]]=1,Tasks[[#This Row],[_LeafTotalWork]]&gt;0),NETWORKDAYS.INTL(ProjectStart,Tasks[[#This Row],[_ShownFcstStart]],WorkWeek,Holidays),0)</f>
        <v>0</v>
      </c>
      <c r="FS71" s="42" t="n">
        <f aca="false">IF(AND(Tasks[[#This Row],[_IsLeaf]]=1,Tasks[[#This Row],[_LeafTotalWork]]&gt;0),MAX(Tasks[[#This Row],[_StartWorkday]],NETWORKDAYS.INTL(ProjectStart,Tasks[[#This Row],[_ShownFcstFinish]],WorkWeek,Holidays)),0)</f>
        <v>0</v>
      </c>
      <c r="FT71" s="42" t="n">
        <f aca="false">IF(AND(Tasks[[#This Row],[_IsLeaf]]=1,Tasks[[#This Row],[_LeafTotalWork]]&gt;0),Tasks[[#This Row],[_LeafWork]]/(Tasks[[#This Row],[_FinishWorkday]]-Tasks[[#This Row],[_StartWorkday]]+1),0)</f>
        <v>0</v>
      </c>
      <c r="FU71" s="42" t="n">
        <f aca="false">Tasks[[#This Row],[_WorkPerWorkday]]*(Tasks[[#This Row],[_StartWorkday]]-1)</f>
        <v>-0</v>
      </c>
      <c r="FV71" s="42" t="n">
        <f aca="false">IF(Tasks[[#This Row],[_IsLeaf]]=1,MAX(N(Tasks[[#This Row],[_Days]]),0.1),0)</f>
        <v>0</v>
      </c>
      <c r="FW71" s="42" t="n">
        <f aca="false">Tasks[[#This Row],[_WeightDur]]*Tasks[[#This Row],[_LeafProgress]]</f>
        <v>0</v>
      </c>
      <c r="FX71" s="42" t="n">
        <f aca="false">Tasks[[#This Row],[_WeightDur]]*Tasks[[#This Row],[_PlannedPct]]</f>
        <v>0</v>
      </c>
      <c r="FY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1" s="42" t="str">
        <f aca="false">IF(AND(Tasks[[#This Row],[_IsLeaf]]=1,N(Tasks[[#This Row],[_Days]])=0,Tasks[[#This Row],[_LeafProgress]]&lt;1),Tasks[[#This Row],[_ShownFcstFinish]]+Tasks[[#This Row],[_Row]]/100000,"")</f>
        <v/>
      </c>
      <c r="GA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1" s="42" t="str">
        <f aca="false">IF(Tasks[[#This Row],[Task Name]]="","",LEFT(Tasks[[#This Row],[WBS]],FIND(".",Tasks[[#This Row],[WBS]]&amp;".")-1))</f>
        <v/>
      </c>
      <c r="GC71" s="42" t="str">
        <f aca="false">IF(AND(Tasks[[#This Row],[Task Name]]&lt;&gt;"",Tasks[[#This Row],[_Level]]=1),Tasks[[#This Row],[_Row]],"")</f>
        <v/>
      </c>
      <c r="GD71" s="42" t="str">
        <f aca="false">IF(AND(Tasks[[#This Row],[_IsLeaf]]=1,N(Tasks[[#This Row],[_Days]])=0),Tasks[[#This Row],[Planned Finish]]+Tasks[[#This Row],[_Row]]/100000,"")</f>
        <v/>
      </c>
      <c r="GE71" s="42" t="str">
        <f aca="false">IF(AND(Tasks[[#This Row],[_IsLeaf]]=1,Tasks[[#This Row],[_LeafProgress]]&lt;1,OR(N(Tasks[[#This Row],[Finish Var]])&gt;0,Tasks[[#This Row],[Status]]="Late Start")),MAX(0,Tasks[[#This Row],[Finish Var]])+1-Tasks[[#This Row],[_Row]]/1000000,"")</f>
        <v/>
      </c>
      <c r="GF71" s="42" t="str">
        <f aca="false">IF(AND(Tasks[[#This Row],[_IsLeaf]]=1,N(Tasks[[#This Row],[Actual Start]])=0,Tasks[[#This Row],[_ShownFcstStart]]&gt;=StatusDate,Tasks[[#This Row],[_ShownFcstStart]]&lt;=LookaheadEnd),Tasks[[#This Row],[_ShownFcstStart]]+Tasks[[#This Row],[_Row]]/100000,"")</f>
        <v/>
      </c>
      <c r="GG71" s="42" t="str">
        <f aca="false">IF(AND(Tasks[[#This Row],[_IsLeaf]]=1,Tasks[[#This Row],[_LeafProgress]]&lt;1,Tasks[[#This Row],[_ShownFcstFinish]]&gt;=StatusDate,Tasks[[#This Row],[_ShownFcstFinish]]&lt;=LookaheadEnd),Tasks[[#This Row],[_ShownFcstFinish]]+Tasks[[#This Row],[_Row]]/100000,"")</f>
        <v/>
      </c>
      <c r="GH71" s="42" t="str">
        <f aca="false">IF(Tasks[[#This Row],[_LeafCritical]],Tasks[[#This Row],[_ShownFcstStart]]+Tasks[[#This Row],[_Row]]/100000,"")</f>
        <v/>
      </c>
      <c r="GI71" s="42" t="n">
        <f aca="false">Tasks[[#This Row],[_LeafWork]]*Tasks[[#This Row],[_LeafProgress]]</f>
        <v>0</v>
      </c>
      <c r="GJ71" s="89" t="str">
        <f aca="false">IF(AND(Tasks[[#This Row],[_IsLeaf]]=1,Tasks[[#This Row],[_LeafProgress]]&gt;=1),IF(N(Tasks[[#This Row],[Actual Finish]])&gt;0,Tasks[[#This Row],[Actual Finish]],Tasks[[#This Row],[_ShownFcstFinish]]),"")</f>
        <v/>
      </c>
      <c r="GK71" s="42" t="n">
        <f aca="false">IF(Tasks[[#This Row],[_IsLeaf]]=1,N(Tasks[[#This Row],[Story Points]]),0)</f>
        <v>0</v>
      </c>
      <c r="GL71" s="42" t="str">
        <f aca="false">""</f>
        <v/>
      </c>
      <c r="GM71" s="88" t="b">
        <f aca="false">IF(Tasks[[#This Row],[Task Name]]="",FALSE(),AND(Tasks[[#This Row],[_IsLeaf]]=1,N(Tasks[[#This Row],[_Days]])=0))</f>
        <v>0</v>
      </c>
      <c r="GN71" s="89" t="n">
        <f aca="false">IF(Tasks[[#This Row],[Task Name]]="",0,IF(AND(Tasks[[#This Row],[_IsLeaf]]=1,NOT(Tasks[[#This Row],[_IsMilestone]]),N(Tasks[[#This Row],[Progress]])&gt;0),Tasks[[#This Row],[Start]],0))</f>
        <v>0</v>
      </c>
      <c r="GO71" s="89" t="n">
        <f aca="false">IF(Tasks[[#This Row],[_DoneFrom]]=0,0,IF(Tasks[[#This Row],[Progress]]&gt;=1,Tasks[[#This Row],[Finish]],MAX(Tasks[[#This Row],[_DoneFrom]],Tasks[[#This Row],[Start]]+ROUND((Tasks[[#This Row],[Finish]]-Tasks[[#This Row],[Start]]+1)*Tasks[[#This Row],[Progress]],0)-1)))</f>
        <v>0</v>
      </c>
      <c r="GP71" s="89" t="n">
        <f aca="false">IF(Tasks[[#This Row],[Task Name]]="",0,IF(OR(NOT(Tasks[[#This Row],[_IsLeaf]]=1),Tasks[[#This Row],[_IsMilestone]],N(Tasks[[#This Row],[Progress]])&gt;=1),0,IF(Tasks[[#This Row],[_DoneTo]]&gt;0,Tasks[[#This Row],[_DoneTo]]+1,Tasks[[#This Row],[Start]])))</f>
        <v>0</v>
      </c>
      <c r="GQ71" s="89" t="n">
        <f aca="false">IF(Tasks[[#This Row],[_RemFrom]]=0,0,Tasks[[#This Row],[Finish]])</f>
        <v>0</v>
      </c>
      <c r="GR71" s="88" t="b">
        <f aca="false">IF(Tasks[[#This Row],[Task Name]]="",FALSE(),OR(NOT(BaselineSet),N(Tasks[[#This Row],[Baseline Start]])&gt;0))</f>
        <v>0</v>
      </c>
      <c r="GS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1" s="90" t="str">
        <f aca="false">IF(Tasks[[#This Row],[_IsLeaf]]=1,Tasks[[#This Row],[_Row]],"")</f>
        <v/>
      </c>
      <c r="GW71" s="90" t="str">
        <f aca="false">IFERROR(INDEX(Tasks[UID],SMALL(Tasks[_PickKey],Tasks[[#This Row],[_Row]]))&amp;" "&amp;INDEX(Tasks[Task Name],SMALL(Tasks[_PickKey],Tasks[[#This Row],[_Row]])),"")</f>
        <v/>
      </c>
      <c r="GX71" s="42" t="str">
        <f aca="false">IF(Tasks[[#This Row],[Task Name]]="","",IF(Tasks[[#This Row],[_IsSummary]],NETWORKDAYS.INTL(Tasks[[#This Row],[Start]],Tasks[[#This Row],[Finish]],WorkWeek,Holidays),N(Tasks[[#This Row],[_Days]])))</f>
        <v/>
      </c>
    </row>
    <row r="72" customFormat="false" ht="15" hidden="false" customHeight="false" outlineLevel="0" collapsed="false">
      <c r="A72" s="21" t="str">
        <f aca="false">IF(Tasks[[#This Row],[Task Name]]="","",COUNTA(Tasks[[#Headers],[Task Name]]:Tasks[[#This Row],[Task Name]])-1)</f>
        <v/>
      </c>
      <c r="B72" s="22" t="n">
        <v>80</v>
      </c>
      <c r="C72" s="22"/>
      <c r="D72" s="23"/>
      <c r="E72" s="22"/>
      <c r="F72" s="23"/>
      <c r="G72" s="22"/>
      <c r="H72" s="22"/>
      <c r="I72" s="23"/>
      <c r="J72" s="22"/>
      <c r="K72" s="22"/>
      <c r="L72" s="23"/>
      <c r="M72" s="22"/>
      <c r="N72" s="22"/>
      <c r="O72" s="23"/>
      <c r="P72" s="22"/>
      <c r="Q72" s="22"/>
      <c r="R72" s="23"/>
      <c r="S72" s="23"/>
      <c r="T72" s="83"/>
      <c r="U72" s="23"/>
      <c r="V72" s="83"/>
      <c r="W72" s="23"/>
      <c r="X72" s="83"/>
      <c r="Y72" s="23"/>
      <c r="Z72" s="83"/>
      <c r="AA72" s="23"/>
      <c r="AB72" s="23"/>
      <c r="AC72" s="7"/>
      <c r="AD72" s="7"/>
      <c r="AE72" s="62" t="str">
        <f aca="false">IF(Tasks[[#This Row],[Task Name]]="","",IF(Tasks[[#This Row],[_IsSummary]],MIN(INDEX(Tasks[_ShownFcstStart],Tasks[[#This Row],[_Row]]+1):INDEX(Tasks[_ShownFcstStart],Tasks[[#This Row],[_Row]]+Tasks[[#This Row],[_Descendants]])),Tasks[[#This Row],[_ShownFcstStart]]))</f>
        <v/>
      </c>
      <c r="AF72" s="62" t="str">
        <f aca="false">IF(Tasks[[#This Row],[Task Name]]="","",IF(Tasks[[#This Row],[_IsSummary]],MAX(INDEX(Tasks[_ShownFcstFinish],Tasks[[#This Row],[_Row]]+1):INDEX(Tasks[_ShownFcstFinish],Tasks[[#This Row],[_Row]]+Tasks[[#This Row],[_Descendants]])),Tasks[[#This Row],[_ShownFcstFinish]]))</f>
        <v/>
      </c>
      <c r="AG72" s="21" t="str">
        <f aca="false">""</f>
        <v/>
      </c>
      <c r="AH72" s="23"/>
      <c r="AI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2" s="7"/>
      <c r="AK72" s="22"/>
      <c r="AL72" s="23"/>
      <c r="AM72" s="7"/>
      <c r="AN72" s="46" t="str">
        <f aca="false">IF(Tasks[[#This Row],[Task Name]]="","",IF(Tasks[[#This Row],[Finish]]&gt;=Tasks[[#This Row],[Planned Finish]],NETWORKDAYS.INTL(Tasks[[#This Row],[Planned Finish]],Tasks[[#This Row],[Finish]],WorkWeek,Holidays)-1,1-NETWORKDAYS.INTL(Tasks[[#This Row],[Finish]],Tasks[[#This Row],[Planned Finish]],WorkWeek,Holidays)))</f>
        <v/>
      </c>
      <c r="AO72" s="21" t="str">
        <f aca="false">IF(Tasks[[#This Row],[Task Name]]="","",IF(Tasks[[#This Row],[Progress]]&gt;=1,"Complete",IF(OR(N(Tasks[[#This Row],[Actual Start]])&gt;0,Tasks[[#This Row],[Progress]]&gt;0),IF(Tasks[[#This Row],[Finish Var]]&gt;0,"Behind","In Progress"),IF(Tasks[[#This Row],[Planned Start]]&lt;StatusDate,"Late Start","Not Started"))))</f>
        <v/>
      </c>
      <c r="AP72" s="21" t="str">
        <f aca="false">IF(Tasks[[#This Row],[Task Name]]="","",IF(IF(Tasks[[#This Row],[_IsSummary]],COUNTIF(INDEX(Tasks[_LeafCritical],Tasks[[#This Row],[_Row]]+1):INDEX(Tasks[_LeafCritical],Tasks[[#This Row],[_Row]]+Tasks[[#This Row],[_Descendants]]),TRUE())&gt;0,Tasks[[#This Row],[_LeafCritical]]),"Yes",""))</f>
        <v/>
      </c>
      <c r="AQ72" s="62" t="str">
        <f aca="false">IF(Tasks[[#This Row],[Task Name]]="","",IF(N(Tasks[[#This Row],[Baseline Start]])&gt;0,Tasks[[#This Row],[Baseline Start]],Tasks[[#This Row],[_CalcStart]]))</f>
        <v/>
      </c>
      <c r="AR72" s="62" t="str">
        <f aca="false">IF(Tasks[[#This Row],[Task Name]]="","",IF(N(Tasks[[#This Row],[Baseline Finish]])&gt;0,Tasks[[#This Row],[Baseline Finish]],Tasks[[#This Row],[_CalcFinish]]))</f>
        <v/>
      </c>
      <c r="AS72" s="46" t="str">
        <f aca="false">IF(Tasks[[#This Row],[Task Name]]="","",IF(Tasks[[#This Row],[Start]]&gt;=Tasks[[#This Row],[Planned Start]],NETWORKDAYS.INTL(Tasks[[#This Row],[Planned Start]],Tasks[[#This Row],[Start]],WorkWeek,Holidays)-1,1-NETWORKDAYS.INTL(Tasks[[#This Row],[Start]],Tasks[[#This Row],[Planned Start]],WorkWeek,Holidays)))</f>
        <v/>
      </c>
      <c r="AT72" s="62" t="str">
        <f aca="false">IF(Tasks[[#This Row],[Task Name]]="","",IF(Tasks[[#This Row],[_IsSummary]],MIN(INDEX(Tasks[_LeafLateStart],Tasks[[#This Row],[_Row]]+1):INDEX(Tasks[_LeafLateStart],Tasks[[#This Row],[_Row]]+Tasks[[#This Row],[_Descendants]])),Tasks[[#This Row],[_LeafLateStart]]))</f>
        <v/>
      </c>
      <c r="AU72" s="62" t="str">
        <f aca="false">IF(Tasks[[#This Row],[Task Name]]="","",IF(Tasks[[#This Row],[_IsSummary]],MAX(INDEX(Tasks[_LeafLateFinish],Tasks[[#This Row],[_Row]]+1):INDEX(Tasks[_LeafLateFinish],Tasks[[#This Row],[_Row]]+Tasks[[#This Row],[_Descendants]])),Tasks[[#This Row],[_LeafLateFinish]]))</f>
        <v/>
      </c>
      <c r="AV72" s="46" t="str">
        <f aca="false">IF(Tasks[[#This Row],[Task Name]]="","",IF(Tasks[[#This Row],[_IsSummary]],MIN(INDEX(Tasks[_LeafTotalSlack],Tasks[[#This Row],[_Row]]+1):INDEX(Tasks[_LeafTotalSlack],Tasks[[#This Row],[_Row]]+Tasks[[#This Row],[_Descendants]])),Tasks[[#This Row],[_LeafTotalSlack]]))</f>
        <v/>
      </c>
      <c r="AW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4"/>
      <c r="BA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t="str">
        <f aca="false">IF(Tasks[[#This Row],[Task Name]]="","",IF(Tasks[[#This Row],[_Level]]&lt;=OutlineShowLevel,"Yes","No"))</f>
        <v/>
      </c>
      <c r="BE72" s="85" t="str">
        <f aca="false">IF(Tasks[[#This Row],[Task Name]]="","",IF(Tasks[[#This Row],[_IsSummary]],SUM(INDEX(Tasks[_LeafTotalWork],Tasks[[#This Row],[_Row]]+1):INDEX(Tasks[_LeafTotalWork],Tasks[[#This Row],[_Row]]+Tasks[[#This Row],[_Descendants]])),Tasks[[#This Row],[_LeafTotalWork]]))</f>
        <v/>
      </c>
      <c r="BF72" s="23"/>
      <c r="BG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t="str">
        <f aca="false">""</f>
        <v/>
      </c>
      <c r="BI72" s="86"/>
      <c r="BJ72" s="22"/>
      <c r="BK72" s="46" t="str">
        <f aca="false">IF(OR(Tasks[[#This Row],[Task Name]]="",Tasks[[#This Row],[Baseline Duration]]=""),"",Tasks[[#This Row],[_SpanDays]]-N(Tasks[[#This Row],[Baseline Duration]]))</f>
        <v/>
      </c>
      <c r="BL72" s="85" t="str">
        <f aca="false">IF(OR(Tasks[[#This Row],[Task Name]]="",Tasks[[#This Row],[Baseline Work]]=""),"",Tasks[[#This Row],[Work]]-N(Tasks[[#This Row],[Baseline Work]]))</f>
        <v/>
      </c>
      <c r="BM72" s="62" t="str">
        <f aca="false">IF(Tasks[[#This Row],[Task Name]]="","",IF(OR(TakeBaseline="Yes",N(Tasks[[#This Row],[Baseline Start]])=0),Tasks[[#This Row],[Start]],Tasks[[#This Row],[Baseline Start]]))</f>
        <v/>
      </c>
      <c r="BN72" s="62" t="str">
        <f aca="false">IF(Tasks[[#This Row],[Task Name]]="","",IF(OR(TakeBaseline="Yes",N(Tasks[[#This Row],[Baseline Finish]])=0),Tasks[[#This Row],[Finish]],Tasks[[#This Row],[Baseline Finish]]))</f>
        <v/>
      </c>
      <c r="BO72" s="21" t="str">
        <f aca="false">IF(Tasks[[#This Row],[Task Name]]="","",IF(OR(TakeBaseline="Yes",N(Tasks[[#This Row],[Baseline Duration]])=0),Tasks[[#This Row],[_SpanDays]],Tasks[[#This Row],[Baseline Duration]]))</f>
        <v/>
      </c>
      <c r="BP72" s="85" t="str">
        <f aca="false">IF(Tasks[[#This Row],[Task Name]]="","",IF(OR(TakeBaseline="Yes",N(Tasks[[#This Row],[Baseline Work]])=0),Tasks[[#This Row],[Work]],Tasks[[#This Row],[Baseline Work]]))</f>
        <v/>
      </c>
      <c r="BQ72" s="7"/>
      <c r="BR72" s="7"/>
      <c r="BS72" s="22"/>
      <c r="BT72" s="87"/>
      <c r="BU72" s="42" t="str">
        <f aca="false">IF(Tasks[[#This Row],[Task Name]]="","",MAX(1,N(Tasks[[#This Row],[Level]])))</f>
        <v/>
      </c>
      <c r="BV72" s="42" t="n">
        <f aca="false">ROW()-ROW(Tasks[[#Headers],[ID]])</f>
        <v>67</v>
      </c>
      <c r="BW72" s="42" t="n">
        <f aca="false">IF(OR(Tasks[[#This Row],[Task Name]]="",Tasks[[#This Row],[_Level]]&lt;=1),0,IFERROR(LOOKUP(2,1/(Tasks[[#Headers],[_Level]]:Tasks[[#This Row],[_Level]]=Tasks[[#This Row],[_Level]]-1),ROW(Tasks[[#Headers],[_Level]]:Tasks[[#This Row],[_Level]])),0))</f>
        <v>0</v>
      </c>
      <c r="BX72" s="42" t="n">
        <f aca="false">IFERROR(N(INDEX(Tasks[_Level],Tasks[[#This Row],[_Row]]+1)),0)</f>
        <v>0</v>
      </c>
      <c r="BY72" s="88" t="b">
        <f aca="false">AND(Tasks[[#This Row],[Task Name]]&lt;&gt;"",Tasks[[#This Row],[_NextLevel]]&gt;Tasks[[#This Row],[_Level]])</f>
        <v>0</v>
      </c>
      <c r="BZ72" s="42" t="n">
        <f aca="false">IF(Tasks[[#This Row],[_IsSummary]],COUNTIF(Tasks[WBS],Tasks[[#This Row],[WBS]]&amp;".*"),0)</f>
        <v>0</v>
      </c>
      <c r="CA72" s="42" t="n">
        <f aca="false">IF(AND(Tasks[[#This Row],[Task Name]]&lt;&gt;"",NOT(Tasks[[#This Row],[_IsSummary]])),1,0)</f>
        <v>0</v>
      </c>
      <c r="CB72" s="42" t="n">
        <f aca="false">IF(N(Tasks[[#This Row],[_Pred1UID]])=0,0,IFERROR(MATCH(Tasks[[#This Row],[_Pred1UID]],Tasks[UID],0),-1))</f>
        <v>0</v>
      </c>
      <c r="CC72" s="42" t="n">
        <f aca="false">IF(N(Tasks[[#This Row],[_Pred2UID]])=0,0,IFERROR(MATCH(Tasks[[#This Row],[_Pred2UID]],Tasks[UID],0),-1))</f>
        <v>0</v>
      </c>
      <c r="CD72" s="42" t="n">
        <f aca="false">IF(N(Tasks[[#This Row],[_Pred3UID]])=0,0,IFERROR(MATCH(Tasks[[#This Row],[_Pred3UID]],Tasks[UID],0),-1))</f>
        <v>0</v>
      </c>
      <c r="CE72" s="42" t="n">
        <f aca="false">IF(N(Tasks[[#This Row],[_Pred4UID]])=0,0,IFERROR(MATCH(Tasks[[#This Row],[_Pred4UID]],Tasks[UID],0),-1))</f>
        <v>0</v>
      </c>
      <c r="CF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2" s="89" t="n">
        <f aca="false">IF(OR(Tasks[[#This Row],[_ConstraintCode]]=2,Tasks[[#This Row],[_ConstraintCode]]=3,Tasks[[#This Row],[_ConstraintCode]]=4,Tasks[[#This Row],[_ConstraintCode]]=6),Tasks[[#This Row],[_ConstraintStart]],0)</f>
        <v>0</v>
      </c>
      <c r="CI72" s="89" t="n">
        <f aca="false">IF(OR(Tasks[[#This Row],[_ConstraintCode]]=2,Tasks[[#This Row],[_ConstraintCode]]=3,Tasks[[#This Row],[_ConstraintCode]]=5,Tasks[[#This Row],[_ConstraintCode]]=7),Tasks[[#This Row],[_ConstraintStart]],2958465)</f>
        <v>2958465</v>
      </c>
      <c r="CJ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2" s="89" t="str">
        <f aca="false">IF(NOT(Tasks[[#This Row],[_IsLeaf]]=1),"",IF(N(Tasks[[#This Row],[_Days]])&lt;=0,Tasks[[#This Row],[_LeafCalcStart]],WORKDAY.INTL(Tasks[[#This Row],[_LeafCalcStart]],Tasks[[#This Row],[_Days]]-1,WorkWeek,Holidays)))</f>
        <v/>
      </c>
      <c r="CL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2" s="42" t="str">
        <f aca="false">IF(Tasks[[#This Row],[_Predecessors]]="","",TRIM(MID(SUBSTITUTE(SUBSTITUTE(SUBSTITUTE(UPPER(Tasks[[#This Row],[_Predecessors]]),";",",")," ",""),",",REPT(" ",99)),1,99)))</f>
        <v/>
      </c>
      <c r="CO72" s="42" t="str">
        <f aca="false">IF(Tasks[[#This Row],[_Pred1Text]]="","",IFERROR(VALUE(LEFT(Tasks[[#This Row],[_Pred1Text]],MIN(FIND("F",Tasks[[#This Row],[_Pred1Text]]&amp;"F"),FIND("S",Tasks[[#This Row],[_Pred1Text]]&amp;"S"),FIND("+",Tasks[[#This Row],[_Pred1Text]]&amp;"+"),FIND("-",Tasks[[#This Row],[_Pred1Text]]&amp;"-"))-1)),""))</f>
        <v/>
      </c>
      <c r="CP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2" s="42" t="str">
        <f aca="false">IF(Tasks[[#This Row],[_Pred1Text]]="","",TRIM(MID(SUBSTITUTE(SUBSTITUTE(SUBSTITUTE(UPPER(Tasks[[#This Row],[_Predecessors]]),";",",")," ",""),",",REPT(" ",99)),100,99)))</f>
        <v/>
      </c>
      <c r="CS72" s="42" t="str">
        <f aca="false">IF(Tasks[[#This Row],[_Pred2Text]]="","",IFERROR(VALUE(LEFT(Tasks[[#This Row],[_Pred2Text]],MIN(FIND("F",Tasks[[#This Row],[_Pred2Text]]&amp;"F"),FIND("S",Tasks[[#This Row],[_Pred2Text]]&amp;"S"),FIND("+",Tasks[[#This Row],[_Pred2Text]]&amp;"+"),FIND("-",Tasks[[#This Row],[_Pred2Text]]&amp;"-"))-1)),""))</f>
        <v/>
      </c>
      <c r="CT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2" s="42" t="str">
        <f aca="false">IF(Tasks[[#This Row],[_Pred2Text]]="","",TRIM(MID(SUBSTITUTE(SUBSTITUTE(SUBSTITUTE(UPPER(Tasks[[#This Row],[_Predecessors]]),";",",")," ",""),",",REPT(" ",99)),199,99)))</f>
        <v/>
      </c>
      <c r="CW72" s="42" t="str">
        <f aca="false">IF(Tasks[[#This Row],[_Pred3Text]]="","",IFERROR(VALUE(LEFT(Tasks[[#This Row],[_Pred3Text]],MIN(FIND("F",Tasks[[#This Row],[_Pred3Text]]&amp;"F"),FIND("S",Tasks[[#This Row],[_Pred3Text]]&amp;"S"),FIND("+",Tasks[[#This Row],[_Pred3Text]]&amp;"+"),FIND("-",Tasks[[#This Row],[_Pred3Text]]&amp;"-"))-1)),""))</f>
        <v/>
      </c>
      <c r="CX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2" s="42" t="str">
        <f aca="false">IF(Tasks[[#This Row],[_Pred3Text]]="","",TRIM(MID(SUBSTITUTE(SUBSTITUTE(SUBSTITUTE(UPPER(Tasks[[#This Row],[_Predecessors]]),";",",")," ",""),",",REPT(" ",99)),298,99)))</f>
        <v/>
      </c>
      <c r="DA72" s="42" t="str">
        <f aca="false">IF(Tasks[[#This Row],[_Pred4Text]]="","",IFERROR(VALUE(LEFT(Tasks[[#This Row],[_Pred4Text]],MIN(FIND("F",Tasks[[#This Row],[_Pred4Text]]&amp;"F"),FIND("S",Tasks[[#This Row],[_Pred4Text]]&amp;"S"),FIND("+",Tasks[[#This Row],[_Pred4Text]]&amp;"+"),FIND("-",Tasks[[#This Row],[_Pred4Text]]&amp;"-"))-1)),""))</f>
        <v/>
      </c>
      <c r="DB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2" s="42" t="str">
        <f aca="false">IF(OR(Tasks[[#This Row],[Task Name]]="",Tasks[[#This Row],[_Resources]]=""),"",TRIM(MID(SUBSTITUTE(Tasks[[#This Row],[_Resources]],",",REPT(" ",99)),1,99)))</f>
        <v/>
      </c>
      <c r="DE72" s="42" t="str">
        <f aca="false">IF(Tasks[[#This Row],[_Res1Text]]="","",TRIM(MID(SUBSTITUTE(Tasks[[#This Row],[_Resources]],",",REPT(" ",99)),100,99)))</f>
        <v/>
      </c>
      <c r="DF72" s="42" t="str">
        <f aca="false">IF(Tasks[[#This Row],[_Res2Text]]="","",TRIM(MID(SUBSTITUTE(Tasks[[#This Row],[_Resources]],",",REPT(" ",99)),199,99)))</f>
        <v/>
      </c>
      <c r="DG72" s="42" t="str">
        <f aca="false">IF(Tasks[[#This Row],[_Res3Text]]="","",TRIM(MID(SUBSTITUTE(Tasks[[#This Row],[_Resources]],",",REPT(" ",99)),298,99)))</f>
        <v/>
      </c>
      <c r="DH72" s="42" t="n">
        <f aca="false">IF(Tasks[[#This Row],[_Res1Text]]="",0,IFERROR(MATCH(TRIM(LEFT(Tasks[[#This Row],[_Res1Text]],FIND("[",Tasks[[#This Row],[_Res1Text]]&amp;"[")-1)),res_Name,0),IFERROR(MATCH(TRIM(LEFT(Tasks[[#This Row],[_Res1Text]],FIND("[",Tasks[[#This Row],[_Res1Text]]&amp;"[")-1)),res_Initials,0),0)))</f>
        <v>0</v>
      </c>
      <c r="DI72" s="42" t="n">
        <f aca="false">IF(Tasks[[#This Row],[_Res2Text]]="",0,IFERROR(MATCH(TRIM(LEFT(Tasks[[#This Row],[_Res2Text]],FIND("[",Tasks[[#This Row],[_Res2Text]]&amp;"[")-1)),res_Name,0),IFERROR(MATCH(TRIM(LEFT(Tasks[[#This Row],[_Res2Text]],FIND("[",Tasks[[#This Row],[_Res2Text]]&amp;"[")-1)),res_Initials,0),0)))</f>
        <v>0</v>
      </c>
      <c r="DJ72" s="42" t="n">
        <f aca="false">IF(Tasks[[#This Row],[_Res3Text]]="",0,IFERROR(MATCH(TRIM(LEFT(Tasks[[#This Row],[_Res3Text]],FIND("[",Tasks[[#This Row],[_Res3Text]]&amp;"[")-1)),res_Name,0),IFERROR(MATCH(TRIM(LEFT(Tasks[[#This Row],[_Res3Text]],FIND("[",Tasks[[#This Row],[_Res3Text]]&amp;"[")-1)),res_Initials,0),0)))</f>
        <v>0</v>
      </c>
      <c r="DK72" s="42" t="n">
        <f aca="false">IF(Tasks[[#This Row],[_Res4Text]]="",0,IFERROR(MATCH(TRIM(LEFT(Tasks[[#This Row],[_Res4Text]],FIND("[",Tasks[[#This Row],[_Res4Text]]&amp;"[")-1)),res_Name,0),IFERROR(MATCH(TRIM(LEFT(Tasks[[#This Row],[_Res4Text]],FIND("[",Tasks[[#This Row],[_Res4Text]]&amp;"[")-1)),res_Initials,0),0)))</f>
        <v>0</v>
      </c>
      <c r="DL72" s="42" t="str">
        <f aca="false">IF(Tasks[[#This Row],[_Res1Text]]="","",IF(Tasks[[#This Row],[_Res1Row]]&gt;0,INDEX(res_Name,Tasks[[#This Row],[_Res1Row]]),TRIM(LEFT(Tasks[[#This Row],[_Res1Text]],FIND("[",Tasks[[#This Row],[_Res1Text]]&amp;"[")-1))))</f>
        <v/>
      </c>
      <c r="DM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2" s="42" t="n">
        <f aca="false">IF(NOT(Tasks[[#This Row],[_IsLeaf]]=1),0,(Tasks[[#This Row],[_Resource1]]&lt;&gt;"")+(Tasks[[#This Row],[_Res2]]&lt;&gt;"")+(Tasks[[#This Row],[_Res3]]&lt;&gt;"")+(Tasks[[#This Row],[_Res4]]&lt;&gt;""))</f>
        <v>0</v>
      </c>
      <c r="DO72" s="42" t="str">
        <f aca="false">IF(Tasks[[#This Row],[_Res2Text]]="","",IF(Tasks[[#This Row],[_Res2Row]]&gt;0,INDEX(res_Name,Tasks[[#This Row],[_Res2Row]]),TRIM(LEFT(Tasks[[#This Row],[_Res2Text]],FIND("[",Tasks[[#This Row],[_Res2Text]]&amp;"[")-1))))</f>
        <v/>
      </c>
      <c r="DP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2" s="42" t="n">
        <f aca="false">IF(OR(NOT(Tasks[[#This Row],[_IsLeaf]]=1),Tasks[[#This Row],[_Res2Row]]=0),0,N(Tasks[[#This Row],[_Days]])*HoursPerDay*IF(Tasks[[#This Row],[_Res2Units]]="",DefaultUnits,Tasks[[#This Row],[_Res2Units]]))</f>
        <v>0</v>
      </c>
      <c r="DR72" s="42" t="n">
        <f aca="false">IF(AND(AND(Tasks[[#This Row],[_IsLeaf]]=1,Tasks[[#This Row],[_LeafTotalWork]]&gt;0),Tasks[[#This Row],[_Res2Work]]&gt;0),Tasks[[#This Row],[_Res2Work]]/(Tasks[[#This Row],[_FinishWorkday]]-Tasks[[#This Row],[_StartWorkday]]+1),0)</f>
        <v>0</v>
      </c>
      <c r="DS72" s="42" t="n">
        <f aca="false">Tasks[[#This Row],[_Res2WorkPerWD]]*MAX(0,Tasks[[#This Row],[_StartWorkday]]-1)</f>
        <v>0</v>
      </c>
      <c r="DT72" s="42" t="n">
        <f aca="false">Tasks[[#This Row],[_Res2Work]]*Tasks[[#This Row],[_LeafProgress]]</f>
        <v>0</v>
      </c>
      <c r="DU72" s="42" t="str">
        <f aca="false">IF(Tasks[[#This Row],[_Res3Text]]="","",IF(Tasks[[#This Row],[_Res3Row]]&gt;0,INDEX(res_Name,Tasks[[#This Row],[_Res3Row]]),TRIM(LEFT(Tasks[[#This Row],[_Res3Text]],FIND("[",Tasks[[#This Row],[_Res3Text]]&amp;"[")-1))))</f>
        <v/>
      </c>
      <c r="DV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2" s="42" t="n">
        <f aca="false">IF(OR(NOT(Tasks[[#This Row],[_IsLeaf]]=1),Tasks[[#This Row],[_Res3Row]]=0),0,N(Tasks[[#This Row],[_Days]])*HoursPerDay*IF(Tasks[[#This Row],[_Res3Units]]="",DefaultUnits,Tasks[[#This Row],[_Res3Units]]))</f>
        <v>0</v>
      </c>
      <c r="DX72" s="42" t="n">
        <f aca="false">IF(AND(AND(Tasks[[#This Row],[_IsLeaf]]=1,Tasks[[#This Row],[_LeafTotalWork]]&gt;0),Tasks[[#This Row],[_Res3Work]]&gt;0),Tasks[[#This Row],[_Res3Work]]/(Tasks[[#This Row],[_FinishWorkday]]-Tasks[[#This Row],[_StartWorkday]]+1),0)</f>
        <v>0</v>
      </c>
      <c r="DY72" s="42" t="n">
        <f aca="false">Tasks[[#This Row],[_Res3WorkPerWD]]*MAX(0,Tasks[[#This Row],[_StartWorkday]]-1)</f>
        <v>0</v>
      </c>
      <c r="DZ72" s="42" t="n">
        <f aca="false">Tasks[[#This Row],[_Res3Work]]*Tasks[[#This Row],[_LeafProgress]]</f>
        <v>0</v>
      </c>
      <c r="EA72" s="42" t="str">
        <f aca="false">IF(Tasks[[#This Row],[_Res4Text]]="","",IF(Tasks[[#This Row],[_Res4Row]]&gt;0,INDEX(res_Name,Tasks[[#This Row],[_Res4Row]]),TRIM(LEFT(Tasks[[#This Row],[_Res4Text]],FIND("[",Tasks[[#This Row],[_Res4Text]]&amp;"[")-1))))</f>
        <v/>
      </c>
      <c r="EB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2" s="42" t="n">
        <f aca="false">IF(OR(NOT(Tasks[[#This Row],[_IsLeaf]]=1),Tasks[[#This Row],[_Res4Row]]=0),0,N(Tasks[[#This Row],[_Days]])*HoursPerDay*IF(Tasks[[#This Row],[_Res4Units]]="",DefaultUnits,Tasks[[#This Row],[_Res4Units]]))</f>
        <v>0</v>
      </c>
      <c r="ED72" s="42" t="n">
        <f aca="false">IF(AND(AND(Tasks[[#This Row],[_IsLeaf]]=1,Tasks[[#This Row],[_LeafTotalWork]]&gt;0),Tasks[[#This Row],[_Res4Work]]&gt;0),Tasks[[#This Row],[_Res4Work]]/(Tasks[[#This Row],[_FinishWorkday]]-Tasks[[#This Row],[_StartWorkday]]+1),0)</f>
        <v>0</v>
      </c>
      <c r="EE72" s="42" t="n">
        <f aca="false">Tasks[[#This Row],[_Res4WorkPerWD]]*MAX(0,Tasks[[#This Row],[_StartWorkday]]-1)</f>
        <v>0</v>
      </c>
      <c r="EF72" s="42" t="n">
        <f aca="false">Tasks[[#This Row],[_Res4Work]]*Tasks[[#This Row],[_LeafProgress]]</f>
        <v>0</v>
      </c>
      <c r="EG72" s="42" t="n">
        <f aca="false">IF(ISNUMBER(Tasks[[#This Row],[% Complete]]),Tasks[[#This Row],[% Complete]],IF(Tasks[[#This Row],[Stage]]="",0,IFERROR(INDEX(stg_Pct,MATCH(Tasks[[#This Row],[Stage]],stg_Name,0)),0)))</f>
        <v>0</v>
      </c>
      <c r="EH72" s="42" t="n">
        <f aca="false">IF(NOT(Tasks[[#This Row],[_IsLeaf]]=1),0,IF(N(Tasks[[#This Row],[Actual Finish]])&gt;0,1,MIN(1,Tasks[[#This Row],[_Pct]])))</f>
        <v>0</v>
      </c>
      <c r="EI72" s="42" t="n">
        <f aca="false">IF(OR(NOT(Tasks[[#This Row],[_IsLeaf]]=1),Tasks[[#This Row],[_Res1Row]]=0),0,N(Tasks[[#This Row],[_Days]])*HoursPerDay*IF(Tasks[[#This Row],[_Units1]]="",DefaultUnits,Tasks[[#This Row],[_Units1]]))</f>
        <v>0</v>
      </c>
      <c r="EJ72" s="42" t="n">
        <f aca="false">Tasks[[#This Row],[_LeafWork]]+Tasks[[#This Row],[_Res2Work]]+Tasks[[#This Row],[_Res3Work]]+Tasks[[#This Row],[_Res4Work]]</f>
        <v>0</v>
      </c>
      <c r="EK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2" s="42" t="n">
        <f aca="false">IF(NOT(Tasks[[#This Row],[_IsLeaf]]=1),0,MAX(_xlfn.MAXIFS(Tasks[_Row],Tasks[_Pred1UID],Tasks[[#This Row],[UID]]),_xlfn.MAXIFS(Tasks[_Row],Tasks[_Pred2UID],Tasks[[#This Row],[UID]]),_xlfn.MAXIFS(Tasks[_Row],Tasks[_Pred3UID],Tasks[[#This Row],[UID]]),_xlfn.MAXIFS(Tasks[_Row],Tasks[_Pred4UID],Tasks[[#This Row],[UID]])))</f>
        <v>0</v>
      </c>
      <c r="ET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2" s="89" t="str">
        <f aca="false">IF(NOT(Tasks[[#This Row],[_IsLeaf]]=1),"",IF(N(Tasks[[#This Row],[_Days]])&lt;=0,Tasks[[#This Row],[_LeafLateFinish]],WORKDAY.INTL(Tasks[[#This Row],[_LeafLateFinish]],-(Tasks[[#This Row],[_Days]]-1),WorkWeek,Holidays)))</f>
        <v/>
      </c>
      <c r="EW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2" s="88" t="b">
        <f aca="false">AND(Tasks[[#This Row],[_IsLeaf]]=1,Tasks[[#This Row],[_LeafProgress]]&lt;1,N(Tasks[[#This Row],[_LeafTotalSlack]])&lt;=CriticalSlackDays)</f>
        <v>0</v>
      </c>
      <c r="EY72" s="42" t="n">
        <f aca="false">IF(AND(Tasks[[#This Row],[_IsLeaf]]=1,Tasks[[#This Row],[_ConstraintCode]]=1,Tasks[[#This Row],[Mode]]&lt;&gt;"Manual",N(Tasks[[#This Row],[Actual Start]])=0),MAX(0,N(Tasks[[#This Row],[Free Slack]])),0)</f>
        <v>0</v>
      </c>
      <c r="EZ72" s="89" t="str">
        <f aca="false">IF(NOT(Tasks[[#This Row],[_IsLeaf]]=1),"",IF(Tasks[[#This Row],[_AlapShift]]=0,Tasks[[#This Row],[_LeafCalcStart]],WORKDAY.INTL(Tasks[[#This Row],[_LeafCalcStart]],Tasks[[#This Row],[_AlapShift]],WorkWeek,Holidays)))</f>
        <v/>
      </c>
      <c r="FA72" s="89" t="str">
        <f aca="false">IF(NOT(Tasks[[#This Row],[_IsLeaf]]=1),"",IF(Tasks[[#This Row],[_AlapShift]]=0,Tasks[[#This Row],[_LeafCalcFinish]],WORKDAY.INTL(Tasks[[#This Row],[_LeafCalcFinish]],Tasks[[#This Row],[_AlapShift]],WorkWeek,Holidays)))</f>
        <v/>
      </c>
      <c r="FB72" s="89" t="str">
        <f aca="false">IF(NOT(Tasks[[#This Row],[_IsLeaf]]=1),"",IF(Tasks[[#This Row],[_AlapShift]]=0,Tasks[[#This Row],[_LeafFcstStart]],WORKDAY.INTL(Tasks[[#This Row],[_LeafFcstStart]],Tasks[[#This Row],[_AlapShift]],WorkWeek,Holidays)))</f>
        <v/>
      </c>
      <c r="FC72" s="89" t="str">
        <f aca="false">IF(NOT(Tasks[[#This Row],[_IsLeaf]]=1),"",IF(Tasks[[#This Row],[_AlapShift]]=0,Tasks[[#This Row],[_LeafFcstFinish]],WORKDAY.INTL(Tasks[[#This Row],[_LeafFcstFinish]],Tasks[[#This Row],[_AlapShift]],WorkWeek,Holidays)))</f>
        <v/>
      </c>
      <c r="FD72" s="89" t="str">
        <f aca="false">IF(Tasks[[#This Row],[Task Name]]="","",IF(Tasks[[#This Row],[_IsSummary]],MIN(INDEX(Tasks[_ShownCalcStart],Tasks[[#This Row],[_Row]]+1):INDEX(Tasks[_ShownCalcStart],Tasks[[#This Row],[_Row]]+Tasks[[#This Row],[_Descendants]])),Tasks[[#This Row],[_ShownCalcStart]]))</f>
        <v/>
      </c>
      <c r="FE72" s="89" t="str">
        <f aca="false">IF(Tasks[[#This Row],[Task Name]]="","",IF(Tasks[[#This Row],[_IsSummary]],MAX(INDEX(Tasks[_ShownCalcFinish],Tasks[[#This Row],[_Row]]+1):INDEX(Tasks[_ShownCalcFinish],Tasks[[#This Row],[_Row]]+Tasks[[#This Row],[_Descendants]])),Tasks[[#This Row],[_ShownCalcFinish]]))</f>
        <v/>
      </c>
      <c r="FF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2" s="42" t="n">
        <f aca="false">IF(AND(Tasks[[#This Row],[_IsLeaf]]=1,Tasks[[#This Row],[_LeafTotalWork]]&gt;0),NETWORKDAYS.INTL(ProjectStart,Tasks[[#This Row],[_ShownFcstStart]],WorkWeek,Holidays),0)</f>
        <v>0</v>
      </c>
      <c r="FS72" s="42" t="n">
        <f aca="false">IF(AND(Tasks[[#This Row],[_IsLeaf]]=1,Tasks[[#This Row],[_LeafTotalWork]]&gt;0),MAX(Tasks[[#This Row],[_StartWorkday]],NETWORKDAYS.INTL(ProjectStart,Tasks[[#This Row],[_ShownFcstFinish]],WorkWeek,Holidays)),0)</f>
        <v>0</v>
      </c>
      <c r="FT72" s="42" t="n">
        <f aca="false">IF(AND(Tasks[[#This Row],[_IsLeaf]]=1,Tasks[[#This Row],[_LeafTotalWork]]&gt;0),Tasks[[#This Row],[_LeafWork]]/(Tasks[[#This Row],[_FinishWorkday]]-Tasks[[#This Row],[_StartWorkday]]+1),0)</f>
        <v>0</v>
      </c>
      <c r="FU72" s="42" t="n">
        <f aca="false">Tasks[[#This Row],[_WorkPerWorkday]]*(Tasks[[#This Row],[_StartWorkday]]-1)</f>
        <v>-0</v>
      </c>
      <c r="FV72" s="42" t="n">
        <f aca="false">IF(Tasks[[#This Row],[_IsLeaf]]=1,MAX(N(Tasks[[#This Row],[_Days]]),0.1),0)</f>
        <v>0</v>
      </c>
      <c r="FW72" s="42" t="n">
        <f aca="false">Tasks[[#This Row],[_WeightDur]]*Tasks[[#This Row],[_LeafProgress]]</f>
        <v>0</v>
      </c>
      <c r="FX72" s="42" t="n">
        <f aca="false">Tasks[[#This Row],[_WeightDur]]*Tasks[[#This Row],[_PlannedPct]]</f>
        <v>0</v>
      </c>
      <c r="FY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2" s="42" t="str">
        <f aca="false">IF(AND(Tasks[[#This Row],[_IsLeaf]]=1,N(Tasks[[#This Row],[_Days]])=0,Tasks[[#This Row],[_LeafProgress]]&lt;1),Tasks[[#This Row],[_ShownFcstFinish]]+Tasks[[#This Row],[_Row]]/100000,"")</f>
        <v/>
      </c>
      <c r="GA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2" s="42" t="str">
        <f aca="false">IF(Tasks[[#This Row],[Task Name]]="","",LEFT(Tasks[[#This Row],[WBS]],FIND(".",Tasks[[#This Row],[WBS]]&amp;".")-1))</f>
        <v/>
      </c>
      <c r="GC72" s="42" t="str">
        <f aca="false">IF(AND(Tasks[[#This Row],[Task Name]]&lt;&gt;"",Tasks[[#This Row],[_Level]]=1),Tasks[[#This Row],[_Row]],"")</f>
        <v/>
      </c>
      <c r="GD72" s="42" t="str">
        <f aca="false">IF(AND(Tasks[[#This Row],[_IsLeaf]]=1,N(Tasks[[#This Row],[_Days]])=0),Tasks[[#This Row],[Planned Finish]]+Tasks[[#This Row],[_Row]]/100000,"")</f>
        <v/>
      </c>
      <c r="GE72" s="42" t="str">
        <f aca="false">IF(AND(Tasks[[#This Row],[_IsLeaf]]=1,Tasks[[#This Row],[_LeafProgress]]&lt;1,OR(N(Tasks[[#This Row],[Finish Var]])&gt;0,Tasks[[#This Row],[Status]]="Late Start")),MAX(0,Tasks[[#This Row],[Finish Var]])+1-Tasks[[#This Row],[_Row]]/1000000,"")</f>
        <v/>
      </c>
      <c r="GF72" s="42" t="str">
        <f aca="false">IF(AND(Tasks[[#This Row],[_IsLeaf]]=1,N(Tasks[[#This Row],[Actual Start]])=0,Tasks[[#This Row],[_ShownFcstStart]]&gt;=StatusDate,Tasks[[#This Row],[_ShownFcstStart]]&lt;=LookaheadEnd),Tasks[[#This Row],[_ShownFcstStart]]+Tasks[[#This Row],[_Row]]/100000,"")</f>
        <v/>
      </c>
      <c r="GG72" s="42" t="str">
        <f aca="false">IF(AND(Tasks[[#This Row],[_IsLeaf]]=1,Tasks[[#This Row],[_LeafProgress]]&lt;1,Tasks[[#This Row],[_ShownFcstFinish]]&gt;=StatusDate,Tasks[[#This Row],[_ShownFcstFinish]]&lt;=LookaheadEnd),Tasks[[#This Row],[_ShownFcstFinish]]+Tasks[[#This Row],[_Row]]/100000,"")</f>
        <v/>
      </c>
      <c r="GH72" s="42" t="str">
        <f aca="false">IF(Tasks[[#This Row],[_LeafCritical]],Tasks[[#This Row],[_ShownFcstStart]]+Tasks[[#This Row],[_Row]]/100000,"")</f>
        <v/>
      </c>
      <c r="GI72" s="42" t="n">
        <f aca="false">Tasks[[#This Row],[_LeafWork]]*Tasks[[#This Row],[_LeafProgress]]</f>
        <v>0</v>
      </c>
      <c r="GJ72" s="89" t="str">
        <f aca="false">IF(AND(Tasks[[#This Row],[_IsLeaf]]=1,Tasks[[#This Row],[_LeafProgress]]&gt;=1),IF(N(Tasks[[#This Row],[Actual Finish]])&gt;0,Tasks[[#This Row],[Actual Finish]],Tasks[[#This Row],[_ShownFcstFinish]]),"")</f>
        <v/>
      </c>
      <c r="GK72" s="42" t="n">
        <f aca="false">IF(Tasks[[#This Row],[_IsLeaf]]=1,N(Tasks[[#This Row],[Story Points]]),0)</f>
        <v>0</v>
      </c>
      <c r="GL72" s="42" t="str">
        <f aca="false">""</f>
        <v/>
      </c>
      <c r="GM72" s="88" t="b">
        <f aca="false">IF(Tasks[[#This Row],[Task Name]]="",FALSE(),AND(Tasks[[#This Row],[_IsLeaf]]=1,N(Tasks[[#This Row],[_Days]])=0))</f>
        <v>0</v>
      </c>
      <c r="GN72" s="89" t="n">
        <f aca="false">IF(Tasks[[#This Row],[Task Name]]="",0,IF(AND(Tasks[[#This Row],[_IsLeaf]]=1,NOT(Tasks[[#This Row],[_IsMilestone]]),N(Tasks[[#This Row],[Progress]])&gt;0),Tasks[[#This Row],[Start]],0))</f>
        <v>0</v>
      </c>
      <c r="GO72" s="89" t="n">
        <f aca="false">IF(Tasks[[#This Row],[_DoneFrom]]=0,0,IF(Tasks[[#This Row],[Progress]]&gt;=1,Tasks[[#This Row],[Finish]],MAX(Tasks[[#This Row],[_DoneFrom]],Tasks[[#This Row],[Start]]+ROUND((Tasks[[#This Row],[Finish]]-Tasks[[#This Row],[Start]]+1)*Tasks[[#This Row],[Progress]],0)-1)))</f>
        <v>0</v>
      </c>
      <c r="GP72" s="89" t="n">
        <f aca="false">IF(Tasks[[#This Row],[Task Name]]="",0,IF(OR(NOT(Tasks[[#This Row],[_IsLeaf]]=1),Tasks[[#This Row],[_IsMilestone]],N(Tasks[[#This Row],[Progress]])&gt;=1),0,IF(Tasks[[#This Row],[_DoneTo]]&gt;0,Tasks[[#This Row],[_DoneTo]]+1,Tasks[[#This Row],[Start]])))</f>
        <v>0</v>
      </c>
      <c r="GQ72" s="89" t="n">
        <f aca="false">IF(Tasks[[#This Row],[_RemFrom]]=0,0,Tasks[[#This Row],[Finish]])</f>
        <v>0</v>
      </c>
      <c r="GR72" s="88" t="b">
        <f aca="false">IF(Tasks[[#This Row],[Task Name]]="",FALSE(),OR(NOT(BaselineSet),N(Tasks[[#This Row],[Baseline Start]])&gt;0))</f>
        <v>0</v>
      </c>
      <c r="GS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2" s="90" t="str">
        <f aca="false">IF(Tasks[[#This Row],[_IsLeaf]]=1,Tasks[[#This Row],[_Row]],"")</f>
        <v/>
      </c>
      <c r="GW72" s="90" t="str">
        <f aca="false">IFERROR(INDEX(Tasks[UID],SMALL(Tasks[_PickKey],Tasks[[#This Row],[_Row]]))&amp;" "&amp;INDEX(Tasks[Task Name],SMALL(Tasks[_PickKey],Tasks[[#This Row],[_Row]])),"")</f>
        <v/>
      </c>
      <c r="GX72" s="42" t="str">
        <f aca="false">IF(Tasks[[#This Row],[Task Name]]="","",IF(Tasks[[#This Row],[_IsSummary]],NETWORKDAYS.INTL(Tasks[[#This Row],[Start]],Tasks[[#This Row],[Finish]],WorkWeek,Holidays),N(Tasks[[#This Row],[_Days]])))</f>
        <v/>
      </c>
    </row>
    <row r="73" customFormat="false" ht="15" hidden="false" customHeight="false" outlineLevel="0" collapsed="false">
      <c r="A73" s="21" t="str">
        <f aca="false">IF(Tasks[[#This Row],[Task Name]]="","",COUNTA(Tasks[[#Headers],[Task Name]]:Tasks[[#This Row],[Task Name]])-1)</f>
        <v/>
      </c>
      <c r="B73" s="22" t="n">
        <v>81</v>
      </c>
      <c r="C73" s="22"/>
      <c r="D73" s="23"/>
      <c r="E73" s="22"/>
      <c r="F73" s="23"/>
      <c r="G73" s="22"/>
      <c r="H73" s="22"/>
      <c r="I73" s="23"/>
      <c r="J73" s="22"/>
      <c r="K73" s="22"/>
      <c r="L73" s="23"/>
      <c r="M73" s="22"/>
      <c r="N73" s="22"/>
      <c r="O73" s="23"/>
      <c r="P73" s="22"/>
      <c r="Q73" s="22"/>
      <c r="R73" s="23"/>
      <c r="S73" s="23"/>
      <c r="T73" s="83"/>
      <c r="U73" s="23"/>
      <c r="V73" s="83"/>
      <c r="W73" s="23"/>
      <c r="X73" s="83"/>
      <c r="Y73" s="23"/>
      <c r="Z73" s="83"/>
      <c r="AA73" s="23"/>
      <c r="AB73" s="23"/>
      <c r="AC73" s="7"/>
      <c r="AD73" s="7"/>
      <c r="AE73" s="62" t="str">
        <f aca="false">IF(Tasks[[#This Row],[Task Name]]="","",IF(Tasks[[#This Row],[_IsSummary]],MIN(INDEX(Tasks[_ShownFcstStart],Tasks[[#This Row],[_Row]]+1):INDEX(Tasks[_ShownFcstStart],Tasks[[#This Row],[_Row]]+Tasks[[#This Row],[_Descendants]])),Tasks[[#This Row],[_ShownFcstStart]]))</f>
        <v/>
      </c>
      <c r="AF73" s="62" t="str">
        <f aca="false">IF(Tasks[[#This Row],[Task Name]]="","",IF(Tasks[[#This Row],[_IsSummary]],MAX(INDEX(Tasks[_ShownFcstFinish],Tasks[[#This Row],[_Row]]+1):INDEX(Tasks[_ShownFcstFinish],Tasks[[#This Row],[_Row]]+Tasks[[#This Row],[_Descendants]])),Tasks[[#This Row],[_ShownFcstFinish]]))</f>
        <v/>
      </c>
      <c r="AG73" s="21" t="str">
        <f aca="false">""</f>
        <v/>
      </c>
      <c r="AH73" s="23"/>
      <c r="AI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3" s="7"/>
      <c r="AK73" s="22"/>
      <c r="AL73" s="23"/>
      <c r="AM73" s="7"/>
      <c r="AN73" s="46" t="str">
        <f aca="false">IF(Tasks[[#This Row],[Task Name]]="","",IF(Tasks[[#This Row],[Finish]]&gt;=Tasks[[#This Row],[Planned Finish]],NETWORKDAYS.INTL(Tasks[[#This Row],[Planned Finish]],Tasks[[#This Row],[Finish]],WorkWeek,Holidays)-1,1-NETWORKDAYS.INTL(Tasks[[#This Row],[Finish]],Tasks[[#This Row],[Planned Finish]],WorkWeek,Holidays)))</f>
        <v/>
      </c>
      <c r="AO73" s="21" t="str">
        <f aca="false">IF(Tasks[[#This Row],[Task Name]]="","",IF(Tasks[[#This Row],[Progress]]&gt;=1,"Complete",IF(OR(N(Tasks[[#This Row],[Actual Start]])&gt;0,Tasks[[#This Row],[Progress]]&gt;0),IF(Tasks[[#This Row],[Finish Var]]&gt;0,"Behind","In Progress"),IF(Tasks[[#This Row],[Planned Start]]&lt;StatusDate,"Late Start","Not Started"))))</f>
        <v/>
      </c>
      <c r="AP73" s="21" t="str">
        <f aca="false">IF(Tasks[[#This Row],[Task Name]]="","",IF(IF(Tasks[[#This Row],[_IsSummary]],COUNTIF(INDEX(Tasks[_LeafCritical],Tasks[[#This Row],[_Row]]+1):INDEX(Tasks[_LeafCritical],Tasks[[#This Row],[_Row]]+Tasks[[#This Row],[_Descendants]]),TRUE())&gt;0,Tasks[[#This Row],[_LeafCritical]]),"Yes",""))</f>
        <v/>
      </c>
      <c r="AQ73" s="62" t="str">
        <f aca="false">IF(Tasks[[#This Row],[Task Name]]="","",IF(N(Tasks[[#This Row],[Baseline Start]])&gt;0,Tasks[[#This Row],[Baseline Start]],Tasks[[#This Row],[_CalcStart]]))</f>
        <v/>
      </c>
      <c r="AR73" s="62" t="str">
        <f aca="false">IF(Tasks[[#This Row],[Task Name]]="","",IF(N(Tasks[[#This Row],[Baseline Finish]])&gt;0,Tasks[[#This Row],[Baseline Finish]],Tasks[[#This Row],[_CalcFinish]]))</f>
        <v/>
      </c>
      <c r="AS73" s="46" t="str">
        <f aca="false">IF(Tasks[[#This Row],[Task Name]]="","",IF(Tasks[[#This Row],[Start]]&gt;=Tasks[[#This Row],[Planned Start]],NETWORKDAYS.INTL(Tasks[[#This Row],[Planned Start]],Tasks[[#This Row],[Start]],WorkWeek,Holidays)-1,1-NETWORKDAYS.INTL(Tasks[[#This Row],[Start]],Tasks[[#This Row],[Planned Start]],WorkWeek,Holidays)))</f>
        <v/>
      </c>
      <c r="AT73" s="62" t="str">
        <f aca="false">IF(Tasks[[#This Row],[Task Name]]="","",IF(Tasks[[#This Row],[_IsSummary]],MIN(INDEX(Tasks[_LeafLateStart],Tasks[[#This Row],[_Row]]+1):INDEX(Tasks[_LeafLateStart],Tasks[[#This Row],[_Row]]+Tasks[[#This Row],[_Descendants]])),Tasks[[#This Row],[_LeafLateStart]]))</f>
        <v/>
      </c>
      <c r="AU73" s="62" t="str">
        <f aca="false">IF(Tasks[[#This Row],[Task Name]]="","",IF(Tasks[[#This Row],[_IsSummary]],MAX(INDEX(Tasks[_LeafLateFinish],Tasks[[#This Row],[_Row]]+1):INDEX(Tasks[_LeafLateFinish],Tasks[[#This Row],[_Row]]+Tasks[[#This Row],[_Descendants]])),Tasks[[#This Row],[_LeafLateFinish]]))</f>
        <v/>
      </c>
      <c r="AV73" s="46" t="str">
        <f aca="false">IF(Tasks[[#This Row],[Task Name]]="","",IF(Tasks[[#This Row],[_IsSummary]],MIN(INDEX(Tasks[_LeafTotalSlack],Tasks[[#This Row],[_Row]]+1):INDEX(Tasks[_LeafTotalSlack],Tasks[[#This Row],[_Row]]+Tasks[[#This Row],[_Descendants]])),Tasks[[#This Row],[_LeafTotalSlack]]))</f>
        <v/>
      </c>
      <c r="AW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4"/>
      <c r="BA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t="str">
        <f aca="false">IF(Tasks[[#This Row],[Task Name]]="","",IF(Tasks[[#This Row],[_Level]]&lt;=OutlineShowLevel,"Yes","No"))</f>
        <v/>
      </c>
      <c r="BE73" s="85" t="str">
        <f aca="false">IF(Tasks[[#This Row],[Task Name]]="","",IF(Tasks[[#This Row],[_IsSummary]],SUM(INDEX(Tasks[_LeafTotalWork],Tasks[[#This Row],[_Row]]+1):INDEX(Tasks[_LeafTotalWork],Tasks[[#This Row],[_Row]]+Tasks[[#This Row],[_Descendants]])),Tasks[[#This Row],[_LeafTotalWork]]))</f>
        <v/>
      </c>
      <c r="BF73" s="23"/>
      <c r="BG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t="str">
        <f aca="false">""</f>
        <v/>
      </c>
      <c r="BI73" s="86"/>
      <c r="BJ73" s="22"/>
      <c r="BK73" s="46" t="str">
        <f aca="false">IF(OR(Tasks[[#This Row],[Task Name]]="",Tasks[[#This Row],[Baseline Duration]]=""),"",Tasks[[#This Row],[_SpanDays]]-N(Tasks[[#This Row],[Baseline Duration]]))</f>
        <v/>
      </c>
      <c r="BL73" s="85" t="str">
        <f aca="false">IF(OR(Tasks[[#This Row],[Task Name]]="",Tasks[[#This Row],[Baseline Work]]=""),"",Tasks[[#This Row],[Work]]-N(Tasks[[#This Row],[Baseline Work]]))</f>
        <v/>
      </c>
      <c r="BM73" s="62" t="str">
        <f aca="false">IF(Tasks[[#This Row],[Task Name]]="","",IF(OR(TakeBaseline="Yes",N(Tasks[[#This Row],[Baseline Start]])=0),Tasks[[#This Row],[Start]],Tasks[[#This Row],[Baseline Start]]))</f>
        <v/>
      </c>
      <c r="BN73" s="62" t="str">
        <f aca="false">IF(Tasks[[#This Row],[Task Name]]="","",IF(OR(TakeBaseline="Yes",N(Tasks[[#This Row],[Baseline Finish]])=0),Tasks[[#This Row],[Finish]],Tasks[[#This Row],[Baseline Finish]]))</f>
        <v/>
      </c>
      <c r="BO73" s="21" t="str">
        <f aca="false">IF(Tasks[[#This Row],[Task Name]]="","",IF(OR(TakeBaseline="Yes",N(Tasks[[#This Row],[Baseline Duration]])=0),Tasks[[#This Row],[_SpanDays]],Tasks[[#This Row],[Baseline Duration]]))</f>
        <v/>
      </c>
      <c r="BP73" s="85" t="str">
        <f aca="false">IF(Tasks[[#This Row],[Task Name]]="","",IF(OR(TakeBaseline="Yes",N(Tasks[[#This Row],[Baseline Work]])=0),Tasks[[#This Row],[Work]],Tasks[[#This Row],[Baseline Work]]))</f>
        <v/>
      </c>
      <c r="BQ73" s="7"/>
      <c r="BR73" s="7"/>
      <c r="BS73" s="22"/>
      <c r="BT73" s="87"/>
      <c r="BU73" s="42" t="str">
        <f aca="false">IF(Tasks[[#This Row],[Task Name]]="","",MAX(1,N(Tasks[[#This Row],[Level]])))</f>
        <v/>
      </c>
      <c r="BV73" s="42" t="n">
        <f aca="false">ROW()-ROW(Tasks[[#Headers],[ID]])</f>
        <v>68</v>
      </c>
      <c r="BW73" s="42" t="n">
        <f aca="false">IF(OR(Tasks[[#This Row],[Task Name]]="",Tasks[[#This Row],[_Level]]&lt;=1),0,IFERROR(LOOKUP(2,1/(Tasks[[#Headers],[_Level]]:Tasks[[#This Row],[_Level]]=Tasks[[#This Row],[_Level]]-1),ROW(Tasks[[#Headers],[_Level]]:Tasks[[#This Row],[_Level]])),0))</f>
        <v>0</v>
      </c>
      <c r="BX73" s="42" t="n">
        <f aca="false">IFERROR(N(INDEX(Tasks[_Level],Tasks[[#This Row],[_Row]]+1)),0)</f>
        <v>0</v>
      </c>
      <c r="BY73" s="88" t="b">
        <f aca="false">AND(Tasks[[#This Row],[Task Name]]&lt;&gt;"",Tasks[[#This Row],[_NextLevel]]&gt;Tasks[[#This Row],[_Level]])</f>
        <v>0</v>
      </c>
      <c r="BZ73" s="42" t="n">
        <f aca="false">IF(Tasks[[#This Row],[_IsSummary]],COUNTIF(Tasks[WBS],Tasks[[#This Row],[WBS]]&amp;".*"),0)</f>
        <v>0</v>
      </c>
      <c r="CA73" s="42" t="n">
        <f aca="false">IF(AND(Tasks[[#This Row],[Task Name]]&lt;&gt;"",NOT(Tasks[[#This Row],[_IsSummary]])),1,0)</f>
        <v>0</v>
      </c>
      <c r="CB73" s="42" t="n">
        <f aca="false">IF(N(Tasks[[#This Row],[_Pred1UID]])=0,0,IFERROR(MATCH(Tasks[[#This Row],[_Pred1UID]],Tasks[UID],0),-1))</f>
        <v>0</v>
      </c>
      <c r="CC73" s="42" t="n">
        <f aca="false">IF(N(Tasks[[#This Row],[_Pred2UID]])=0,0,IFERROR(MATCH(Tasks[[#This Row],[_Pred2UID]],Tasks[UID],0),-1))</f>
        <v>0</v>
      </c>
      <c r="CD73" s="42" t="n">
        <f aca="false">IF(N(Tasks[[#This Row],[_Pred3UID]])=0,0,IFERROR(MATCH(Tasks[[#This Row],[_Pred3UID]],Tasks[UID],0),-1))</f>
        <v>0</v>
      </c>
      <c r="CE73" s="42" t="n">
        <f aca="false">IF(N(Tasks[[#This Row],[_Pred4UID]])=0,0,IFERROR(MATCH(Tasks[[#This Row],[_Pred4UID]],Tasks[UID],0),-1))</f>
        <v>0</v>
      </c>
      <c r="CF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3" s="89" t="n">
        <f aca="false">IF(OR(Tasks[[#This Row],[_ConstraintCode]]=2,Tasks[[#This Row],[_ConstraintCode]]=3,Tasks[[#This Row],[_ConstraintCode]]=4,Tasks[[#This Row],[_ConstraintCode]]=6),Tasks[[#This Row],[_ConstraintStart]],0)</f>
        <v>0</v>
      </c>
      <c r="CI73" s="89" t="n">
        <f aca="false">IF(OR(Tasks[[#This Row],[_ConstraintCode]]=2,Tasks[[#This Row],[_ConstraintCode]]=3,Tasks[[#This Row],[_ConstraintCode]]=5,Tasks[[#This Row],[_ConstraintCode]]=7),Tasks[[#This Row],[_ConstraintStart]],2958465)</f>
        <v>2958465</v>
      </c>
      <c r="CJ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3" s="89" t="str">
        <f aca="false">IF(NOT(Tasks[[#This Row],[_IsLeaf]]=1),"",IF(N(Tasks[[#This Row],[_Days]])&lt;=0,Tasks[[#This Row],[_LeafCalcStart]],WORKDAY.INTL(Tasks[[#This Row],[_LeafCalcStart]],Tasks[[#This Row],[_Days]]-1,WorkWeek,Holidays)))</f>
        <v/>
      </c>
      <c r="CL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3" s="42" t="str">
        <f aca="false">IF(Tasks[[#This Row],[_Predecessors]]="","",TRIM(MID(SUBSTITUTE(SUBSTITUTE(SUBSTITUTE(UPPER(Tasks[[#This Row],[_Predecessors]]),";",",")," ",""),",",REPT(" ",99)),1,99)))</f>
        <v/>
      </c>
      <c r="CO73" s="42" t="str">
        <f aca="false">IF(Tasks[[#This Row],[_Pred1Text]]="","",IFERROR(VALUE(LEFT(Tasks[[#This Row],[_Pred1Text]],MIN(FIND("F",Tasks[[#This Row],[_Pred1Text]]&amp;"F"),FIND("S",Tasks[[#This Row],[_Pred1Text]]&amp;"S"),FIND("+",Tasks[[#This Row],[_Pred1Text]]&amp;"+"),FIND("-",Tasks[[#This Row],[_Pred1Text]]&amp;"-"))-1)),""))</f>
        <v/>
      </c>
      <c r="CP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3" s="42" t="str">
        <f aca="false">IF(Tasks[[#This Row],[_Pred1Text]]="","",TRIM(MID(SUBSTITUTE(SUBSTITUTE(SUBSTITUTE(UPPER(Tasks[[#This Row],[_Predecessors]]),";",",")," ",""),",",REPT(" ",99)),100,99)))</f>
        <v/>
      </c>
      <c r="CS73" s="42" t="str">
        <f aca="false">IF(Tasks[[#This Row],[_Pred2Text]]="","",IFERROR(VALUE(LEFT(Tasks[[#This Row],[_Pred2Text]],MIN(FIND("F",Tasks[[#This Row],[_Pred2Text]]&amp;"F"),FIND("S",Tasks[[#This Row],[_Pred2Text]]&amp;"S"),FIND("+",Tasks[[#This Row],[_Pred2Text]]&amp;"+"),FIND("-",Tasks[[#This Row],[_Pred2Text]]&amp;"-"))-1)),""))</f>
        <v/>
      </c>
      <c r="CT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3" s="42" t="str">
        <f aca="false">IF(Tasks[[#This Row],[_Pred2Text]]="","",TRIM(MID(SUBSTITUTE(SUBSTITUTE(SUBSTITUTE(UPPER(Tasks[[#This Row],[_Predecessors]]),";",",")," ",""),",",REPT(" ",99)),199,99)))</f>
        <v/>
      </c>
      <c r="CW73" s="42" t="str">
        <f aca="false">IF(Tasks[[#This Row],[_Pred3Text]]="","",IFERROR(VALUE(LEFT(Tasks[[#This Row],[_Pred3Text]],MIN(FIND("F",Tasks[[#This Row],[_Pred3Text]]&amp;"F"),FIND("S",Tasks[[#This Row],[_Pred3Text]]&amp;"S"),FIND("+",Tasks[[#This Row],[_Pred3Text]]&amp;"+"),FIND("-",Tasks[[#This Row],[_Pred3Text]]&amp;"-"))-1)),""))</f>
        <v/>
      </c>
      <c r="CX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3" s="42" t="str">
        <f aca="false">IF(Tasks[[#This Row],[_Pred3Text]]="","",TRIM(MID(SUBSTITUTE(SUBSTITUTE(SUBSTITUTE(UPPER(Tasks[[#This Row],[_Predecessors]]),";",",")," ",""),",",REPT(" ",99)),298,99)))</f>
        <v/>
      </c>
      <c r="DA73" s="42" t="str">
        <f aca="false">IF(Tasks[[#This Row],[_Pred4Text]]="","",IFERROR(VALUE(LEFT(Tasks[[#This Row],[_Pred4Text]],MIN(FIND("F",Tasks[[#This Row],[_Pred4Text]]&amp;"F"),FIND("S",Tasks[[#This Row],[_Pred4Text]]&amp;"S"),FIND("+",Tasks[[#This Row],[_Pred4Text]]&amp;"+"),FIND("-",Tasks[[#This Row],[_Pred4Text]]&amp;"-"))-1)),""))</f>
        <v/>
      </c>
      <c r="DB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3" s="42" t="str">
        <f aca="false">IF(OR(Tasks[[#This Row],[Task Name]]="",Tasks[[#This Row],[_Resources]]=""),"",TRIM(MID(SUBSTITUTE(Tasks[[#This Row],[_Resources]],",",REPT(" ",99)),1,99)))</f>
        <v/>
      </c>
      <c r="DE73" s="42" t="str">
        <f aca="false">IF(Tasks[[#This Row],[_Res1Text]]="","",TRIM(MID(SUBSTITUTE(Tasks[[#This Row],[_Resources]],",",REPT(" ",99)),100,99)))</f>
        <v/>
      </c>
      <c r="DF73" s="42" t="str">
        <f aca="false">IF(Tasks[[#This Row],[_Res2Text]]="","",TRIM(MID(SUBSTITUTE(Tasks[[#This Row],[_Resources]],",",REPT(" ",99)),199,99)))</f>
        <v/>
      </c>
      <c r="DG73" s="42" t="str">
        <f aca="false">IF(Tasks[[#This Row],[_Res3Text]]="","",TRIM(MID(SUBSTITUTE(Tasks[[#This Row],[_Resources]],",",REPT(" ",99)),298,99)))</f>
        <v/>
      </c>
      <c r="DH73" s="42" t="n">
        <f aca="false">IF(Tasks[[#This Row],[_Res1Text]]="",0,IFERROR(MATCH(TRIM(LEFT(Tasks[[#This Row],[_Res1Text]],FIND("[",Tasks[[#This Row],[_Res1Text]]&amp;"[")-1)),res_Name,0),IFERROR(MATCH(TRIM(LEFT(Tasks[[#This Row],[_Res1Text]],FIND("[",Tasks[[#This Row],[_Res1Text]]&amp;"[")-1)),res_Initials,0),0)))</f>
        <v>0</v>
      </c>
      <c r="DI73" s="42" t="n">
        <f aca="false">IF(Tasks[[#This Row],[_Res2Text]]="",0,IFERROR(MATCH(TRIM(LEFT(Tasks[[#This Row],[_Res2Text]],FIND("[",Tasks[[#This Row],[_Res2Text]]&amp;"[")-1)),res_Name,0),IFERROR(MATCH(TRIM(LEFT(Tasks[[#This Row],[_Res2Text]],FIND("[",Tasks[[#This Row],[_Res2Text]]&amp;"[")-1)),res_Initials,0),0)))</f>
        <v>0</v>
      </c>
      <c r="DJ73" s="42" t="n">
        <f aca="false">IF(Tasks[[#This Row],[_Res3Text]]="",0,IFERROR(MATCH(TRIM(LEFT(Tasks[[#This Row],[_Res3Text]],FIND("[",Tasks[[#This Row],[_Res3Text]]&amp;"[")-1)),res_Name,0),IFERROR(MATCH(TRIM(LEFT(Tasks[[#This Row],[_Res3Text]],FIND("[",Tasks[[#This Row],[_Res3Text]]&amp;"[")-1)),res_Initials,0),0)))</f>
        <v>0</v>
      </c>
      <c r="DK73" s="42" t="n">
        <f aca="false">IF(Tasks[[#This Row],[_Res4Text]]="",0,IFERROR(MATCH(TRIM(LEFT(Tasks[[#This Row],[_Res4Text]],FIND("[",Tasks[[#This Row],[_Res4Text]]&amp;"[")-1)),res_Name,0),IFERROR(MATCH(TRIM(LEFT(Tasks[[#This Row],[_Res4Text]],FIND("[",Tasks[[#This Row],[_Res4Text]]&amp;"[")-1)),res_Initials,0),0)))</f>
        <v>0</v>
      </c>
      <c r="DL73" s="42" t="str">
        <f aca="false">IF(Tasks[[#This Row],[_Res1Text]]="","",IF(Tasks[[#This Row],[_Res1Row]]&gt;0,INDEX(res_Name,Tasks[[#This Row],[_Res1Row]]),TRIM(LEFT(Tasks[[#This Row],[_Res1Text]],FIND("[",Tasks[[#This Row],[_Res1Text]]&amp;"[")-1))))</f>
        <v/>
      </c>
      <c r="DM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3" s="42" t="n">
        <f aca="false">IF(NOT(Tasks[[#This Row],[_IsLeaf]]=1),0,(Tasks[[#This Row],[_Resource1]]&lt;&gt;"")+(Tasks[[#This Row],[_Res2]]&lt;&gt;"")+(Tasks[[#This Row],[_Res3]]&lt;&gt;"")+(Tasks[[#This Row],[_Res4]]&lt;&gt;""))</f>
        <v>0</v>
      </c>
      <c r="DO73" s="42" t="str">
        <f aca="false">IF(Tasks[[#This Row],[_Res2Text]]="","",IF(Tasks[[#This Row],[_Res2Row]]&gt;0,INDEX(res_Name,Tasks[[#This Row],[_Res2Row]]),TRIM(LEFT(Tasks[[#This Row],[_Res2Text]],FIND("[",Tasks[[#This Row],[_Res2Text]]&amp;"[")-1))))</f>
        <v/>
      </c>
      <c r="DP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3" s="42" t="n">
        <f aca="false">IF(OR(NOT(Tasks[[#This Row],[_IsLeaf]]=1),Tasks[[#This Row],[_Res2Row]]=0),0,N(Tasks[[#This Row],[_Days]])*HoursPerDay*IF(Tasks[[#This Row],[_Res2Units]]="",DefaultUnits,Tasks[[#This Row],[_Res2Units]]))</f>
        <v>0</v>
      </c>
      <c r="DR73" s="42" t="n">
        <f aca="false">IF(AND(AND(Tasks[[#This Row],[_IsLeaf]]=1,Tasks[[#This Row],[_LeafTotalWork]]&gt;0),Tasks[[#This Row],[_Res2Work]]&gt;0),Tasks[[#This Row],[_Res2Work]]/(Tasks[[#This Row],[_FinishWorkday]]-Tasks[[#This Row],[_StartWorkday]]+1),0)</f>
        <v>0</v>
      </c>
      <c r="DS73" s="42" t="n">
        <f aca="false">Tasks[[#This Row],[_Res2WorkPerWD]]*MAX(0,Tasks[[#This Row],[_StartWorkday]]-1)</f>
        <v>0</v>
      </c>
      <c r="DT73" s="42" t="n">
        <f aca="false">Tasks[[#This Row],[_Res2Work]]*Tasks[[#This Row],[_LeafProgress]]</f>
        <v>0</v>
      </c>
      <c r="DU73" s="42" t="str">
        <f aca="false">IF(Tasks[[#This Row],[_Res3Text]]="","",IF(Tasks[[#This Row],[_Res3Row]]&gt;0,INDEX(res_Name,Tasks[[#This Row],[_Res3Row]]),TRIM(LEFT(Tasks[[#This Row],[_Res3Text]],FIND("[",Tasks[[#This Row],[_Res3Text]]&amp;"[")-1))))</f>
        <v/>
      </c>
      <c r="DV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3" s="42" t="n">
        <f aca="false">IF(OR(NOT(Tasks[[#This Row],[_IsLeaf]]=1),Tasks[[#This Row],[_Res3Row]]=0),0,N(Tasks[[#This Row],[_Days]])*HoursPerDay*IF(Tasks[[#This Row],[_Res3Units]]="",DefaultUnits,Tasks[[#This Row],[_Res3Units]]))</f>
        <v>0</v>
      </c>
      <c r="DX73" s="42" t="n">
        <f aca="false">IF(AND(AND(Tasks[[#This Row],[_IsLeaf]]=1,Tasks[[#This Row],[_LeafTotalWork]]&gt;0),Tasks[[#This Row],[_Res3Work]]&gt;0),Tasks[[#This Row],[_Res3Work]]/(Tasks[[#This Row],[_FinishWorkday]]-Tasks[[#This Row],[_StartWorkday]]+1),0)</f>
        <v>0</v>
      </c>
      <c r="DY73" s="42" t="n">
        <f aca="false">Tasks[[#This Row],[_Res3WorkPerWD]]*MAX(0,Tasks[[#This Row],[_StartWorkday]]-1)</f>
        <v>0</v>
      </c>
      <c r="DZ73" s="42" t="n">
        <f aca="false">Tasks[[#This Row],[_Res3Work]]*Tasks[[#This Row],[_LeafProgress]]</f>
        <v>0</v>
      </c>
      <c r="EA73" s="42" t="str">
        <f aca="false">IF(Tasks[[#This Row],[_Res4Text]]="","",IF(Tasks[[#This Row],[_Res4Row]]&gt;0,INDEX(res_Name,Tasks[[#This Row],[_Res4Row]]),TRIM(LEFT(Tasks[[#This Row],[_Res4Text]],FIND("[",Tasks[[#This Row],[_Res4Text]]&amp;"[")-1))))</f>
        <v/>
      </c>
      <c r="EB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3" s="42" t="n">
        <f aca="false">IF(OR(NOT(Tasks[[#This Row],[_IsLeaf]]=1),Tasks[[#This Row],[_Res4Row]]=0),0,N(Tasks[[#This Row],[_Days]])*HoursPerDay*IF(Tasks[[#This Row],[_Res4Units]]="",DefaultUnits,Tasks[[#This Row],[_Res4Units]]))</f>
        <v>0</v>
      </c>
      <c r="ED73" s="42" t="n">
        <f aca="false">IF(AND(AND(Tasks[[#This Row],[_IsLeaf]]=1,Tasks[[#This Row],[_LeafTotalWork]]&gt;0),Tasks[[#This Row],[_Res4Work]]&gt;0),Tasks[[#This Row],[_Res4Work]]/(Tasks[[#This Row],[_FinishWorkday]]-Tasks[[#This Row],[_StartWorkday]]+1),0)</f>
        <v>0</v>
      </c>
      <c r="EE73" s="42" t="n">
        <f aca="false">Tasks[[#This Row],[_Res4WorkPerWD]]*MAX(0,Tasks[[#This Row],[_StartWorkday]]-1)</f>
        <v>0</v>
      </c>
      <c r="EF73" s="42" t="n">
        <f aca="false">Tasks[[#This Row],[_Res4Work]]*Tasks[[#This Row],[_LeafProgress]]</f>
        <v>0</v>
      </c>
      <c r="EG73" s="42" t="n">
        <f aca="false">IF(ISNUMBER(Tasks[[#This Row],[% Complete]]),Tasks[[#This Row],[% Complete]],IF(Tasks[[#This Row],[Stage]]="",0,IFERROR(INDEX(stg_Pct,MATCH(Tasks[[#This Row],[Stage]],stg_Name,0)),0)))</f>
        <v>0</v>
      </c>
      <c r="EH73" s="42" t="n">
        <f aca="false">IF(NOT(Tasks[[#This Row],[_IsLeaf]]=1),0,IF(N(Tasks[[#This Row],[Actual Finish]])&gt;0,1,MIN(1,Tasks[[#This Row],[_Pct]])))</f>
        <v>0</v>
      </c>
      <c r="EI73" s="42" t="n">
        <f aca="false">IF(OR(NOT(Tasks[[#This Row],[_IsLeaf]]=1),Tasks[[#This Row],[_Res1Row]]=0),0,N(Tasks[[#This Row],[_Days]])*HoursPerDay*IF(Tasks[[#This Row],[_Units1]]="",DefaultUnits,Tasks[[#This Row],[_Units1]]))</f>
        <v>0</v>
      </c>
      <c r="EJ73" s="42" t="n">
        <f aca="false">Tasks[[#This Row],[_LeafWork]]+Tasks[[#This Row],[_Res2Work]]+Tasks[[#This Row],[_Res3Work]]+Tasks[[#This Row],[_Res4Work]]</f>
        <v>0</v>
      </c>
      <c r="EK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3" s="42" t="n">
        <f aca="false">IF(NOT(Tasks[[#This Row],[_IsLeaf]]=1),0,MAX(_xlfn.MAXIFS(Tasks[_Row],Tasks[_Pred1UID],Tasks[[#This Row],[UID]]),_xlfn.MAXIFS(Tasks[_Row],Tasks[_Pred2UID],Tasks[[#This Row],[UID]]),_xlfn.MAXIFS(Tasks[_Row],Tasks[_Pred3UID],Tasks[[#This Row],[UID]]),_xlfn.MAXIFS(Tasks[_Row],Tasks[_Pred4UID],Tasks[[#This Row],[UID]])))</f>
        <v>0</v>
      </c>
      <c r="ET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3" s="89" t="str">
        <f aca="false">IF(NOT(Tasks[[#This Row],[_IsLeaf]]=1),"",IF(N(Tasks[[#This Row],[_Days]])&lt;=0,Tasks[[#This Row],[_LeafLateFinish]],WORKDAY.INTL(Tasks[[#This Row],[_LeafLateFinish]],-(Tasks[[#This Row],[_Days]]-1),WorkWeek,Holidays)))</f>
        <v/>
      </c>
      <c r="EW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3" s="88" t="b">
        <f aca="false">AND(Tasks[[#This Row],[_IsLeaf]]=1,Tasks[[#This Row],[_LeafProgress]]&lt;1,N(Tasks[[#This Row],[_LeafTotalSlack]])&lt;=CriticalSlackDays)</f>
        <v>0</v>
      </c>
      <c r="EY73" s="42" t="n">
        <f aca="false">IF(AND(Tasks[[#This Row],[_IsLeaf]]=1,Tasks[[#This Row],[_ConstraintCode]]=1,Tasks[[#This Row],[Mode]]&lt;&gt;"Manual",N(Tasks[[#This Row],[Actual Start]])=0),MAX(0,N(Tasks[[#This Row],[Free Slack]])),0)</f>
        <v>0</v>
      </c>
      <c r="EZ73" s="89" t="str">
        <f aca="false">IF(NOT(Tasks[[#This Row],[_IsLeaf]]=1),"",IF(Tasks[[#This Row],[_AlapShift]]=0,Tasks[[#This Row],[_LeafCalcStart]],WORKDAY.INTL(Tasks[[#This Row],[_LeafCalcStart]],Tasks[[#This Row],[_AlapShift]],WorkWeek,Holidays)))</f>
        <v/>
      </c>
      <c r="FA73" s="89" t="str">
        <f aca="false">IF(NOT(Tasks[[#This Row],[_IsLeaf]]=1),"",IF(Tasks[[#This Row],[_AlapShift]]=0,Tasks[[#This Row],[_LeafCalcFinish]],WORKDAY.INTL(Tasks[[#This Row],[_LeafCalcFinish]],Tasks[[#This Row],[_AlapShift]],WorkWeek,Holidays)))</f>
        <v/>
      </c>
      <c r="FB73" s="89" t="str">
        <f aca="false">IF(NOT(Tasks[[#This Row],[_IsLeaf]]=1),"",IF(Tasks[[#This Row],[_AlapShift]]=0,Tasks[[#This Row],[_LeafFcstStart]],WORKDAY.INTL(Tasks[[#This Row],[_LeafFcstStart]],Tasks[[#This Row],[_AlapShift]],WorkWeek,Holidays)))</f>
        <v/>
      </c>
      <c r="FC73" s="89" t="str">
        <f aca="false">IF(NOT(Tasks[[#This Row],[_IsLeaf]]=1),"",IF(Tasks[[#This Row],[_AlapShift]]=0,Tasks[[#This Row],[_LeafFcstFinish]],WORKDAY.INTL(Tasks[[#This Row],[_LeafFcstFinish]],Tasks[[#This Row],[_AlapShift]],WorkWeek,Holidays)))</f>
        <v/>
      </c>
      <c r="FD73" s="89" t="str">
        <f aca="false">IF(Tasks[[#This Row],[Task Name]]="","",IF(Tasks[[#This Row],[_IsSummary]],MIN(INDEX(Tasks[_ShownCalcStart],Tasks[[#This Row],[_Row]]+1):INDEX(Tasks[_ShownCalcStart],Tasks[[#This Row],[_Row]]+Tasks[[#This Row],[_Descendants]])),Tasks[[#This Row],[_ShownCalcStart]]))</f>
        <v/>
      </c>
      <c r="FE73" s="89" t="str">
        <f aca="false">IF(Tasks[[#This Row],[Task Name]]="","",IF(Tasks[[#This Row],[_IsSummary]],MAX(INDEX(Tasks[_ShownCalcFinish],Tasks[[#This Row],[_Row]]+1):INDEX(Tasks[_ShownCalcFinish],Tasks[[#This Row],[_Row]]+Tasks[[#This Row],[_Descendants]])),Tasks[[#This Row],[_ShownCalcFinish]]))</f>
        <v/>
      </c>
      <c r="FF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3" s="42" t="n">
        <f aca="false">IF(AND(Tasks[[#This Row],[_IsLeaf]]=1,Tasks[[#This Row],[_LeafTotalWork]]&gt;0),NETWORKDAYS.INTL(ProjectStart,Tasks[[#This Row],[_ShownFcstStart]],WorkWeek,Holidays),0)</f>
        <v>0</v>
      </c>
      <c r="FS73" s="42" t="n">
        <f aca="false">IF(AND(Tasks[[#This Row],[_IsLeaf]]=1,Tasks[[#This Row],[_LeafTotalWork]]&gt;0),MAX(Tasks[[#This Row],[_StartWorkday]],NETWORKDAYS.INTL(ProjectStart,Tasks[[#This Row],[_ShownFcstFinish]],WorkWeek,Holidays)),0)</f>
        <v>0</v>
      </c>
      <c r="FT73" s="42" t="n">
        <f aca="false">IF(AND(Tasks[[#This Row],[_IsLeaf]]=1,Tasks[[#This Row],[_LeafTotalWork]]&gt;0),Tasks[[#This Row],[_LeafWork]]/(Tasks[[#This Row],[_FinishWorkday]]-Tasks[[#This Row],[_StartWorkday]]+1),0)</f>
        <v>0</v>
      </c>
      <c r="FU73" s="42" t="n">
        <f aca="false">Tasks[[#This Row],[_WorkPerWorkday]]*(Tasks[[#This Row],[_StartWorkday]]-1)</f>
        <v>-0</v>
      </c>
      <c r="FV73" s="42" t="n">
        <f aca="false">IF(Tasks[[#This Row],[_IsLeaf]]=1,MAX(N(Tasks[[#This Row],[_Days]]),0.1),0)</f>
        <v>0</v>
      </c>
      <c r="FW73" s="42" t="n">
        <f aca="false">Tasks[[#This Row],[_WeightDur]]*Tasks[[#This Row],[_LeafProgress]]</f>
        <v>0</v>
      </c>
      <c r="FX73" s="42" t="n">
        <f aca="false">Tasks[[#This Row],[_WeightDur]]*Tasks[[#This Row],[_PlannedPct]]</f>
        <v>0</v>
      </c>
      <c r="FY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3" s="42" t="str">
        <f aca="false">IF(AND(Tasks[[#This Row],[_IsLeaf]]=1,N(Tasks[[#This Row],[_Days]])=0,Tasks[[#This Row],[_LeafProgress]]&lt;1),Tasks[[#This Row],[_ShownFcstFinish]]+Tasks[[#This Row],[_Row]]/100000,"")</f>
        <v/>
      </c>
      <c r="GA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3" s="42" t="str">
        <f aca="false">IF(Tasks[[#This Row],[Task Name]]="","",LEFT(Tasks[[#This Row],[WBS]],FIND(".",Tasks[[#This Row],[WBS]]&amp;".")-1))</f>
        <v/>
      </c>
      <c r="GC73" s="42" t="str">
        <f aca="false">IF(AND(Tasks[[#This Row],[Task Name]]&lt;&gt;"",Tasks[[#This Row],[_Level]]=1),Tasks[[#This Row],[_Row]],"")</f>
        <v/>
      </c>
      <c r="GD73" s="42" t="str">
        <f aca="false">IF(AND(Tasks[[#This Row],[_IsLeaf]]=1,N(Tasks[[#This Row],[_Days]])=0),Tasks[[#This Row],[Planned Finish]]+Tasks[[#This Row],[_Row]]/100000,"")</f>
        <v/>
      </c>
      <c r="GE73" s="42" t="str">
        <f aca="false">IF(AND(Tasks[[#This Row],[_IsLeaf]]=1,Tasks[[#This Row],[_LeafProgress]]&lt;1,OR(N(Tasks[[#This Row],[Finish Var]])&gt;0,Tasks[[#This Row],[Status]]="Late Start")),MAX(0,Tasks[[#This Row],[Finish Var]])+1-Tasks[[#This Row],[_Row]]/1000000,"")</f>
        <v/>
      </c>
      <c r="GF73" s="42" t="str">
        <f aca="false">IF(AND(Tasks[[#This Row],[_IsLeaf]]=1,N(Tasks[[#This Row],[Actual Start]])=0,Tasks[[#This Row],[_ShownFcstStart]]&gt;=StatusDate,Tasks[[#This Row],[_ShownFcstStart]]&lt;=LookaheadEnd),Tasks[[#This Row],[_ShownFcstStart]]+Tasks[[#This Row],[_Row]]/100000,"")</f>
        <v/>
      </c>
      <c r="GG73" s="42" t="str">
        <f aca="false">IF(AND(Tasks[[#This Row],[_IsLeaf]]=1,Tasks[[#This Row],[_LeafProgress]]&lt;1,Tasks[[#This Row],[_ShownFcstFinish]]&gt;=StatusDate,Tasks[[#This Row],[_ShownFcstFinish]]&lt;=LookaheadEnd),Tasks[[#This Row],[_ShownFcstFinish]]+Tasks[[#This Row],[_Row]]/100000,"")</f>
        <v/>
      </c>
      <c r="GH73" s="42" t="str">
        <f aca="false">IF(Tasks[[#This Row],[_LeafCritical]],Tasks[[#This Row],[_ShownFcstStart]]+Tasks[[#This Row],[_Row]]/100000,"")</f>
        <v/>
      </c>
      <c r="GI73" s="42" t="n">
        <f aca="false">Tasks[[#This Row],[_LeafWork]]*Tasks[[#This Row],[_LeafProgress]]</f>
        <v>0</v>
      </c>
      <c r="GJ73" s="89" t="str">
        <f aca="false">IF(AND(Tasks[[#This Row],[_IsLeaf]]=1,Tasks[[#This Row],[_LeafProgress]]&gt;=1),IF(N(Tasks[[#This Row],[Actual Finish]])&gt;0,Tasks[[#This Row],[Actual Finish]],Tasks[[#This Row],[_ShownFcstFinish]]),"")</f>
        <v/>
      </c>
      <c r="GK73" s="42" t="n">
        <f aca="false">IF(Tasks[[#This Row],[_IsLeaf]]=1,N(Tasks[[#This Row],[Story Points]]),0)</f>
        <v>0</v>
      </c>
      <c r="GL73" s="42" t="str">
        <f aca="false">""</f>
        <v/>
      </c>
      <c r="GM73" s="88" t="b">
        <f aca="false">IF(Tasks[[#This Row],[Task Name]]="",FALSE(),AND(Tasks[[#This Row],[_IsLeaf]]=1,N(Tasks[[#This Row],[_Days]])=0))</f>
        <v>0</v>
      </c>
      <c r="GN73" s="89" t="n">
        <f aca="false">IF(Tasks[[#This Row],[Task Name]]="",0,IF(AND(Tasks[[#This Row],[_IsLeaf]]=1,NOT(Tasks[[#This Row],[_IsMilestone]]),N(Tasks[[#This Row],[Progress]])&gt;0),Tasks[[#This Row],[Start]],0))</f>
        <v>0</v>
      </c>
      <c r="GO73" s="89" t="n">
        <f aca="false">IF(Tasks[[#This Row],[_DoneFrom]]=0,0,IF(Tasks[[#This Row],[Progress]]&gt;=1,Tasks[[#This Row],[Finish]],MAX(Tasks[[#This Row],[_DoneFrom]],Tasks[[#This Row],[Start]]+ROUND((Tasks[[#This Row],[Finish]]-Tasks[[#This Row],[Start]]+1)*Tasks[[#This Row],[Progress]],0)-1)))</f>
        <v>0</v>
      </c>
      <c r="GP73" s="89" t="n">
        <f aca="false">IF(Tasks[[#This Row],[Task Name]]="",0,IF(OR(NOT(Tasks[[#This Row],[_IsLeaf]]=1),Tasks[[#This Row],[_IsMilestone]],N(Tasks[[#This Row],[Progress]])&gt;=1),0,IF(Tasks[[#This Row],[_DoneTo]]&gt;0,Tasks[[#This Row],[_DoneTo]]+1,Tasks[[#This Row],[Start]])))</f>
        <v>0</v>
      </c>
      <c r="GQ73" s="89" t="n">
        <f aca="false">IF(Tasks[[#This Row],[_RemFrom]]=0,0,Tasks[[#This Row],[Finish]])</f>
        <v>0</v>
      </c>
      <c r="GR73" s="88" t="b">
        <f aca="false">IF(Tasks[[#This Row],[Task Name]]="",FALSE(),OR(NOT(BaselineSet),N(Tasks[[#This Row],[Baseline Start]])&gt;0))</f>
        <v>0</v>
      </c>
      <c r="GS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3" s="90" t="str">
        <f aca="false">IF(Tasks[[#This Row],[_IsLeaf]]=1,Tasks[[#This Row],[_Row]],"")</f>
        <v/>
      </c>
      <c r="GW73" s="90" t="str">
        <f aca="false">IFERROR(INDEX(Tasks[UID],SMALL(Tasks[_PickKey],Tasks[[#This Row],[_Row]]))&amp;" "&amp;INDEX(Tasks[Task Name],SMALL(Tasks[_PickKey],Tasks[[#This Row],[_Row]])),"")</f>
        <v/>
      </c>
      <c r="GX73" s="42" t="str">
        <f aca="false">IF(Tasks[[#This Row],[Task Name]]="","",IF(Tasks[[#This Row],[_IsSummary]],NETWORKDAYS.INTL(Tasks[[#This Row],[Start]],Tasks[[#This Row],[Finish]],WorkWeek,Holidays),N(Tasks[[#This Row],[_Days]])))</f>
        <v/>
      </c>
    </row>
    <row r="74" customFormat="false" ht="15" hidden="false" customHeight="false" outlineLevel="0" collapsed="false">
      <c r="A74" s="21" t="str">
        <f aca="false">IF(Tasks[[#This Row],[Task Name]]="","",COUNTA(Tasks[[#Headers],[Task Name]]:Tasks[[#This Row],[Task Name]])-1)</f>
        <v/>
      </c>
      <c r="B74" s="22" t="n">
        <v>82</v>
      </c>
      <c r="C74" s="22"/>
      <c r="D74" s="23"/>
      <c r="E74" s="22"/>
      <c r="F74" s="23"/>
      <c r="G74" s="22"/>
      <c r="H74" s="22"/>
      <c r="I74" s="23"/>
      <c r="J74" s="22"/>
      <c r="K74" s="22"/>
      <c r="L74" s="23"/>
      <c r="M74" s="22"/>
      <c r="N74" s="22"/>
      <c r="O74" s="23"/>
      <c r="P74" s="22"/>
      <c r="Q74" s="22"/>
      <c r="R74" s="23"/>
      <c r="S74" s="23"/>
      <c r="T74" s="83"/>
      <c r="U74" s="23"/>
      <c r="V74" s="83"/>
      <c r="W74" s="23"/>
      <c r="X74" s="83"/>
      <c r="Y74" s="23"/>
      <c r="Z74" s="83"/>
      <c r="AA74" s="23"/>
      <c r="AB74" s="23"/>
      <c r="AC74" s="7"/>
      <c r="AD74" s="7"/>
      <c r="AE74" s="62" t="str">
        <f aca="false">IF(Tasks[[#This Row],[Task Name]]="","",IF(Tasks[[#This Row],[_IsSummary]],MIN(INDEX(Tasks[_ShownFcstStart],Tasks[[#This Row],[_Row]]+1):INDEX(Tasks[_ShownFcstStart],Tasks[[#This Row],[_Row]]+Tasks[[#This Row],[_Descendants]])),Tasks[[#This Row],[_ShownFcstStart]]))</f>
        <v/>
      </c>
      <c r="AF74" s="62" t="str">
        <f aca="false">IF(Tasks[[#This Row],[Task Name]]="","",IF(Tasks[[#This Row],[_IsSummary]],MAX(INDEX(Tasks[_ShownFcstFinish],Tasks[[#This Row],[_Row]]+1):INDEX(Tasks[_ShownFcstFinish],Tasks[[#This Row],[_Row]]+Tasks[[#This Row],[_Descendants]])),Tasks[[#This Row],[_ShownFcstFinish]]))</f>
        <v/>
      </c>
      <c r="AG74" s="21" t="str">
        <f aca="false">""</f>
        <v/>
      </c>
      <c r="AH74" s="23"/>
      <c r="AI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4" s="7"/>
      <c r="AK74" s="22"/>
      <c r="AL74" s="23"/>
      <c r="AM74" s="7"/>
      <c r="AN74" s="46" t="str">
        <f aca="false">IF(Tasks[[#This Row],[Task Name]]="","",IF(Tasks[[#This Row],[Finish]]&gt;=Tasks[[#This Row],[Planned Finish]],NETWORKDAYS.INTL(Tasks[[#This Row],[Planned Finish]],Tasks[[#This Row],[Finish]],WorkWeek,Holidays)-1,1-NETWORKDAYS.INTL(Tasks[[#This Row],[Finish]],Tasks[[#This Row],[Planned Finish]],WorkWeek,Holidays)))</f>
        <v/>
      </c>
      <c r="AO74" s="21" t="str">
        <f aca="false">IF(Tasks[[#This Row],[Task Name]]="","",IF(Tasks[[#This Row],[Progress]]&gt;=1,"Complete",IF(OR(N(Tasks[[#This Row],[Actual Start]])&gt;0,Tasks[[#This Row],[Progress]]&gt;0),IF(Tasks[[#This Row],[Finish Var]]&gt;0,"Behind","In Progress"),IF(Tasks[[#This Row],[Planned Start]]&lt;StatusDate,"Late Start","Not Started"))))</f>
        <v/>
      </c>
      <c r="AP74" s="21" t="str">
        <f aca="false">IF(Tasks[[#This Row],[Task Name]]="","",IF(IF(Tasks[[#This Row],[_IsSummary]],COUNTIF(INDEX(Tasks[_LeafCritical],Tasks[[#This Row],[_Row]]+1):INDEX(Tasks[_LeafCritical],Tasks[[#This Row],[_Row]]+Tasks[[#This Row],[_Descendants]]),TRUE())&gt;0,Tasks[[#This Row],[_LeafCritical]]),"Yes",""))</f>
        <v/>
      </c>
      <c r="AQ74" s="62" t="str">
        <f aca="false">IF(Tasks[[#This Row],[Task Name]]="","",IF(N(Tasks[[#This Row],[Baseline Start]])&gt;0,Tasks[[#This Row],[Baseline Start]],Tasks[[#This Row],[_CalcStart]]))</f>
        <v/>
      </c>
      <c r="AR74" s="62" t="str">
        <f aca="false">IF(Tasks[[#This Row],[Task Name]]="","",IF(N(Tasks[[#This Row],[Baseline Finish]])&gt;0,Tasks[[#This Row],[Baseline Finish]],Tasks[[#This Row],[_CalcFinish]]))</f>
        <v/>
      </c>
      <c r="AS74" s="46" t="str">
        <f aca="false">IF(Tasks[[#This Row],[Task Name]]="","",IF(Tasks[[#This Row],[Start]]&gt;=Tasks[[#This Row],[Planned Start]],NETWORKDAYS.INTL(Tasks[[#This Row],[Planned Start]],Tasks[[#This Row],[Start]],WorkWeek,Holidays)-1,1-NETWORKDAYS.INTL(Tasks[[#This Row],[Start]],Tasks[[#This Row],[Planned Start]],WorkWeek,Holidays)))</f>
        <v/>
      </c>
      <c r="AT74" s="62" t="str">
        <f aca="false">IF(Tasks[[#This Row],[Task Name]]="","",IF(Tasks[[#This Row],[_IsSummary]],MIN(INDEX(Tasks[_LeafLateStart],Tasks[[#This Row],[_Row]]+1):INDEX(Tasks[_LeafLateStart],Tasks[[#This Row],[_Row]]+Tasks[[#This Row],[_Descendants]])),Tasks[[#This Row],[_LeafLateStart]]))</f>
        <v/>
      </c>
      <c r="AU74" s="62" t="str">
        <f aca="false">IF(Tasks[[#This Row],[Task Name]]="","",IF(Tasks[[#This Row],[_IsSummary]],MAX(INDEX(Tasks[_LeafLateFinish],Tasks[[#This Row],[_Row]]+1):INDEX(Tasks[_LeafLateFinish],Tasks[[#This Row],[_Row]]+Tasks[[#This Row],[_Descendants]])),Tasks[[#This Row],[_LeafLateFinish]]))</f>
        <v/>
      </c>
      <c r="AV74" s="46" t="str">
        <f aca="false">IF(Tasks[[#This Row],[Task Name]]="","",IF(Tasks[[#This Row],[_IsSummary]],MIN(INDEX(Tasks[_LeafTotalSlack],Tasks[[#This Row],[_Row]]+1):INDEX(Tasks[_LeafTotalSlack],Tasks[[#This Row],[_Row]]+Tasks[[#This Row],[_Descendants]])),Tasks[[#This Row],[_LeafTotalSlack]]))</f>
        <v/>
      </c>
      <c r="AW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4"/>
      <c r="BA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t="str">
        <f aca="false">IF(Tasks[[#This Row],[Task Name]]="","",IF(Tasks[[#This Row],[_Level]]&lt;=OutlineShowLevel,"Yes","No"))</f>
        <v/>
      </c>
      <c r="BE74" s="85" t="str">
        <f aca="false">IF(Tasks[[#This Row],[Task Name]]="","",IF(Tasks[[#This Row],[_IsSummary]],SUM(INDEX(Tasks[_LeafTotalWork],Tasks[[#This Row],[_Row]]+1):INDEX(Tasks[_LeafTotalWork],Tasks[[#This Row],[_Row]]+Tasks[[#This Row],[_Descendants]])),Tasks[[#This Row],[_LeafTotalWork]]))</f>
        <v/>
      </c>
      <c r="BF74" s="23"/>
      <c r="BG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t="str">
        <f aca="false">""</f>
        <v/>
      </c>
      <c r="BI74" s="86"/>
      <c r="BJ74" s="22"/>
      <c r="BK74" s="46" t="str">
        <f aca="false">IF(OR(Tasks[[#This Row],[Task Name]]="",Tasks[[#This Row],[Baseline Duration]]=""),"",Tasks[[#This Row],[_SpanDays]]-N(Tasks[[#This Row],[Baseline Duration]]))</f>
        <v/>
      </c>
      <c r="BL74" s="85" t="str">
        <f aca="false">IF(OR(Tasks[[#This Row],[Task Name]]="",Tasks[[#This Row],[Baseline Work]]=""),"",Tasks[[#This Row],[Work]]-N(Tasks[[#This Row],[Baseline Work]]))</f>
        <v/>
      </c>
      <c r="BM74" s="62" t="str">
        <f aca="false">IF(Tasks[[#This Row],[Task Name]]="","",IF(OR(TakeBaseline="Yes",N(Tasks[[#This Row],[Baseline Start]])=0),Tasks[[#This Row],[Start]],Tasks[[#This Row],[Baseline Start]]))</f>
        <v/>
      </c>
      <c r="BN74" s="62" t="str">
        <f aca="false">IF(Tasks[[#This Row],[Task Name]]="","",IF(OR(TakeBaseline="Yes",N(Tasks[[#This Row],[Baseline Finish]])=0),Tasks[[#This Row],[Finish]],Tasks[[#This Row],[Baseline Finish]]))</f>
        <v/>
      </c>
      <c r="BO74" s="21" t="str">
        <f aca="false">IF(Tasks[[#This Row],[Task Name]]="","",IF(OR(TakeBaseline="Yes",N(Tasks[[#This Row],[Baseline Duration]])=0),Tasks[[#This Row],[_SpanDays]],Tasks[[#This Row],[Baseline Duration]]))</f>
        <v/>
      </c>
      <c r="BP74" s="85" t="str">
        <f aca="false">IF(Tasks[[#This Row],[Task Name]]="","",IF(OR(TakeBaseline="Yes",N(Tasks[[#This Row],[Baseline Work]])=0),Tasks[[#This Row],[Work]],Tasks[[#This Row],[Baseline Work]]))</f>
        <v/>
      </c>
      <c r="BQ74" s="7"/>
      <c r="BR74" s="7"/>
      <c r="BS74" s="22"/>
      <c r="BT74" s="87"/>
      <c r="BU74" s="42" t="str">
        <f aca="false">IF(Tasks[[#This Row],[Task Name]]="","",MAX(1,N(Tasks[[#This Row],[Level]])))</f>
        <v/>
      </c>
      <c r="BV74" s="42" t="n">
        <f aca="false">ROW()-ROW(Tasks[[#Headers],[ID]])</f>
        <v>69</v>
      </c>
      <c r="BW74" s="42" t="n">
        <f aca="false">IF(OR(Tasks[[#This Row],[Task Name]]="",Tasks[[#This Row],[_Level]]&lt;=1),0,IFERROR(LOOKUP(2,1/(Tasks[[#Headers],[_Level]]:Tasks[[#This Row],[_Level]]=Tasks[[#This Row],[_Level]]-1),ROW(Tasks[[#Headers],[_Level]]:Tasks[[#This Row],[_Level]])),0))</f>
        <v>0</v>
      </c>
      <c r="BX74" s="42" t="n">
        <f aca="false">IFERROR(N(INDEX(Tasks[_Level],Tasks[[#This Row],[_Row]]+1)),0)</f>
        <v>0</v>
      </c>
      <c r="BY74" s="88" t="b">
        <f aca="false">AND(Tasks[[#This Row],[Task Name]]&lt;&gt;"",Tasks[[#This Row],[_NextLevel]]&gt;Tasks[[#This Row],[_Level]])</f>
        <v>0</v>
      </c>
      <c r="BZ74" s="42" t="n">
        <f aca="false">IF(Tasks[[#This Row],[_IsSummary]],COUNTIF(Tasks[WBS],Tasks[[#This Row],[WBS]]&amp;".*"),0)</f>
        <v>0</v>
      </c>
      <c r="CA74" s="42" t="n">
        <f aca="false">IF(AND(Tasks[[#This Row],[Task Name]]&lt;&gt;"",NOT(Tasks[[#This Row],[_IsSummary]])),1,0)</f>
        <v>0</v>
      </c>
      <c r="CB74" s="42" t="n">
        <f aca="false">IF(N(Tasks[[#This Row],[_Pred1UID]])=0,0,IFERROR(MATCH(Tasks[[#This Row],[_Pred1UID]],Tasks[UID],0),-1))</f>
        <v>0</v>
      </c>
      <c r="CC74" s="42" t="n">
        <f aca="false">IF(N(Tasks[[#This Row],[_Pred2UID]])=0,0,IFERROR(MATCH(Tasks[[#This Row],[_Pred2UID]],Tasks[UID],0),-1))</f>
        <v>0</v>
      </c>
      <c r="CD74" s="42" t="n">
        <f aca="false">IF(N(Tasks[[#This Row],[_Pred3UID]])=0,0,IFERROR(MATCH(Tasks[[#This Row],[_Pred3UID]],Tasks[UID],0),-1))</f>
        <v>0</v>
      </c>
      <c r="CE74" s="42" t="n">
        <f aca="false">IF(N(Tasks[[#This Row],[_Pred4UID]])=0,0,IFERROR(MATCH(Tasks[[#This Row],[_Pred4UID]],Tasks[UID],0),-1))</f>
        <v>0</v>
      </c>
      <c r="CF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4" s="89" t="n">
        <f aca="false">IF(OR(Tasks[[#This Row],[_ConstraintCode]]=2,Tasks[[#This Row],[_ConstraintCode]]=3,Tasks[[#This Row],[_ConstraintCode]]=4,Tasks[[#This Row],[_ConstraintCode]]=6),Tasks[[#This Row],[_ConstraintStart]],0)</f>
        <v>0</v>
      </c>
      <c r="CI74" s="89" t="n">
        <f aca="false">IF(OR(Tasks[[#This Row],[_ConstraintCode]]=2,Tasks[[#This Row],[_ConstraintCode]]=3,Tasks[[#This Row],[_ConstraintCode]]=5,Tasks[[#This Row],[_ConstraintCode]]=7),Tasks[[#This Row],[_ConstraintStart]],2958465)</f>
        <v>2958465</v>
      </c>
      <c r="CJ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4" s="89" t="str">
        <f aca="false">IF(NOT(Tasks[[#This Row],[_IsLeaf]]=1),"",IF(N(Tasks[[#This Row],[_Days]])&lt;=0,Tasks[[#This Row],[_LeafCalcStart]],WORKDAY.INTL(Tasks[[#This Row],[_LeafCalcStart]],Tasks[[#This Row],[_Days]]-1,WorkWeek,Holidays)))</f>
        <v/>
      </c>
      <c r="CL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4" s="42" t="str">
        <f aca="false">IF(Tasks[[#This Row],[_Predecessors]]="","",TRIM(MID(SUBSTITUTE(SUBSTITUTE(SUBSTITUTE(UPPER(Tasks[[#This Row],[_Predecessors]]),";",",")," ",""),",",REPT(" ",99)),1,99)))</f>
        <v/>
      </c>
      <c r="CO74" s="42" t="str">
        <f aca="false">IF(Tasks[[#This Row],[_Pred1Text]]="","",IFERROR(VALUE(LEFT(Tasks[[#This Row],[_Pred1Text]],MIN(FIND("F",Tasks[[#This Row],[_Pred1Text]]&amp;"F"),FIND("S",Tasks[[#This Row],[_Pred1Text]]&amp;"S"),FIND("+",Tasks[[#This Row],[_Pred1Text]]&amp;"+"),FIND("-",Tasks[[#This Row],[_Pred1Text]]&amp;"-"))-1)),""))</f>
        <v/>
      </c>
      <c r="CP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4" s="42" t="str">
        <f aca="false">IF(Tasks[[#This Row],[_Pred1Text]]="","",TRIM(MID(SUBSTITUTE(SUBSTITUTE(SUBSTITUTE(UPPER(Tasks[[#This Row],[_Predecessors]]),";",",")," ",""),",",REPT(" ",99)),100,99)))</f>
        <v/>
      </c>
      <c r="CS74" s="42" t="str">
        <f aca="false">IF(Tasks[[#This Row],[_Pred2Text]]="","",IFERROR(VALUE(LEFT(Tasks[[#This Row],[_Pred2Text]],MIN(FIND("F",Tasks[[#This Row],[_Pred2Text]]&amp;"F"),FIND("S",Tasks[[#This Row],[_Pred2Text]]&amp;"S"),FIND("+",Tasks[[#This Row],[_Pred2Text]]&amp;"+"),FIND("-",Tasks[[#This Row],[_Pred2Text]]&amp;"-"))-1)),""))</f>
        <v/>
      </c>
      <c r="CT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4" s="42" t="str">
        <f aca="false">IF(Tasks[[#This Row],[_Pred2Text]]="","",TRIM(MID(SUBSTITUTE(SUBSTITUTE(SUBSTITUTE(UPPER(Tasks[[#This Row],[_Predecessors]]),";",",")," ",""),",",REPT(" ",99)),199,99)))</f>
        <v/>
      </c>
      <c r="CW74" s="42" t="str">
        <f aca="false">IF(Tasks[[#This Row],[_Pred3Text]]="","",IFERROR(VALUE(LEFT(Tasks[[#This Row],[_Pred3Text]],MIN(FIND("F",Tasks[[#This Row],[_Pred3Text]]&amp;"F"),FIND("S",Tasks[[#This Row],[_Pred3Text]]&amp;"S"),FIND("+",Tasks[[#This Row],[_Pred3Text]]&amp;"+"),FIND("-",Tasks[[#This Row],[_Pred3Text]]&amp;"-"))-1)),""))</f>
        <v/>
      </c>
      <c r="CX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4" s="42" t="str">
        <f aca="false">IF(Tasks[[#This Row],[_Pred3Text]]="","",TRIM(MID(SUBSTITUTE(SUBSTITUTE(SUBSTITUTE(UPPER(Tasks[[#This Row],[_Predecessors]]),";",",")," ",""),",",REPT(" ",99)),298,99)))</f>
        <v/>
      </c>
      <c r="DA74" s="42" t="str">
        <f aca="false">IF(Tasks[[#This Row],[_Pred4Text]]="","",IFERROR(VALUE(LEFT(Tasks[[#This Row],[_Pred4Text]],MIN(FIND("F",Tasks[[#This Row],[_Pred4Text]]&amp;"F"),FIND("S",Tasks[[#This Row],[_Pred4Text]]&amp;"S"),FIND("+",Tasks[[#This Row],[_Pred4Text]]&amp;"+"),FIND("-",Tasks[[#This Row],[_Pred4Text]]&amp;"-"))-1)),""))</f>
        <v/>
      </c>
      <c r="DB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4" s="42" t="str">
        <f aca="false">IF(OR(Tasks[[#This Row],[Task Name]]="",Tasks[[#This Row],[_Resources]]=""),"",TRIM(MID(SUBSTITUTE(Tasks[[#This Row],[_Resources]],",",REPT(" ",99)),1,99)))</f>
        <v/>
      </c>
      <c r="DE74" s="42" t="str">
        <f aca="false">IF(Tasks[[#This Row],[_Res1Text]]="","",TRIM(MID(SUBSTITUTE(Tasks[[#This Row],[_Resources]],",",REPT(" ",99)),100,99)))</f>
        <v/>
      </c>
      <c r="DF74" s="42" t="str">
        <f aca="false">IF(Tasks[[#This Row],[_Res2Text]]="","",TRIM(MID(SUBSTITUTE(Tasks[[#This Row],[_Resources]],",",REPT(" ",99)),199,99)))</f>
        <v/>
      </c>
      <c r="DG74" s="42" t="str">
        <f aca="false">IF(Tasks[[#This Row],[_Res3Text]]="","",TRIM(MID(SUBSTITUTE(Tasks[[#This Row],[_Resources]],",",REPT(" ",99)),298,99)))</f>
        <v/>
      </c>
      <c r="DH74" s="42" t="n">
        <f aca="false">IF(Tasks[[#This Row],[_Res1Text]]="",0,IFERROR(MATCH(TRIM(LEFT(Tasks[[#This Row],[_Res1Text]],FIND("[",Tasks[[#This Row],[_Res1Text]]&amp;"[")-1)),res_Name,0),IFERROR(MATCH(TRIM(LEFT(Tasks[[#This Row],[_Res1Text]],FIND("[",Tasks[[#This Row],[_Res1Text]]&amp;"[")-1)),res_Initials,0),0)))</f>
        <v>0</v>
      </c>
      <c r="DI74" s="42" t="n">
        <f aca="false">IF(Tasks[[#This Row],[_Res2Text]]="",0,IFERROR(MATCH(TRIM(LEFT(Tasks[[#This Row],[_Res2Text]],FIND("[",Tasks[[#This Row],[_Res2Text]]&amp;"[")-1)),res_Name,0),IFERROR(MATCH(TRIM(LEFT(Tasks[[#This Row],[_Res2Text]],FIND("[",Tasks[[#This Row],[_Res2Text]]&amp;"[")-1)),res_Initials,0),0)))</f>
        <v>0</v>
      </c>
      <c r="DJ74" s="42" t="n">
        <f aca="false">IF(Tasks[[#This Row],[_Res3Text]]="",0,IFERROR(MATCH(TRIM(LEFT(Tasks[[#This Row],[_Res3Text]],FIND("[",Tasks[[#This Row],[_Res3Text]]&amp;"[")-1)),res_Name,0),IFERROR(MATCH(TRIM(LEFT(Tasks[[#This Row],[_Res3Text]],FIND("[",Tasks[[#This Row],[_Res3Text]]&amp;"[")-1)),res_Initials,0),0)))</f>
        <v>0</v>
      </c>
      <c r="DK74" s="42" t="n">
        <f aca="false">IF(Tasks[[#This Row],[_Res4Text]]="",0,IFERROR(MATCH(TRIM(LEFT(Tasks[[#This Row],[_Res4Text]],FIND("[",Tasks[[#This Row],[_Res4Text]]&amp;"[")-1)),res_Name,0),IFERROR(MATCH(TRIM(LEFT(Tasks[[#This Row],[_Res4Text]],FIND("[",Tasks[[#This Row],[_Res4Text]]&amp;"[")-1)),res_Initials,0),0)))</f>
        <v>0</v>
      </c>
      <c r="DL74" s="42" t="str">
        <f aca="false">IF(Tasks[[#This Row],[_Res1Text]]="","",IF(Tasks[[#This Row],[_Res1Row]]&gt;0,INDEX(res_Name,Tasks[[#This Row],[_Res1Row]]),TRIM(LEFT(Tasks[[#This Row],[_Res1Text]],FIND("[",Tasks[[#This Row],[_Res1Text]]&amp;"[")-1))))</f>
        <v/>
      </c>
      <c r="DM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4" s="42" t="n">
        <f aca="false">IF(NOT(Tasks[[#This Row],[_IsLeaf]]=1),0,(Tasks[[#This Row],[_Resource1]]&lt;&gt;"")+(Tasks[[#This Row],[_Res2]]&lt;&gt;"")+(Tasks[[#This Row],[_Res3]]&lt;&gt;"")+(Tasks[[#This Row],[_Res4]]&lt;&gt;""))</f>
        <v>0</v>
      </c>
      <c r="DO74" s="42" t="str">
        <f aca="false">IF(Tasks[[#This Row],[_Res2Text]]="","",IF(Tasks[[#This Row],[_Res2Row]]&gt;0,INDEX(res_Name,Tasks[[#This Row],[_Res2Row]]),TRIM(LEFT(Tasks[[#This Row],[_Res2Text]],FIND("[",Tasks[[#This Row],[_Res2Text]]&amp;"[")-1))))</f>
        <v/>
      </c>
      <c r="DP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4" s="42" t="n">
        <f aca="false">IF(OR(NOT(Tasks[[#This Row],[_IsLeaf]]=1),Tasks[[#This Row],[_Res2Row]]=0),0,N(Tasks[[#This Row],[_Days]])*HoursPerDay*IF(Tasks[[#This Row],[_Res2Units]]="",DefaultUnits,Tasks[[#This Row],[_Res2Units]]))</f>
        <v>0</v>
      </c>
      <c r="DR74" s="42" t="n">
        <f aca="false">IF(AND(AND(Tasks[[#This Row],[_IsLeaf]]=1,Tasks[[#This Row],[_LeafTotalWork]]&gt;0),Tasks[[#This Row],[_Res2Work]]&gt;0),Tasks[[#This Row],[_Res2Work]]/(Tasks[[#This Row],[_FinishWorkday]]-Tasks[[#This Row],[_StartWorkday]]+1),0)</f>
        <v>0</v>
      </c>
      <c r="DS74" s="42" t="n">
        <f aca="false">Tasks[[#This Row],[_Res2WorkPerWD]]*MAX(0,Tasks[[#This Row],[_StartWorkday]]-1)</f>
        <v>0</v>
      </c>
      <c r="DT74" s="42" t="n">
        <f aca="false">Tasks[[#This Row],[_Res2Work]]*Tasks[[#This Row],[_LeafProgress]]</f>
        <v>0</v>
      </c>
      <c r="DU74" s="42" t="str">
        <f aca="false">IF(Tasks[[#This Row],[_Res3Text]]="","",IF(Tasks[[#This Row],[_Res3Row]]&gt;0,INDEX(res_Name,Tasks[[#This Row],[_Res3Row]]),TRIM(LEFT(Tasks[[#This Row],[_Res3Text]],FIND("[",Tasks[[#This Row],[_Res3Text]]&amp;"[")-1))))</f>
        <v/>
      </c>
      <c r="DV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4" s="42" t="n">
        <f aca="false">IF(OR(NOT(Tasks[[#This Row],[_IsLeaf]]=1),Tasks[[#This Row],[_Res3Row]]=0),0,N(Tasks[[#This Row],[_Days]])*HoursPerDay*IF(Tasks[[#This Row],[_Res3Units]]="",DefaultUnits,Tasks[[#This Row],[_Res3Units]]))</f>
        <v>0</v>
      </c>
      <c r="DX74" s="42" t="n">
        <f aca="false">IF(AND(AND(Tasks[[#This Row],[_IsLeaf]]=1,Tasks[[#This Row],[_LeafTotalWork]]&gt;0),Tasks[[#This Row],[_Res3Work]]&gt;0),Tasks[[#This Row],[_Res3Work]]/(Tasks[[#This Row],[_FinishWorkday]]-Tasks[[#This Row],[_StartWorkday]]+1),0)</f>
        <v>0</v>
      </c>
      <c r="DY74" s="42" t="n">
        <f aca="false">Tasks[[#This Row],[_Res3WorkPerWD]]*MAX(0,Tasks[[#This Row],[_StartWorkday]]-1)</f>
        <v>0</v>
      </c>
      <c r="DZ74" s="42" t="n">
        <f aca="false">Tasks[[#This Row],[_Res3Work]]*Tasks[[#This Row],[_LeafProgress]]</f>
        <v>0</v>
      </c>
      <c r="EA74" s="42" t="str">
        <f aca="false">IF(Tasks[[#This Row],[_Res4Text]]="","",IF(Tasks[[#This Row],[_Res4Row]]&gt;0,INDEX(res_Name,Tasks[[#This Row],[_Res4Row]]),TRIM(LEFT(Tasks[[#This Row],[_Res4Text]],FIND("[",Tasks[[#This Row],[_Res4Text]]&amp;"[")-1))))</f>
        <v/>
      </c>
      <c r="EB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4" s="42" t="n">
        <f aca="false">IF(OR(NOT(Tasks[[#This Row],[_IsLeaf]]=1),Tasks[[#This Row],[_Res4Row]]=0),0,N(Tasks[[#This Row],[_Days]])*HoursPerDay*IF(Tasks[[#This Row],[_Res4Units]]="",DefaultUnits,Tasks[[#This Row],[_Res4Units]]))</f>
        <v>0</v>
      </c>
      <c r="ED74" s="42" t="n">
        <f aca="false">IF(AND(AND(Tasks[[#This Row],[_IsLeaf]]=1,Tasks[[#This Row],[_LeafTotalWork]]&gt;0),Tasks[[#This Row],[_Res4Work]]&gt;0),Tasks[[#This Row],[_Res4Work]]/(Tasks[[#This Row],[_FinishWorkday]]-Tasks[[#This Row],[_StartWorkday]]+1),0)</f>
        <v>0</v>
      </c>
      <c r="EE74" s="42" t="n">
        <f aca="false">Tasks[[#This Row],[_Res4WorkPerWD]]*MAX(0,Tasks[[#This Row],[_StartWorkday]]-1)</f>
        <v>0</v>
      </c>
      <c r="EF74" s="42" t="n">
        <f aca="false">Tasks[[#This Row],[_Res4Work]]*Tasks[[#This Row],[_LeafProgress]]</f>
        <v>0</v>
      </c>
      <c r="EG74" s="42" t="n">
        <f aca="false">IF(ISNUMBER(Tasks[[#This Row],[% Complete]]),Tasks[[#This Row],[% Complete]],IF(Tasks[[#This Row],[Stage]]="",0,IFERROR(INDEX(stg_Pct,MATCH(Tasks[[#This Row],[Stage]],stg_Name,0)),0)))</f>
        <v>0</v>
      </c>
      <c r="EH74" s="42" t="n">
        <f aca="false">IF(NOT(Tasks[[#This Row],[_IsLeaf]]=1),0,IF(N(Tasks[[#This Row],[Actual Finish]])&gt;0,1,MIN(1,Tasks[[#This Row],[_Pct]])))</f>
        <v>0</v>
      </c>
      <c r="EI74" s="42" t="n">
        <f aca="false">IF(OR(NOT(Tasks[[#This Row],[_IsLeaf]]=1),Tasks[[#This Row],[_Res1Row]]=0),0,N(Tasks[[#This Row],[_Days]])*HoursPerDay*IF(Tasks[[#This Row],[_Units1]]="",DefaultUnits,Tasks[[#This Row],[_Units1]]))</f>
        <v>0</v>
      </c>
      <c r="EJ74" s="42" t="n">
        <f aca="false">Tasks[[#This Row],[_LeafWork]]+Tasks[[#This Row],[_Res2Work]]+Tasks[[#This Row],[_Res3Work]]+Tasks[[#This Row],[_Res4Work]]</f>
        <v>0</v>
      </c>
      <c r="EK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4" s="42" t="n">
        <f aca="false">IF(NOT(Tasks[[#This Row],[_IsLeaf]]=1),0,MAX(_xlfn.MAXIFS(Tasks[_Row],Tasks[_Pred1UID],Tasks[[#This Row],[UID]]),_xlfn.MAXIFS(Tasks[_Row],Tasks[_Pred2UID],Tasks[[#This Row],[UID]]),_xlfn.MAXIFS(Tasks[_Row],Tasks[_Pred3UID],Tasks[[#This Row],[UID]]),_xlfn.MAXIFS(Tasks[_Row],Tasks[_Pred4UID],Tasks[[#This Row],[UID]])))</f>
        <v>0</v>
      </c>
      <c r="ET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4" s="89" t="str">
        <f aca="false">IF(NOT(Tasks[[#This Row],[_IsLeaf]]=1),"",IF(N(Tasks[[#This Row],[_Days]])&lt;=0,Tasks[[#This Row],[_LeafLateFinish]],WORKDAY.INTL(Tasks[[#This Row],[_LeafLateFinish]],-(Tasks[[#This Row],[_Days]]-1),WorkWeek,Holidays)))</f>
        <v/>
      </c>
      <c r="EW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4" s="88" t="b">
        <f aca="false">AND(Tasks[[#This Row],[_IsLeaf]]=1,Tasks[[#This Row],[_LeafProgress]]&lt;1,N(Tasks[[#This Row],[_LeafTotalSlack]])&lt;=CriticalSlackDays)</f>
        <v>0</v>
      </c>
      <c r="EY74" s="42" t="n">
        <f aca="false">IF(AND(Tasks[[#This Row],[_IsLeaf]]=1,Tasks[[#This Row],[_ConstraintCode]]=1,Tasks[[#This Row],[Mode]]&lt;&gt;"Manual",N(Tasks[[#This Row],[Actual Start]])=0),MAX(0,N(Tasks[[#This Row],[Free Slack]])),0)</f>
        <v>0</v>
      </c>
      <c r="EZ74" s="89" t="str">
        <f aca="false">IF(NOT(Tasks[[#This Row],[_IsLeaf]]=1),"",IF(Tasks[[#This Row],[_AlapShift]]=0,Tasks[[#This Row],[_LeafCalcStart]],WORKDAY.INTL(Tasks[[#This Row],[_LeafCalcStart]],Tasks[[#This Row],[_AlapShift]],WorkWeek,Holidays)))</f>
        <v/>
      </c>
      <c r="FA74" s="89" t="str">
        <f aca="false">IF(NOT(Tasks[[#This Row],[_IsLeaf]]=1),"",IF(Tasks[[#This Row],[_AlapShift]]=0,Tasks[[#This Row],[_LeafCalcFinish]],WORKDAY.INTL(Tasks[[#This Row],[_LeafCalcFinish]],Tasks[[#This Row],[_AlapShift]],WorkWeek,Holidays)))</f>
        <v/>
      </c>
      <c r="FB74" s="89" t="str">
        <f aca="false">IF(NOT(Tasks[[#This Row],[_IsLeaf]]=1),"",IF(Tasks[[#This Row],[_AlapShift]]=0,Tasks[[#This Row],[_LeafFcstStart]],WORKDAY.INTL(Tasks[[#This Row],[_LeafFcstStart]],Tasks[[#This Row],[_AlapShift]],WorkWeek,Holidays)))</f>
        <v/>
      </c>
      <c r="FC74" s="89" t="str">
        <f aca="false">IF(NOT(Tasks[[#This Row],[_IsLeaf]]=1),"",IF(Tasks[[#This Row],[_AlapShift]]=0,Tasks[[#This Row],[_LeafFcstFinish]],WORKDAY.INTL(Tasks[[#This Row],[_LeafFcstFinish]],Tasks[[#This Row],[_AlapShift]],WorkWeek,Holidays)))</f>
        <v/>
      </c>
      <c r="FD74" s="89" t="str">
        <f aca="false">IF(Tasks[[#This Row],[Task Name]]="","",IF(Tasks[[#This Row],[_IsSummary]],MIN(INDEX(Tasks[_ShownCalcStart],Tasks[[#This Row],[_Row]]+1):INDEX(Tasks[_ShownCalcStart],Tasks[[#This Row],[_Row]]+Tasks[[#This Row],[_Descendants]])),Tasks[[#This Row],[_ShownCalcStart]]))</f>
        <v/>
      </c>
      <c r="FE74" s="89" t="str">
        <f aca="false">IF(Tasks[[#This Row],[Task Name]]="","",IF(Tasks[[#This Row],[_IsSummary]],MAX(INDEX(Tasks[_ShownCalcFinish],Tasks[[#This Row],[_Row]]+1):INDEX(Tasks[_ShownCalcFinish],Tasks[[#This Row],[_Row]]+Tasks[[#This Row],[_Descendants]])),Tasks[[#This Row],[_ShownCalcFinish]]))</f>
        <v/>
      </c>
      <c r="FF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4" s="42" t="n">
        <f aca="false">IF(AND(Tasks[[#This Row],[_IsLeaf]]=1,Tasks[[#This Row],[_LeafTotalWork]]&gt;0),NETWORKDAYS.INTL(ProjectStart,Tasks[[#This Row],[_ShownFcstStart]],WorkWeek,Holidays),0)</f>
        <v>0</v>
      </c>
      <c r="FS74" s="42" t="n">
        <f aca="false">IF(AND(Tasks[[#This Row],[_IsLeaf]]=1,Tasks[[#This Row],[_LeafTotalWork]]&gt;0),MAX(Tasks[[#This Row],[_StartWorkday]],NETWORKDAYS.INTL(ProjectStart,Tasks[[#This Row],[_ShownFcstFinish]],WorkWeek,Holidays)),0)</f>
        <v>0</v>
      </c>
      <c r="FT74" s="42" t="n">
        <f aca="false">IF(AND(Tasks[[#This Row],[_IsLeaf]]=1,Tasks[[#This Row],[_LeafTotalWork]]&gt;0),Tasks[[#This Row],[_LeafWork]]/(Tasks[[#This Row],[_FinishWorkday]]-Tasks[[#This Row],[_StartWorkday]]+1),0)</f>
        <v>0</v>
      </c>
      <c r="FU74" s="42" t="n">
        <f aca="false">Tasks[[#This Row],[_WorkPerWorkday]]*(Tasks[[#This Row],[_StartWorkday]]-1)</f>
        <v>-0</v>
      </c>
      <c r="FV74" s="42" t="n">
        <f aca="false">IF(Tasks[[#This Row],[_IsLeaf]]=1,MAX(N(Tasks[[#This Row],[_Days]]),0.1),0)</f>
        <v>0</v>
      </c>
      <c r="FW74" s="42" t="n">
        <f aca="false">Tasks[[#This Row],[_WeightDur]]*Tasks[[#This Row],[_LeafProgress]]</f>
        <v>0</v>
      </c>
      <c r="FX74" s="42" t="n">
        <f aca="false">Tasks[[#This Row],[_WeightDur]]*Tasks[[#This Row],[_PlannedPct]]</f>
        <v>0</v>
      </c>
      <c r="FY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4" s="42" t="str">
        <f aca="false">IF(AND(Tasks[[#This Row],[_IsLeaf]]=1,N(Tasks[[#This Row],[_Days]])=0,Tasks[[#This Row],[_LeafProgress]]&lt;1),Tasks[[#This Row],[_ShownFcstFinish]]+Tasks[[#This Row],[_Row]]/100000,"")</f>
        <v/>
      </c>
      <c r="GA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4" s="42" t="str">
        <f aca="false">IF(Tasks[[#This Row],[Task Name]]="","",LEFT(Tasks[[#This Row],[WBS]],FIND(".",Tasks[[#This Row],[WBS]]&amp;".")-1))</f>
        <v/>
      </c>
      <c r="GC74" s="42" t="str">
        <f aca="false">IF(AND(Tasks[[#This Row],[Task Name]]&lt;&gt;"",Tasks[[#This Row],[_Level]]=1),Tasks[[#This Row],[_Row]],"")</f>
        <v/>
      </c>
      <c r="GD74" s="42" t="str">
        <f aca="false">IF(AND(Tasks[[#This Row],[_IsLeaf]]=1,N(Tasks[[#This Row],[_Days]])=0),Tasks[[#This Row],[Planned Finish]]+Tasks[[#This Row],[_Row]]/100000,"")</f>
        <v/>
      </c>
      <c r="GE74" s="42" t="str">
        <f aca="false">IF(AND(Tasks[[#This Row],[_IsLeaf]]=1,Tasks[[#This Row],[_LeafProgress]]&lt;1,OR(N(Tasks[[#This Row],[Finish Var]])&gt;0,Tasks[[#This Row],[Status]]="Late Start")),MAX(0,Tasks[[#This Row],[Finish Var]])+1-Tasks[[#This Row],[_Row]]/1000000,"")</f>
        <v/>
      </c>
      <c r="GF74" s="42" t="str">
        <f aca="false">IF(AND(Tasks[[#This Row],[_IsLeaf]]=1,N(Tasks[[#This Row],[Actual Start]])=0,Tasks[[#This Row],[_ShownFcstStart]]&gt;=StatusDate,Tasks[[#This Row],[_ShownFcstStart]]&lt;=LookaheadEnd),Tasks[[#This Row],[_ShownFcstStart]]+Tasks[[#This Row],[_Row]]/100000,"")</f>
        <v/>
      </c>
      <c r="GG74" s="42" t="str">
        <f aca="false">IF(AND(Tasks[[#This Row],[_IsLeaf]]=1,Tasks[[#This Row],[_LeafProgress]]&lt;1,Tasks[[#This Row],[_ShownFcstFinish]]&gt;=StatusDate,Tasks[[#This Row],[_ShownFcstFinish]]&lt;=LookaheadEnd),Tasks[[#This Row],[_ShownFcstFinish]]+Tasks[[#This Row],[_Row]]/100000,"")</f>
        <v/>
      </c>
      <c r="GH74" s="42" t="str">
        <f aca="false">IF(Tasks[[#This Row],[_LeafCritical]],Tasks[[#This Row],[_ShownFcstStart]]+Tasks[[#This Row],[_Row]]/100000,"")</f>
        <v/>
      </c>
      <c r="GI74" s="42" t="n">
        <f aca="false">Tasks[[#This Row],[_LeafWork]]*Tasks[[#This Row],[_LeafProgress]]</f>
        <v>0</v>
      </c>
      <c r="GJ74" s="89" t="str">
        <f aca="false">IF(AND(Tasks[[#This Row],[_IsLeaf]]=1,Tasks[[#This Row],[_LeafProgress]]&gt;=1),IF(N(Tasks[[#This Row],[Actual Finish]])&gt;0,Tasks[[#This Row],[Actual Finish]],Tasks[[#This Row],[_ShownFcstFinish]]),"")</f>
        <v/>
      </c>
      <c r="GK74" s="42" t="n">
        <f aca="false">IF(Tasks[[#This Row],[_IsLeaf]]=1,N(Tasks[[#This Row],[Story Points]]),0)</f>
        <v>0</v>
      </c>
      <c r="GL74" s="42" t="str">
        <f aca="false">""</f>
        <v/>
      </c>
      <c r="GM74" s="88" t="b">
        <f aca="false">IF(Tasks[[#This Row],[Task Name]]="",FALSE(),AND(Tasks[[#This Row],[_IsLeaf]]=1,N(Tasks[[#This Row],[_Days]])=0))</f>
        <v>0</v>
      </c>
      <c r="GN74" s="89" t="n">
        <f aca="false">IF(Tasks[[#This Row],[Task Name]]="",0,IF(AND(Tasks[[#This Row],[_IsLeaf]]=1,NOT(Tasks[[#This Row],[_IsMilestone]]),N(Tasks[[#This Row],[Progress]])&gt;0),Tasks[[#This Row],[Start]],0))</f>
        <v>0</v>
      </c>
      <c r="GO74" s="89" t="n">
        <f aca="false">IF(Tasks[[#This Row],[_DoneFrom]]=0,0,IF(Tasks[[#This Row],[Progress]]&gt;=1,Tasks[[#This Row],[Finish]],MAX(Tasks[[#This Row],[_DoneFrom]],Tasks[[#This Row],[Start]]+ROUND((Tasks[[#This Row],[Finish]]-Tasks[[#This Row],[Start]]+1)*Tasks[[#This Row],[Progress]],0)-1)))</f>
        <v>0</v>
      </c>
      <c r="GP74" s="89" t="n">
        <f aca="false">IF(Tasks[[#This Row],[Task Name]]="",0,IF(OR(NOT(Tasks[[#This Row],[_IsLeaf]]=1),Tasks[[#This Row],[_IsMilestone]],N(Tasks[[#This Row],[Progress]])&gt;=1),0,IF(Tasks[[#This Row],[_DoneTo]]&gt;0,Tasks[[#This Row],[_DoneTo]]+1,Tasks[[#This Row],[Start]])))</f>
        <v>0</v>
      </c>
      <c r="GQ74" s="89" t="n">
        <f aca="false">IF(Tasks[[#This Row],[_RemFrom]]=0,0,Tasks[[#This Row],[Finish]])</f>
        <v>0</v>
      </c>
      <c r="GR74" s="88" t="b">
        <f aca="false">IF(Tasks[[#This Row],[Task Name]]="",FALSE(),OR(NOT(BaselineSet),N(Tasks[[#This Row],[Baseline Start]])&gt;0))</f>
        <v>0</v>
      </c>
      <c r="GS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4" s="90" t="str">
        <f aca="false">IF(Tasks[[#This Row],[_IsLeaf]]=1,Tasks[[#This Row],[_Row]],"")</f>
        <v/>
      </c>
      <c r="GW74" s="90" t="str">
        <f aca="false">IFERROR(INDEX(Tasks[UID],SMALL(Tasks[_PickKey],Tasks[[#This Row],[_Row]]))&amp;" "&amp;INDEX(Tasks[Task Name],SMALL(Tasks[_PickKey],Tasks[[#This Row],[_Row]])),"")</f>
        <v/>
      </c>
      <c r="GX74" s="42" t="str">
        <f aca="false">IF(Tasks[[#This Row],[Task Name]]="","",IF(Tasks[[#This Row],[_IsSummary]],NETWORKDAYS.INTL(Tasks[[#This Row],[Start]],Tasks[[#This Row],[Finish]],WorkWeek,Holidays),N(Tasks[[#This Row],[_Days]])))</f>
        <v/>
      </c>
    </row>
    <row r="75" customFormat="false" ht="15" hidden="false" customHeight="false" outlineLevel="0" collapsed="false">
      <c r="A75" s="21" t="str">
        <f aca="false">IF(Tasks[[#This Row],[Task Name]]="","",COUNTA(Tasks[[#Headers],[Task Name]]:Tasks[[#This Row],[Task Name]])-1)</f>
        <v/>
      </c>
      <c r="B75" s="22" t="n">
        <v>83</v>
      </c>
      <c r="C75" s="22"/>
      <c r="D75" s="23"/>
      <c r="E75" s="22"/>
      <c r="F75" s="23"/>
      <c r="G75" s="22"/>
      <c r="H75" s="22"/>
      <c r="I75" s="23"/>
      <c r="J75" s="22"/>
      <c r="K75" s="22"/>
      <c r="L75" s="23"/>
      <c r="M75" s="22"/>
      <c r="N75" s="22"/>
      <c r="O75" s="23"/>
      <c r="P75" s="22"/>
      <c r="Q75" s="22"/>
      <c r="R75" s="23"/>
      <c r="S75" s="23"/>
      <c r="T75" s="83"/>
      <c r="U75" s="23"/>
      <c r="V75" s="83"/>
      <c r="W75" s="23"/>
      <c r="X75" s="83"/>
      <c r="Y75" s="23"/>
      <c r="Z75" s="83"/>
      <c r="AA75" s="23"/>
      <c r="AB75" s="23"/>
      <c r="AC75" s="7"/>
      <c r="AD75" s="7"/>
      <c r="AE75" s="62" t="str">
        <f aca="false">IF(Tasks[[#This Row],[Task Name]]="","",IF(Tasks[[#This Row],[_IsSummary]],MIN(INDEX(Tasks[_ShownFcstStart],Tasks[[#This Row],[_Row]]+1):INDEX(Tasks[_ShownFcstStart],Tasks[[#This Row],[_Row]]+Tasks[[#This Row],[_Descendants]])),Tasks[[#This Row],[_ShownFcstStart]]))</f>
        <v/>
      </c>
      <c r="AF75" s="62" t="str">
        <f aca="false">IF(Tasks[[#This Row],[Task Name]]="","",IF(Tasks[[#This Row],[_IsSummary]],MAX(INDEX(Tasks[_ShownFcstFinish],Tasks[[#This Row],[_Row]]+1):INDEX(Tasks[_ShownFcstFinish],Tasks[[#This Row],[_Row]]+Tasks[[#This Row],[_Descendants]])),Tasks[[#This Row],[_ShownFcstFinish]]))</f>
        <v/>
      </c>
      <c r="AG75" s="21" t="str">
        <f aca="false">""</f>
        <v/>
      </c>
      <c r="AH75" s="23"/>
      <c r="AI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5" s="7"/>
      <c r="AK75" s="22"/>
      <c r="AL75" s="23"/>
      <c r="AM75" s="7"/>
      <c r="AN75" s="46" t="str">
        <f aca="false">IF(Tasks[[#This Row],[Task Name]]="","",IF(Tasks[[#This Row],[Finish]]&gt;=Tasks[[#This Row],[Planned Finish]],NETWORKDAYS.INTL(Tasks[[#This Row],[Planned Finish]],Tasks[[#This Row],[Finish]],WorkWeek,Holidays)-1,1-NETWORKDAYS.INTL(Tasks[[#This Row],[Finish]],Tasks[[#This Row],[Planned Finish]],WorkWeek,Holidays)))</f>
        <v/>
      </c>
      <c r="AO75" s="21" t="str">
        <f aca="false">IF(Tasks[[#This Row],[Task Name]]="","",IF(Tasks[[#This Row],[Progress]]&gt;=1,"Complete",IF(OR(N(Tasks[[#This Row],[Actual Start]])&gt;0,Tasks[[#This Row],[Progress]]&gt;0),IF(Tasks[[#This Row],[Finish Var]]&gt;0,"Behind","In Progress"),IF(Tasks[[#This Row],[Planned Start]]&lt;StatusDate,"Late Start","Not Started"))))</f>
        <v/>
      </c>
      <c r="AP75" s="21" t="str">
        <f aca="false">IF(Tasks[[#This Row],[Task Name]]="","",IF(IF(Tasks[[#This Row],[_IsSummary]],COUNTIF(INDEX(Tasks[_LeafCritical],Tasks[[#This Row],[_Row]]+1):INDEX(Tasks[_LeafCritical],Tasks[[#This Row],[_Row]]+Tasks[[#This Row],[_Descendants]]),TRUE())&gt;0,Tasks[[#This Row],[_LeafCritical]]),"Yes",""))</f>
        <v/>
      </c>
      <c r="AQ75" s="62" t="str">
        <f aca="false">IF(Tasks[[#This Row],[Task Name]]="","",IF(N(Tasks[[#This Row],[Baseline Start]])&gt;0,Tasks[[#This Row],[Baseline Start]],Tasks[[#This Row],[_CalcStart]]))</f>
        <v/>
      </c>
      <c r="AR75" s="62" t="str">
        <f aca="false">IF(Tasks[[#This Row],[Task Name]]="","",IF(N(Tasks[[#This Row],[Baseline Finish]])&gt;0,Tasks[[#This Row],[Baseline Finish]],Tasks[[#This Row],[_CalcFinish]]))</f>
        <v/>
      </c>
      <c r="AS75" s="46" t="str">
        <f aca="false">IF(Tasks[[#This Row],[Task Name]]="","",IF(Tasks[[#This Row],[Start]]&gt;=Tasks[[#This Row],[Planned Start]],NETWORKDAYS.INTL(Tasks[[#This Row],[Planned Start]],Tasks[[#This Row],[Start]],WorkWeek,Holidays)-1,1-NETWORKDAYS.INTL(Tasks[[#This Row],[Start]],Tasks[[#This Row],[Planned Start]],WorkWeek,Holidays)))</f>
        <v/>
      </c>
      <c r="AT75" s="62" t="str">
        <f aca="false">IF(Tasks[[#This Row],[Task Name]]="","",IF(Tasks[[#This Row],[_IsSummary]],MIN(INDEX(Tasks[_LeafLateStart],Tasks[[#This Row],[_Row]]+1):INDEX(Tasks[_LeafLateStart],Tasks[[#This Row],[_Row]]+Tasks[[#This Row],[_Descendants]])),Tasks[[#This Row],[_LeafLateStart]]))</f>
        <v/>
      </c>
      <c r="AU75" s="62" t="str">
        <f aca="false">IF(Tasks[[#This Row],[Task Name]]="","",IF(Tasks[[#This Row],[_IsSummary]],MAX(INDEX(Tasks[_LeafLateFinish],Tasks[[#This Row],[_Row]]+1):INDEX(Tasks[_LeafLateFinish],Tasks[[#This Row],[_Row]]+Tasks[[#This Row],[_Descendants]])),Tasks[[#This Row],[_LeafLateFinish]]))</f>
        <v/>
      </c>
      <c r="AV75" s="46" t="str">
        <f aca="false">IF(Tasks[[#This Row],[Task Name]]="","",IF(Tasks[[#This Row],[_IsSummary]],MIN(INDEX(Tasks[_LeafTotalSlack],Tasks[[#This Row],[_Row]]+1):INDEX(Tasks[_LeafTotalSlack],Tasks[[#This Row],[_Row]]+Tasks[[#This Row],[_Descendants]])),Tasks[[#This Row],[_LeafTotalSlack]]))</f>
        <v/>
      </c>
      <c r="AW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4"/>
      <c r="BA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t="str">
        <f aca="false">IF(Tasks[[#This Row],[Task Name]]="","",IF(Tasks[[#This Row],[_Level]]&lt;=OutlineShowLevel,"Yes","No"))</f>
        <v/>
      </c>
      <c r="BE75" s="85" t="str">
        <f aca="false">IF(Tasks[[#This Row],[Task Name]]="","",IF(Tasks[[#This Row],[_IsSummary]],SUM(INDEX(Tasks[_LeafTotalWork],Tasks[[#This Row],[_Row]]+1):INDEX(Tasks[_LeafTotalWork],Tasks[[#This Row],[_Row]]+Tasks[[#This Row],[_Descendants]])),Tasks[[#This Row],[_LeafTotalWork]]))</f>
        <v/>
      </c>
      <c r="BF75" s="23"/>
      <c r="BG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t="str">
        <f aca="false">""</f>
        <v/>
      </c>
      <c r="BI75" s="86"/>
      <c r="BJ75" s="22"/>
      <c r="BK75" s="46" t="str">
        <f aca="false">IF(OR(Tasks[[#This Row],[Task Name]]="",Tasks[[#This Row],[Baseline Duration]]=""),"",Tasks[[#This Row],[_SpanDays]]-N(Tasks[[#This Row],[Baseline Duration]]))</f>
        <v/>
      </c>
      <c r="BL75" s="85" t="str">
        <f aca="false">IF(OR(Tasks[[#This Row],[Task Name]]="",Tasks[[#This Row],[Baseline Work]]=""),"",Tasks[[#This Row],[Work]]-N(Tasks[[#This Row],[Baseline Work]]))</f>
        <v/>
      </c>
      <c r="BM75" s="62" t="str">
        <f aca="false">IF(Tasks[[#This Row],[Task Name]]="","",IF(OR(TakeBaseline="Yes",N(Tasks[[#This Row],[Baseline Start]])=0),Tasks[[#This Row],[Start]],Tasks[[#This Row],[Baseline Start]]))</f>
        <v/>
      </c>
      <c r="BN75" s="62" t="str">
        <f aca="false">IF(Tasks[[#This Row],[Task Name]]="","",IF(OR(TakeBaseline="Yes",N(Tasks[[#This Row],[Baseline Finish]])=0),Tasks[[#This Row],[Finish]],Tasks[[#This Row],[Baseline Finish]]))</f>
        <v/>
      </c>
      <c r="BO75" s="21" t="str">
        <f aca="false">IF(Tasks[[#This Row],[Task Name]]="","",IF(OR(TakeBaseline="Yes",N(Tasks[[#This Row],[Baseline Duration]])=0),Tasks[[#This Row],[_SpanDays]],Tasks[[#This Row],[Baseline Duration]]))</f>
        <v/>
      </c>
      <c r="BP75" s="85" t="str">
        <f aca="false">IF(Tasks[[#This Row],[Task Name]]="","",IF(OR(TakeBaseline="Yes",N(Tasks[[#This Row],[Baseline Work]])=0),Tasks[[#This Row],[Work]],Tasks[[#This Row],[Baseline Work]]))</f>
        <v/>
      </c>
      <c r="BQ75" s="7"/>
      <c r="BR75" s="7"/>
      <c r="BS75" s="22"/>
      <c r="BT75" s="87"/>
      <c r="BU75" s="42" t="str">
        <f aca="false">IF(Tasks[[#This Row],[Task Name]]="","",MAX(1,N(Tasks[[#This Row],[Level]])))</f>
        <v/>
      </c>
      <c r="BV75" s="42" t="n">
        <f aca="false">ROW()-ROW(Tasks[[#Headers],[ID]])</f>
        <v>70</v>
      </c>
      <c r="BW75" s="42" t="n">
        <f aca="false">IF(OR(Tasks[[#This Row],[Task Name]]="",Tasks[[#This Row],[_Level]]&lt;=1),0,IFERROR(LOOKUP(2,1/(Tasks[[#Headers],[_Level]]:Tasks[[#This Row],[_Level]]=Tasks[[#This Row],[_Level]]-1),ROW(Tasks[[#Headers],[_Level]]:Tasks[[#This Row],[_Level]])),0))</f>
        <v>0</v>
      </c>
      <c r="BX75" s="42" t="n">
        <f aca="false">IFERROR(N(INDEX(Tasks[_Level],Tasks[[#This Row],[_Row]]+1)),0)</f>
        <v>0</v>
      </c>
      <c r="BY75" s="88" t="b">
        <f aca="false">AND(Tasks[[#This Row],[Task Name]]&lt;&gt;"",Tasks[[#This Row],[_NextLevel]]&gt;Tasks[[#This Row],[_Level]])</f>
        <v>0</v>
      </c>
      <c r="BZ75" s="42" t="n">
        <f aca="false">IF(Tasks[[#This Row],[_IsSummary]],COUNTIF(Tasks[WBS],Tasks[[#This Row],[WBS]]&amp;".*"),0)</f>
        <v>0</v>
      </c>
      <c r="CA75" s="42" t="n">
        <f aca="false">IF(AND(Tasks[[#This Row],[Task Name]]&lt;&gt;"",NOT(Tasks[[#This Row],[_IsSummary]])),1,0)</f>
        <v>0</v>
      </c>
      <c r="CB75" s="42" t="n">
        <f aca="false">IF(N(Tasks[[#This Row],[_Pred1UID]])=0,0,IFERROR(MATCH(Tasks[[#This Row],[_Pred1UID]],Tasks[UID],0),-1))</f>
        <v>0</v>
      </c>
      <c r="CC75" s="42" t="n">
        <f aca="false">IF(N(Tasks[[#This Row],[_Pred2UID]])=0,0,IFERROR(MATCH(Tasks[[#This Row],[_Pred2UID]],Tasks[UID],0),-1))</f>
        <v>0</v>
      </c>
      <c r="CD75" s="42" t="n">
        <f aca="false">IF(N(Tasks[[#This Row],[_Pred3UID]])=0,0,IFERROR(MATCH(Tasks[[#This Row],[_Pred3UID]],Tasks[UID],0),-1))</f>
        <v>0</v>
      </c>
      <c r="CE75" s="42" t="n">
        <f aca="false">IF(N(Tasks[[#This Row],[_Pred4UID]])=0,0,IFERROR(MATCH(Tasks[[#This Row],[_Pred4UID]],Tasks[UID],0),-1))</f>
        <v>0</v>
      </c>
      <c r="CF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5" s="89" t="n">
        <f aca="false">IF(OR(Tasks[[#This Row],[_ConstraintCode]]=2,Tasks[[#This Row],[_ConstraintCode]]=3,Tasks[[#This Row],[_ConstraintCode]]=4,Tasks[[#This Row],[_ConstraintCode]]=6),Tasks[[#This Row],[_ConstraintStart]],0)</f>
        <v>0</v>
      </c>
      <c r="CI75" s="89" t="n">
        <f aca="false">IF(OR(Tasks[[#This Row],[_ConstraintCode]]=2,Tasks[[#This Row],[_ConstraintCode]]=3,Tasks[[#This Row],[_ConstraintCode]]=5,Tasks[[#This Row],[_ConstraintCode]]=7),Tasks[[#This Row],[_ConstraintStart]],2958465)</f>
        <v>2958465</v>
      </c>
      <c r="CJ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5" s="89" t="str">
        <f aca="false">IF(NOT(Tasks[[#This Row],[_IsLeaf]]=1),"",IF(N(Tasks[[#This Row],[_Days]])&lt;=0,Tasks[[#This Row],[_LeafCalcStart]],WORKDAY.INTL(Tasks[[#This Row],[_LeafCalcStart]],Tasks[[#This Row],[_Days]]-1,WorkWeek,Holidays)))</f>
        <v/>
      </c>
      <c r="CL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5" s="42" t="str">
        <f aca="false">IF(Tasks[[#This Row],[_Predecessors]]="","",TRIM(MID(SUBSTITUTE(SUBSTITUTE(SUBSTITUTE(UPPER(Tasks[[#This Row],[_Predecessors]]),";",",")," ",""),",",REPT(" ",99)),1,99)))</f>
        <v/>
      </c>
      <c r="CO75" s="42" t="str">
        <f aca="false">IF(Tasks[[#This Row],[_Pred1Text]]="","",IFERROR(VALUE(LEFT(Tasks[[#This Row],[_Pred1Text]],MIN(FIND("F",Tasks[[#This Row],[_Pred1Text]]&amp;"F"),FIND("S",Tasks[[#This Row],[_Pred1Text]]&amp;"S"),FIND("+",Tasks[[#This Row],[_Pred1Text]]&amp;"+"),FIND("-",Tasks[[#This Row],[_Pred1Text]]&amp;"-"))-1)),""))</f>
        <v/>
      </c>
      <c r="CP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5" s="42" t="str">
        <f aca="false">IF(Tasks[[#This Row],[_Pred1Text]]="","",TRIM(MID(SUBSTITUTE(SUBSTITUTE(SUBSTITUTE(UPPER(Tasks[[#This Row],[_Predecessors]]),";",",")," ",""),",",REPT(" ",99)),100,99)))</f>
        <v/>
      </c>
      <c r="CS75" s="42" t="str">
        <f aca="false">IF(Tasks[[#This Row],[_Pred2Text]]="","",IFERROR(VALUE(LEFT(Tasks[[#This Row],[_Pred2Text]],MIN(FIND("F",Tasks[[#This Row],[_Pred2Text]]&amp;"F"),FIND("S",Tasks[[#This Row],[_Pred2Text]]&amp;"S"),FIND("+",Tasks[[#This Row],[_Pred2Text]]&amp;"+"),FIND("-",Tasks[[#This Row],[_Pred2Text]]&amp;"-"))-1)),""))</f>
        <v/>
      </c>
      <c r="CT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5" s="42" t="str">
        <f aca="false">IF(Tasks[[#This Row],[_Pred2Text]]="","",TRIM(MID(SUBSTITUTE(SUBSTITUTE(SUBSTITUTE(UPPER(Tasks[[#This Row],[_Predecessors]]),";",",")," ",""),",",REPT(" ",99)),199,99)))</f>
        <v/>
      </c>
      <c r="CW75" s="42" t="str">
        <f aca="false">IF(Tasks[[#This Row],[_Pred3Text]]="","",IFERROR(VALUE(LEFT(Tasks[[#This Row],[_Pred3Text]],MIN(FIND("F",Tasks[[#This Row],[_Pred3Text]]&amp;"F"),FIND("S",Tasks[[#This Row],[_Pred3Text]]&amp;"S"),FIND("+",Tasks[[#This Row],[_Pred3Text]]&amp;"+"),FIND("-",Tasks[[#This Row],[_Pred3Text]]&amp;"-"))-1)),""))</f>
        <v/>
      </c>
      <c r="CX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5" s="42" t="str">
        <f aca="false">IF(Tasks[[#This Row],[_Pred3Text]]="","",TRIM(MID(SUBSTITUTE(SUBSTITUTE(SUBSTITUTE(UPPER(Tasks[[#This Row],[_Predecessors]]),";",",")," ",""),",",REPT(" ",99)),298,99)))</f>
        <v/>
      </c>
      <c r="DA75" s="42" t="str">
        <f aca="false">IF(Tasks[[#This Row],[_Pred4Text]]="","",IFERROR(VALUE(LEFT(Tasks[[#This Row],[_Pred4Text]],MIN(FIND("F",Tasks[[#This Row],[_Pred4Text]]&amp;"F"),FIND("S",Tasks[[#This Row],[_Pred4Text]]&amp;"S"),FIND("+",Tasks[[#This Row],[_Pred4Text]]&amp;"+"),FIND("-",Tasks[[#This Row],[_Pred4Text]]&amp;"-"))-1)),""))</f>
        <v/>
      </c>
      <c r="DB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5" s="42" t="str">
        <f aca="false">IF(OR(Tasks[[#This Row],[Task Name]]="",Tasks[[#This Row],[_Resources]]=""),"",TRIM(MID(SUBSTITUTE(Tasks[[#This Row],[_Resources]],",",REPT(" ",99)),1,99)))</f>
        <v/>
      </c>
      <c r="DE75" s="42" t="str">
        <f aca="false">IF(Tasks[[#This Row],[_Res1Text]]="","",TRIM(MID(SUBSTITUTE(Tasks[[#This Row],[_Resources]],",",REPT(" ",99)),100,99)))</f>
        <v/>
      </c>
      <c r="DF75" s="42" t="str">
        <f aca="false">IF(Tasks[[#This Row],[_Res2Text]]="","",TRIM(MID(SUBSTITUTE(Tasks[[#This Row],[_Resources]],",",REPT(" ",99)),199,99)))</f>
        <v/>
      </c>
      <c r="DG75" s="42" t="str">
        <f aca="false">IF(Tasks[[#This Row],[_Res3Text]]="","",TRIM(MID(SUBSTITUTE(Tasks[[#This Row],[_Resources]],",",REPT(" ",99)),298,99)))</f>
        <v/>
      </c>
      <c r="DH75" s="42" t="n">
        <f aca="false">IF(Tasks[[#This Row],[_Res1Text]]="",0,IFERROR(MATCH(TRIM(LEFT(Tasks[[#This Row],[_Res1Text]],FIND("[",Tasks[[#This Row],[_Res1Text]]&amp;"[")-1)),res_Name,0),IFERROR(MATCH(TRIM(LEFT(Tasks[[#This Row],[_Res1Text]],FIND("[",Tasks[[#This Row],[_Res1Text]]&amp;"[")-1)),res_Initials,0),0)))</f>
        <v>0</v>
      </c>
      <c r="DI75" s="42" t="n">
        <f aca="false">IF(Tasks[[#This Row],[_Res2Text]]="",0,IFERROR(MATCH(TRIM(LEFT(Tasks[[#This Row],[_Res2Text]],FIND("[",Tasks[[#This Row],[_Res2Text]]&amp;"[")-1)),res_Name,0),IFERROR(MATCH(TRIM(LEFT(Tasks[[#This Row],[_Res2Text]],FIND("[",Tasks[[#This Row],[_Res2Text]]&amp;"[")-1)),res_Initials,0),0)))</f>
        <v>0</v>
      </c>
      <c r="DJ75" s="42" t="n">
        <f aca="false">IF(Tasks[[#This Row],[_Res3Text]]="",0,IFERROR(MATCH(TRIM(LEFT(Tasks[[#This Row],[_Res3Text]],FIND("[",Tasks[[#This Row],[_Res3Text]]&amp;"[")-1)),res_Name,0),IFERROR(MATCH(TRIM(LEFT(Tasks[[#This Row],[_Res3Text]],FIND("[",Tasks[[#This Row],[_Res3Text]]&amp;"[")-1)),res_Initials,0),0)))</f>
        <v>0</v>
      </c>
      <c r="DK75" s="42" t="n">
        <f aca="false">IF(Tasks[[#This Row],[_Res4Text]]="",0,IFERROR(MATCH(TRIM(LEFT(Tasks[[#This Row],[_Res4Text]],FIND("[",Tasks[[#This Row],[_Res4Text]]&amp;"[")-1)),res_Name,0),IFERROR(MATCH(TRIM(LEFT(Tasks[[#This Row],[_Res4Text]],FIND("[",Tasks[[#This Row],[_Res4Text]]&amp;"[")-1)),res_Initials,0),0)))</f>
        <v>0</v>
      </c>
      <c r="DL75" s="42" t="str">
        <f aca="false">IF(Tasks[[#This Row],[_Res1Text]]="","",IF(Tasks[[#This Row],[_Res1Row]]&gt;0,INDEX(res_Name,Tasks[[#This Row],[_Res1Row]]),TRIM(LEFT(Tasks[[#This Row],[_Res1Text]],FIND("[",Tasks[[#This Row],[_Res1Text]]&amp;"[")-1))))</f>
        <v/>
      </c>
      <c r="DM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5" s="42" t="n">
        <f aca="false">IF(NOT(Tasks[[#This Row],[_IsLeaf]]=1),0,(Tasks[[#This Row],[_Resource1]]&lt;&gt;"")+(Tasks[[#This Row],[_Res2]]&lt;&gt;"")+(Tasks[[#This Row],[_Res3]]&lt;&gt;"")+(Tasks[[#This Row],[_Res4]]&lt;&gt;""))</f>
        <v>0</v>
      </c>
      <c r="DO75" s="42" t="str">
        <f aca="false">IF(Tasks[[#This Row],[_Res2Text]]="","",IF(Tasks[[#This Row],[_Res2Row]]&gt;0,INDEX(res_Name,Tasks[[#This Row],[_Res2Row]]),TRIM(LEFT(Tasks[[#This Row],[_Res2Text]],FIND("[",Tasks[[#This Row],[_Res2Text]]&amp;"[")-1))))</f>
        <v/>
      </c>
      <c r="DP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5" s="42" t="n">
        <f aca="false">IF(OR(NOT(Tasks[[#This Row],[_IsLeaf]]=1),Tasks[[#This Row],[_Res2Row]]=0),0,N(Tasks[[#This Row],[_Days]])*HoursPerDay*IF(Tasks[[#This Row],[_Res2Units]]="",DefaultUnits,Tasks[[#This Row],[_Res2Units]]))</f>
        <v>0</v>
      </c>
      <c r="DR75" s="42" t="n">
        <f aca="false">IF(AND(AND(Tasks[[#This Row],[_IsLeaf]]=1,Tasks[[#This Row],[_LeafTotalWork]]&gt;0),Tasks[[#This Row],[_Res2Work]]&gt;0),Tasks[[#This Row],[_Res2Work]]/(Tasks[[#This Row],[_FinishWorkday]]-Tasks[[#This Row],[_StartWorkday]]+1),0)</f>
        <v>0</v>
      </c>
      <c r="DS75" s="42" t="n">
        <f aca="false">Tasks[[#This Row],[_Res2WorkPerWD]]*MAX(0,Tasks[[#This Row],[_StartWorkday]]-1)</f>
        <v>0</v>
      </c>
      <c r="DT75" s="42" t="n">
        <f aca="false">Tasks[[#This Row],[_Res2Work]]*Tasks[[#This Row],[_LeafProgress]]</f>
        <v>0</v>
      </c>
      <c r="DU75" s="42" t="str">
        <f aca="false">IF(Tasks[[#This Row],[_Res3Text]]="","",IF(Tasks[[#This Row],[_Res3Row]]&gt;0,INDEX(res_Name,Tasks[[#This Row],[_Res3Row]]),TRIM(LEFT(Tasks[[#This Row],[_Res3Text]],FIND("[",Tasks[[#This Row],[_Res3Text]]&amp;"[")-1))))</f>
        <v/>
      </c>
      <c r="DV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5" s="42" t="n">
        <f aca="false">IF(OR(NOT(Tasks[[#This Row],[_IsLeaf]]=1),Tasks[[#This Row],[_Res3Row]]=0),0,N(Tasks[[#This Row],[_Days]])*HoursPerDay*IF(Tasks[[#This Row],[_Res3Units]]="",DefaultUnits,Tasks[[#This Row],[_Res3Units]]))</f>
        <v>0</v>
      </c>
      <c r="DX75" s="42" t="n">
        <f aca="false">IF(AND(AND(Tasks[[#This Row],[_IsLeaf]]=1,Tasks[[#This Row],[_LeafTotalWork]]&gt;0),Tasks[[#This Row],[_Res3Work]]&gt;0),Tasks[[#This Row],[_Res3Work]]/(Tasks[[#This Row],[_FinishWorkday]]-Tasks[[#This Row],[_StartWorkday]]+1),0)</f>
        <v>0</v>
      </c>
      <c r="DY75" s="42" t="n">
        <f aca="false">Tasks[[#This Row],[_Res3WorkPerWD]]*MAX(0,Tasks[[#This Row],[_StartWorkday]]-1)</f>
        <v>0</v>
      </c>
      <c r="DZ75" s="42" t="n">
        <f aca="false">Tasks[[#This Row],[_Res3Work]]*Tasks[[#This Row],[_LeafProgress]]</f>
        <v>0</v>
      </c>
      <c r="EA75" s="42" t="str">
        <f aca="false">IF(Tasks[[#This Row],[_Res4Text]]="","",IF(Tasks[[#This Row],[_Res4Row]]&gt;0,INDEX(res_Name,Tasks[[#This Row],[_Res4Row]]),TRIM(LEFT(Tasks[[#This Row],[_Res4Text]],FIND("[",Tasks[[#This Row],[_Res4Text]]&amp;"[")-1))))</f>
        <v/>
      </c>
      <c r="EB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5" s="42" t="n">
        <f aca="false">IF(OR(NOT(Tasks[[#This Row],[_IsLeaf]]=1),Tasks[[#This Row],[_Res4Row]]=0),0,N(Tasks[[#This Row],[_Days]])*HoursPerDay*IF(Tasks[[#This Row],[_Res4Units]]="",DefaultUnits,Tasks[[#This Row],[_Res4Units]]))</f>
        <v>0</v>
      </c>
      <c r="ED75" s="42" t="n">
        <f aca="false">IF(AND(AND(Tasks[[#This Row],[_IsLeaf]]=1,Tasks[[#This Row],[_LeafTotalWork]]&gt;0),Tasks[[#This Row],[_Res4Work]]&gt;0),Tasks[[#This Row],[_Res4Work]]/(Tasks[[#This Row],[_FinishWorkday]]-Tasks[[#This Row],[_StartWorkday]]+1),0)</f>
        <v>0</v>
      </c>
      <c r="EE75" s="42" t="n">
        <f aca="false">Tasks[[#This Row],[_Res4WorkPerWD]]*MAX(0,Tasks[[#This Row],[_StartWorkday]]-1)</f>
        <v>0</v>
      </c>
      <c r="EF75" s="42" t="n">
        <f aca="false">Tasks[[#This Row],[_Res4Work]]*Tasks[[#This Row],[_LeafProgress]]</f>
        <v>0</v>
      </c>
      <c r="EG75" s="42" t="n">
        <f aca="false">IF(ISNUMBER(Tasks[[#This Row],[% Complete]]),Tasks[[#This Row],[% Complete]],IF(Tasks[[#This Row],[Stage]]="",0,IFERROR(INDEX(stg_Pct,MATCH(Tasks[[#This Row],[Stage]],stg_Name,0)),0)))</f>
        <v>0</v>
      </c>
      <c r="EH75" s="42" t="n">
        <f aca="false">IF(NOT(Tasks[[#This Row],[_IsLeaf]]=1),0,IF(N(Tasks[[#This Row],[Actual Finish]])&gt;0,1,MIN(1,Tasks[[#This Row],[_Pct]])))</f>
        <v>0</v>
      </c>
      <c r="EI75" s="42" t="n">
        <f aca="false">IF(OR(NOT(Tasks[[#This Row],[_IsLeaf]]=1),Tasks[[#This Row],[_Res1Row]]=0),0,N(Tasks[[#This Row],[_Days]])*HoursPerDay*IF(Tasks[[#This Row],[_Units1]]="",DefaultUnits,Tasks[[#This Row],[_Units1]]))</f>
        <v>0</v>
      </c>
      <c r="EJ75" s="42" t="n">
        <f aca="false">Tasks[[#This Row],[_LeafWork]]+Tasks[[#This Row],[_Res2Work]]+Tasks[[#This Row],[_Res3Work]]+Tasks[[#This Row],[_Res4Work]]</f>
        <v>0</v>
      </c>
      <c r="EK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5" s="42" t="n">
        <f aca="false">IF(NOT(Tasks[[#This Row],[_IsLeaf]]=1),0,MAX(_xlfn.MAXIFS(Tasks[_Row],Tasks[_Pred1UID],Tasks[[#This Row],[UID]]),_xlfn.MAXIFS(Tasks[_Row],Tasks[_Pred2UID],Tasks[[#This Row],[UID]]),_xlfn.MAXIFS(Tasks[_Row],Tasks[_Pred3UID],Tasks[[#This Row],[UID]]),_xlfn.MAXIFS(Tasks[_Row],Tasks[_Pred4UID],Tasks[[#This Row],[UID]])))</f>
        <v>0</v>
      </c>
      <c r="ET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5" s="89" t="str">
        <f aca="false">IF(NOT(Tasks[[#This Row],[_IsLeaf]]=1),"",IF(N(Tasks[[#This Row],[_Days]])&lt;=0,Tasks[[#This Row],[_LeafLateFinish]],WORKDAY.INTL(Tasks[[#This Row],[_LeafLateFinish]],-(Tasks[[#This Row],[_Days]]-1),WorkWeek,Holidays)))</f>
        <v/>
      </c>
      <c r="EW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5" s="88" t="b">
        <f aca="false">AND(Tasks[[#This Row],[_IsLeaf]]=1,Tasks[[#This Row],[_LeafProgress]]&lt;1,N(Tasks[[#This Row],[_LeafTotalSlack]])&lt;=CriticalSlackDays)</f>
        <v>0</v>
      </c>
      <c r="EY75" s="42" t="n">
        <f aca="false">IF(AND(Tasks[[#This Row],[_IsLeaf]]=1,Tasks[[#This Row],[_ConstraintCode]]=1,Tasks[[#This Row],[Mode]]&lt;&gt;"Manual",N(Tasks[[#This Row],[Actual Start]])=0),MAX(0,N(Tasks[[#This Row],[Free Slack]])),0)</f>
        <v>0</v>
      </c>
      <c r="EZ75" s="89" t="str">
        <f aca="false">IF(NOT(Tasks[[#This Row],[_IsLeaf]]=1),"",IF(Tasks[[#This Row],[_AlapShift]]=0,Tasks[[#This Row],[_LeafCalcStart]],WORKDAY.INTL(Tasks[[#This Row],[_LeafCalcStart]],Tasks[[#This Row],[_AlapShift]],WorkWeek,Holidays)))</f>
        <v/>
      </c>
      <c r="FA75" s="89" t="str">
        <f aca="false">IF(NOT(Tasks[[#This Row],[_IsLeaf]]=1),"",IF(Tasks[[#This Row],[_AlapShift]]=0,Tasks[[#This Row],[_LeafCalcFinish]],WORKDAY.INTL(Tasks[[#This Row],[_LeafCalcFinish]],Tasks[[#This Row],[_AlapShift]],WorkWeek,Holidays)))</f>
        <v/>
      </c>
      <c r="FB75" s="89" t="str">
        <f aca="false">IF(NOT(Tasks[[#This Row],[_IsLeaf]]=1),"",IF(Tasks[[#This Row],[_AlapShift]]=0,Tasks[[#This Row],[_LeafFcstStart]],WORKDAY.INTL(Tasks[[#This Row],[_LeafFcstStart]],Tasks[[#This Row],[_AlapShift]],WorkWeek,Holidays)))</f>
        <v/>
      </c>
      <c r="FC75" s="89" t="str">
        <f aca="false">IF(NOT(Tasks[[#This Row],[_IsLeaf]]=1),"",IF(Tasks[[#This Row],[_AlapShift]]=0,Tasks[[#This Row],[_LeafFcstFinish]],WORKDAY.INTL(Tasks[[#This Row],[_LeafFcstFinish]],Tasks[[#This Row],[_AlapShift]],WorkWeek,Holidays)))</f>
        <v/>
      </c>
      <c r="FD75" s="89" t="str">
        <f aca="false">IF(Tasks[[#This Row],[Task Name]]="","",IF(Tasks[[#This Row],[_IsSummary]],MIN(INDEX(Tasks[_ShownCalcStart],Tasks[[#This Row],[_Row]]+1):INDEX(Tasks[_ShownCalcStart],Tasks[[#This Row],[_Row]]+Tasks[[#This Row],[_Descendants]])),Tasks[[#This Row],[_ShownCalcStart]]))</f>
        <v/>
      </c>
      <c r="FE75" s="89" t="str">
        <f aca="false">IF(Tasks[[#This Row],[Task Name]]="","",IF(Tasks[[#This Row],[_IsSummary]],MAX(INDEX(Tasks[_ShownCalcFinish],Tasks[[#This Row],[_Row]]+1):INDEX(Tasks[_ShownCalcFinish],Tasks[[#This Row],[_Row]]+Tasks[[#This Row],[_Descendants]])),Tasks[[#This Row],[_ShownCalcFinish]]))</f>
        <v/>
      </c>
      <c r="FF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5" s="42" t="n">
        <f aca="false">IF(AND(Tasks[[#This Row],[_IsLeaf]]=1,Tasks[[#This Row],[_LeafTotalWork]]&gt;0),NETWORKDAYS.INTL(ProjectStart,Tasks[[#This Row],[_ShownFcstStart]],WorkWeek,Holidays),0)</f>
        <v>0</v>
      </c>
      <c r="FS75" s="42" t="n">
        <f aca="false">IF(AND(Tasks[[#This Row],[_IsLeaf]]=1,Tasks[[#This Row],[_LeafTotalWork]]&gt;0),MAX(Tasks[[#This Row],[_StartWorkday]],NETWORKDAYS.INTL(ProjectStart,Tasks[[#This Row],[_ShownFcstFinish]],WorkWeek,Holidays)),0)</f>
        <v>0</v>
      </c>
      <c r="FT75" s="42" t="n">
        <f aca="false">IF(AND(Tasks[[#This Row],[_IsLeaf]]=1,Tasks[[#This Row],[_LeafTotalWork]]&gt;0),Tasks[[#This Row],[_LeafWork]]/(Tasks[[#This Row],[_FinishWorkday]]-Tasks[[#This Row],[_StartWorkday]]+1),0)</f>
        <v>0</v>
      </c>
      <c r="FU75" s="42" t="n">
        <f aca="false">Tasks[[#This Row],[_WorkPerWorkday]]*(Tasks[[#This Row],[_StartWorkday]]-1)</f>
        <v>-0</v>
      </c>
      <c r="FV75" s="42" t="n">
        <f aca="false">IF(Tasks[[#This Row],[_IsLeaf]]=1,MAX(N(Tasks[[#This Row],[_Days]]),0.1),0)</f>
        <v>0</v>
      </c>
      <c r="FW75" s="42" t="n">
        <f aca="false">Tasks[[#This Row],[_WeightDur]]*Tasks[[#This Row],[_LeafProgress]]</f>
        <v>0</v>
      </c>
      <c r="FX75" s="42" t="n">
        <f aca="false">Tasks[[#This Row],[_WeightDur]]*Tasks[[#This Row],[_PlannedPct]]</f>
        <v>0</v>
      </c>
      <c r="FY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5" s="42" t="str">
        <f aca="false">IF(AND(Tasks[[#This Row],[_IsLeaf]]=1,N(Tasks[[#This Row],[_Days]])=0,Tasks[[#This Row],[_LeafProgress]]&lt;1),Tasks[[#This Row],[_ShownFcstFinish]]+Tasks[[#This Row],[_Row]]/100000,"")</f>
        <v/>
      </c>
      <c r="GA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5" s="42" t="str">
        <f aca="false">IF(Tasks[[#This Row],[Task Name]]="","",LEFT(Tasks[[#This Row],[WBS]],FIND(".",Tasks[[#This Row],[WBS]]&amp;".")-1))</f>
        <v/>
      </c>
      <c r="GC75" s="42" t="str">
        <f aca="false">IF(AND(Tasks[[#This Row],[Task Name]]&lt;&gt;"",Tasks[[#This Row],[_Level]]=1),Tasks[[#This Row],[_Row]],"")</f>
        <v/>
      </c>
      <c r="GD75" s="42" t="str">
        <f aca="false">IF(AND(Tasks[[#This Row],[_IsLeaf]]=1,N(Tasks[[#This Row],[_Days]])=0),Tasks[[#This Row],[Planned Finish]]+Tasks[[#This Row],[_Row]]/100000,"")</f>
        <v/>
      </c>
      <c r="GE75" s="42" t="str">
        <f aca="false">IF(AND(Tasks[[#This Row],[_IsLeaf]]=1,Tasks[[#This Row],[_LeafProgress]]&lt;1,OR(N(Tasks[[#This Row],[Finish Var]])&gt;0,Tasks[[#This Row],[Status]]="Late Start")),MAX(0,Tasks[[#This Row],[Finish Var]])+1-Tasks[[#This Row],[_Row]]/1000000,"")</f>
        <v/>
      </c>
      <c r="GF75" s="42" t="str">
        <f aca="false">IF(AND(Tasks[[#This Row],[_IsLeaf]]=1,N(Tasks[[#This Row],[Actual Start]])=0,Tasks[[#This Row],[_ShownFcstStart]]&gt;=StatusDate,Tasks[[#This Row],[_ShownFcstStart]]&lt;=LookaheadEnd),Tasks[[#This Row],[_ShownFcstStart]]+Tasks[[#This Row],[_Row]]/100000,"")</f>
        <v/>
      </c>
      <c r="GG75" s="42" t="str">
        <f aca="false">IF(AND(Tasks[[#This Row],[_IsLeaf]]=1,Tasks[[#This Row],[_LeafProgress]]&lt;1,Tasks[[#This Row],[_ShownFcstFinish]]&gt;=StatusDate,Tasks[[#This Row],[_ShownFcstFinish]]&lt;=LookaheadEnd),Tasks[[#This Row],[_ShownFcstFinish]]+Tasks[[#This Row],[_Row]]/100000,"")</f>
        <v/>
      </c>
      <c r="GH75" s="42" t="str">
        <f aca="false">IF(Tasks[[#This Row],[_LeafCritical]],Tasks[[#This Row],[_ShownFcstStart]]+Tasks[[#This Row],[_Row]]/100000,"")</f>
        <v/>
      </c>
      <c r="GI75" s="42" t="n">
        <f aca="false">Tasks[[#This Row],[_LeafWork]]*Tasks[[#This Row],[_LeafProgress]]</f>
        <v>0</v>
      </c>
      <c r="GJ75" s="89" t="str">
        <f aca="false">IF(AND(Tasks[[#This Row],[_IsLeaf]]=1,Tasks[[#This Row],[_LeafProgress]]&gt;=1),IF(N(Tasks[[#This Row],[Actual Finish]])&gt;0,Tasks[[#This Row],[Actual Finish]],Tasks[[#This Row],[_ShownFcstFinish]]),"")</f>
        <v/>
      </c>
      <c r="GK75" s="42" t="n">
        <f aca="false">IF(Tasks[[#This Row],[_IsLeaf]]=1,N(Tasks[[#This Row],[Story Points]]),0)</f>
        <v>0</v>
      </c>
      <c r="GL75" s="42" t="str">
        <f aca="false">""</f>
        <v/>
      </c>
      <c r="GM75" s="88" t="b">
        <f aca="false">IF(Tasks[[#This Row],[Task Name]]="",FALSE(),AND(Tasks[[#This Row],[_IsLeaf]]=1,N(Tasks[[#This Row],[_Days]])=0))</f>
        <v>0</v>
      </c>
      <c r="GN75" s="89" t="n">
        <f aca="false">IF(Tasks[[#This Row],[Task Name]]="",0,IF(AND(Tasks[[#This Row],[_IsLeaf]]=1,NOT(Tasks[[#This Row],[_IsMilestone]]),N(Tasks[[#This Row],[Progress]])&gt;0),Tasks[[#This Row],[Start]],0))</f>
        <v>0</v>
      </c>
      <c r="GO75" s="89" t="n">
        <f aca="false">IF(Tasks[[#This Row],[_DoneFrom]]=0,0,IF(Tasks[[#This Row],[Progress]]&gt;=1,Tasks[[#This Row],[Finish]],MAX(Tasks[[#This Row],[_DoneFrom]],Tasks[[#This Row],[Start]]+ROUND((Tasks[[#This Row],[Finish]]-Tasks[[#This Row],[Start]]+1)*Tasks[[#This Row],[Progress]],0)-1)))</f>
        <v>0</v>
      </c>
      <c r="GP75" s="89" t="n">
        <f aca="false">IF(Tasks[[#This Row],[Task Name]]="",0,IF(OR(NOT(Tasks[[#This Row],[_IsLeaf]]=1),Tasks[[#This Row],[_IsMilestone]],N(Tasks[[#This Row],[Progress]])&gt;=1),0,IF(Tasks[[#This Row],[_DoneTo]]&gt;0,Tasks[[#This Row],[_DoneTo]]+1,Tasks[[#This Row],[Start]])))</f>
        <v>0</v>
      </c>
      <c r="GQ75" s="89" t="n">
        <f aca="false">IF(Tasks[[#This Row],[_RemFrom]]=0,0,Tasks[[#This Row],[Finish]])</f>
        <v>0</v>
      </c>
      <c r="GR75" s="88" t="b">
        <f aca="false">IF(Tasks[[#This Row],[Task Name]]="",FALSE(),OR(NOT(BaselineSet),N(Tasks[[#This Row],[Baseline Start]])&gt;0))</f>
        <v>0</v>
      </c>
      <c r="GS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5" s="90" t="str">
        <f aca="false">IF(Tasks[[#This Row],[_IsLeaf]]=1,Tasks[[#This Row],[_Row]],"")</f>
        <v/>
      </c>
      <c r="GW75" s="90" t="str">
        <f aca="false">IFERROR(INDEX(Tasks[UID],SMALL(Tasks[_PickKey],Tasks[[#This Row],[_Row]]))&amp;" "&amp;INDEX(Tasks[Task Name],SMALL(Tasks[_PickKey],Tasks[[#This Row],[_Row]])),"")</f>
        <v/>
      </c>
      <c r="GX75" s="42" t="str">
        <f aca="false">IF(Tasks[[#This Row],[Task Name]]="","",IF(Tasks[[#This Row],[_IsSummary]],NETWORKDAYS.INTL(Tasks[[#This Row],[Start]],Tasks[[#This Row],[Finish]],WorkWeek,Holidays),N(Tasks[[#This Row],[_Days]])))</f>
        <v/>
      </c>
    </row>
    <row r="76" customFormat="false" ht="15" hidden="false" customHeight="false" outlineLevel="0" collapsed="false">
      <c r="A76" s="21" t="str">
        <f aca="false">IF(Tasks[[#This Row],[Task Name]]="","",COUNTA(Tasks[[#Headers],[Task Name]]:Tasks[[#This Row],[Task Name]])-1)</f>
        <v/>
      </c>
      <c r="B76" s="22" t="n">
        <v>84</v>
      </c>
      <c r="C76" s="22"/>
      <c r="D76" s="23"/>
      <c r="E76" s="22"/>
      <c r="F76" s="23"/>
      <c r="G76" s="22"/>
      <c r="H76" s="22"/>
      <c r="I76" s="23"/>
      <c r="J76" s="22"/>
      <c r="K76" s="22"/>
      <c r="L76" s="23"/>
      <c r="M76" s="22"/>
      <c r="N76" s="22"/>
      <c r="O76" s="23"/>
      <c r="P76" s="22"/>
      <c r="Q76" s="22"/>
      <c r="R76" s="23"/>
      <c r="S76" s="23"/>
      <c r="T76" s="83"/>
      <c r="U76" s="23"/>
      <c r="V76" s="83"/>
      <c r="W76" s="23"/>
      <c r="X76" s="83"/>
      <c r="Y76" s="23"/>
      <c r="Z76" s="83"/>
      <c r="AA76" s="23"/>
      <c r="AB76" s="23"/>
      <c r="AC76" s="7"/>
      <c r="AD76" s="7"/>
      <c r="AE76" s="62" t="str">
        <f aca="false">IF(Tasks[[#This Row],[Task Name]]="","",IF(Tasks[[#This Row],[_IsSummary]],MIN(INDEX(Tasks[_ShownFcstStart],Tasks[[#This Row],[_Row]]+1):INDEX(Tasks[_ShownFcstStart],Tasks[[#This Row],[_Row]]+Tasks[[#This Row],[_Descendants]])),Tasks[[#This Row],[_ShownFcstStart]]))</f>
        <v/>
      </c>
      <c r="AF76" s="62" t="str">
        <f aca="false">IF(Tasks[[#This Row],[Task Name]]="","",IF(Tasks[[#This Row],[_IsSummary]],MAX(INDEX(Tasks[_ShownFcstFinish],Tasks[[#This Row],[_Row]]+1):INDEX(Tasks[_ShownFcstFinish],Tasks[[#This Row],[_Row]]+Tasks[[#This Row],[_Descendants]])),Tasks[[#This Row],[_ShownFcstFinish]]))</f>
        <v/>
      </c>
      <c r="AG76" s="21" t="str">
        <f aca="false">""</f>
        <v/>
      </c>
      <c r="AH76" s="23"/>
      <c r="AI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6" s="7"/>
      <c r="AK76" s="22"/>
      <c r="AL76" s="23"/>
      <c r="AM76" s="7"/>
      <c r="AN76" s="46" t="str">
        <f aca="false">IF(Tasks[[#This Row],[Task Name]]="","",IF(Tasks[[#This Row],[Finish]]&gt;=Tasks[[#This Row],[Planned Finish]],NETWORKDAYS.INTL(Tasks[[#This Row],[Planned Finish]],Tasks[[#This Row],[Finish]],WorkWeek,Holidays)-1,1-NETWORKDAYS.INTL(Tasks[[#This Row],[Finish]],Tasks[[#This Row],[Planned Finish]],WorkWeek,Holidays)))</f>
        <v/>
      </c>
      <c r="AO76" s="21" t="str">
        <f aca="false">IF(Tasks[[#This Row],[Task Name]]="","",IF(Tasks[[#This Row],[Progress]]&gt;=1,"Complete",IF(OR(N(Tasks[[#This Row],[Actual Start]])&gt;0,Tasks[[#This Row],[Progress]]&gt;0),IF(Tasks[[#This Row],[Finish Var]]&gt;0,"Behind","In Progress"),IF(Tasks[[#This Row],[Planned Start]]&lt;StatusDate,"Late Start","Not Started"))))</f>
        <v/>
      </c>
      <c r="AP76" s="21" t="str">
        <f aca="false">IF(Tasks[[#This Row],[Task Name]]="","",IF(IF(Tasks[[#This Row],[_IsSummary]],COUNTIF(INDEX(Tasks[_LeafCritical],Tasks[[#This Row],[_Row]]+1):INDEX(Tasks[_LeafCritical],Tasks[[#This Row],[_Row]]+Tasks[[#This Row],[_Descendants]]),TRUE())&gt;0,Tasks[[#This Row],[_LeafCritical]]),"Yes",""))</f>
        <v/>
      </c>
      <c r="AQ76" s="62" t="str">
        <f aca="false">IF(Tasks[[#This Row],[Task Name]]="","",IF(N(Tasks[[#This Row],[Baseline Start]])&gt;0,Tasks[[#This Row],[Baseline Start]],Tasks[[#This Row],[_CalcStart]]))</f>
        <v/>
      </c>
      <c r="AR76" s="62" t="str">
        <f aca="false">IF(Tasks[[#This Row],[Task Name]]="","",IF(N(Tasks[[#This Row],[Baseline Finish]])&gt;0,Tasks[[#This Row],[Baseline Finish]],Tasks[[#This Row],[_CalcFinish]]))</f>
        <v/>
      </c>
      <c r="AS76" s="46" t="str">
        <f aca="false">IF(Tasks[[#This Row],[Task Name]]="","",IF(Tasks[[#This Row],[Start]]&gt;=Tasks[[#This Row],[Planned Start]],NETWORKDAYS.INTL(Tasks[[#This Row],[Planned Start]],Tasks[[#This Row],[Start]],WorkWeek,Holidays)-1,1-NETWORKDAYS.INTL(Tasks[[#This Row],[Start]],Tasks[[#This Row],[Planned Start]],WorkWeek,Holidays)))</f>
        <v/>
      </c>
      <c r="AT76" s="62" t="str">
        <f aca="false">IF(Tasks[[#This Row],[Task Name]]="","",IF(Tasks[[#This Row],[_IsSummary]],MIN(INDEX(Tasks[_LeafLateStart],Tasks[[#This Row],[_Row]]+1):INDEX(Tasks[_LeafLateStart],Tasks[[#This Row],[_Row]]+Tasks[[#This Row],[_Descendants]])),Tasks[[#This Row],[_LeafLateStart]]))</f>
        <v/>
      </c>
      <c r="AU76" s="62" t="str">
        <f aca="false">IF(Tasks[[#This Row],[Task Name]]="","",IF(Tasks[[#This Row],[_IsSummary]],MAX(INDEX(Tasks[_LeafLateFinish],Tasks[[#This Row],[_Row]]+1):INDEX(Tasks[_LeafLateFinish],Tasks[[#This Row],[_Row]]+Tasks[[#This Row],[_Descendants]])),Tasks[[#This Row],[_LeafLateFinish]]))</f>
        <v/>
      </c>
      <c r="AV76" s="46" t="str">
        <f aca="false">IF(Tasks[[#This Row],[Task Name]]="","",IF(Tasks[[#This Row],[_IsSummary]],MIN(INDEX(Tasks[_LeafTotalSlack],Tasks[[#This Row],[_Row]]+1):INDEX(Tasks[_LeafTotalSlack],Tasks[[#This Row],[_Row]]+Tasks[[#This Row],[_Descendants]])),Tasks[[#This Row],[_LeafTotalSlack]]))</f>
        <v/>
      </c>
      <c r="AW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4"/>
      <c r="BA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t="str">
        <f aca="false">IF(Tasks[[#This Row],[Task Name]]="","",IF(Tasks[[#This Row],[_Level]]&lt;=OutlineShowLevel,"Yes","No"))</f>
        <v/>
      </c>
      <c r="BE76" s="85" t="str">
        <f aca="false">IF(Tasks[[#This Row],[Task Name]]="","",IF(Tasks[[#This Row],[_IsSummary]],SUM(INDEX(Tasks[_LeafTotalWork],Tasks[[#This Row],[_Row]]+1):INDEX(Tasks[_LeafTotalWork],Tasks[[#This Row],[_Row]]+Tasks[[#This Row],[_Descendants]])),Tasks[[#This Row],[_LeafTotalWork]]))</f>
        <v/>
      </c>
      <c r="BF76" s="23"/>
      <c r="BG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t="str">
        <f aca="false">""</f>
        <v/>
      </c>
      <c r="BI76" s="86"/>
      <c r="BJ76" s="22"/>
      <c r="BK76" s="46" t="str">
        <f aca="false">IF(OR(Tasks[[#This Row],[Task Name]]="",Tasks[[#This Row],[Baseline Duration]]=""),"",Tasks[[#This Row],[_SpanDays]]-N(Tasks[[#This Row],[Baseline Duration]]))</f>
        <v/>
      </c>
      <c r="BL76" s="85" t="str">
        <f aca="false">IF(OR(Tasks[[#This Row],[Task Name]]="",Tasks[[#This Row],[Baseline Work]]=""),"",Tasks[[#This Row],[Work]]-N(Tasks[[#This Row],[Baseline Work]]))</f>
        <v/>
      </c>
      <c r="BM76" s="62" t="str">
        <f aca="false">IF(Tasks[[#This Row],[Task Name]]="","",IF(OR(TakeBaseline="Yes",N(Tasks[[#This Row],[Baseline Start]])=0),Tasks[[#This Row],[Start]],Tasks[[#This Row],[Baseline Start]]))</f>
        <v/>
      </c>
      <c r="BN76" s="62" t="str">
        <f aca="false">IF(Tasks[[#This Row],[Task Name]]="","",IF(OR(TakeBaseline="Yes",N(Tasks[[#This Row],[Baseline Finish]])=0),Tasks[[#This Row],[Finish]],Tasks[[#This Row],[Baseline Finish]]))</f>
        <v/>
      </c>
      <c r="BO76" s="21" t="str">
        <f aca="false">IF(Tasks[[#This Row],[Task Name]]="","",IF(OR(TakeBaseline="Yes",N(Tasks[[#This Row],[Baseline Duration]])=0),Tasks[[#This Row],[_SpanDays]],Tasks[[#This Row],[Baseline Duration]]))</f>
        <v/>
      </c>
      <c r="BP76" s="85" t="str">
        <f aca="false">IF(Tasks[[#This Row],[Task Name]]="","",IF(OR(TakeBaseline="Yes",N(Tasks[[#This Row],[Baseline Work]])=0),Tasks[[#This Row],[Work]],Tasks[[#This Row],[Baseline Work]]))</f>
        <v/>
      </c>
      <c r="BQ76" s="7"/>
      <c r="BR76" s="7"/>
      <c r="BS76" s="22"/>
      <c r="BT76" s="87"/>
      <c r="BU76" s="42" t="str">
        <f aca="false">IF(Tasks[[#This Row],[Task Name]]="","",MAX(1,N(Tasks[[#This Row],[Level]])))</f>
        <v/>
      </c>
      <c r="BV76" s="42" t="n">
        <f aca="false">ROW()-ROW(Tasks[[#Headers],[ID]])</f>
        <v>71</v>
      </c>
      <c r="BW76" s="42" t="n">
        <f aca="false">IF(OR(Tasks[[#This Row],[Task Name]]="",Tasks[[#This Row],[_Level]]&lt;=1),0,IFERROR(LOOKUP(2,1/(Tasks[[#Headers],[_Level]]:Tasks[[#This Row],[_Level]]=Tasks[[#This Row],[_Level]]-1),ROW(Tasks[[#Headers],[_Level]]:Tasks[[#This Row],[_Level]])),0))</f>
        <v>0</v>
      </c>
      <c r="BX76" s="42" t="n">
        <f aca="false">IFERROR(N(INDEX(Tasks[_Level],Tasks[[#This Row],[_Row]]+1)),0)</f>
        <v>0</v>
      </c>
      <c r="BY76" s="88" t="b">
        <f aca="false">AND(Tasks[[#This Row],[Task Name]]&lt;&gt;"",Tasks[[#This Row],[_NextLevel]]&gt;Tasks[[#This Row],[_Level]])</f>
        <v>0</v>
      </c>
      <c r="BZ76" s="42" t="n">
        <f aca="false">IF(Tasks[[#This Row],[_IsSummary]],COUNTIF(Tasks[WBS],Tasks[[#This Row],[WBS]]&amp;".*"),0)</f>
        <v>0</v>
      </c>
      <c r="CA76" s="42" t="n">
        <f aca="false">IF(AND(Tasks[[#This Row],[Task Name]]&lt;&gt;"",NOT(Tasks[[#This Row],[_IsSummary]])),1,0)</f>
        <v>0</v>
      </c>
      <c r="CB76" s="42" t="n">
        <f aca="false">IF(N(Tasks[[#This Row],[_Pred1UID]])=0,0,IFERROR(MATCH(Tasks[[#This Row],[_Pred1UID]],Tasks[UID],0),-1))</f>
        <v>0</v>
      </c>
      <c r="CC76" s="42" t="n">
        <f aca="false">IF(N(Tasks[[#This Row],[_Pred2UID]])=0,0,IFERROR(MATCH(Tasks[[#This Row],[_Pred2UID]],Tasks[UID],0),-1))</f>
        <v>0</v>
      </c>
      <c r="CD76" s="42" t="n">
        <f aca="false">IF(N(Tasks[[#This Row],[_Pred3UID]])=0,0,IFERROR(MATCH(Tasks[[#This Row],[_Pred3UID]],Tasks[UID],0),-1))</f>
        <v>0</v>
      </c>
      <c r="CE76" s="42" t="n">
        <f aca="false">IF(N(Tasks[[#This Row],[_Pred4UID]])=0,0,IFERROR(MATCH(Tasks[[#This Row],[_Pred4UID]],Tasks[UID],0),-1))</f>
        <v>0</v>
      </c>
      <c r="CF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6" s="89" t="n">
        <f aca="false">IF(OR(Tasks[[#This Row],[_ConstraintCode]]=2,Tasks[[#This Row],[_ConstraintCode]]=3,Tasks[[#This Row],[_ConstraintCode]]=4,Tasks[[#This Row],[_ConstraintCode]]=6),Tasks[[#This Row],[_ConstraintStart]],0)</f>
        <v>0</v>
      </c>
      <c r="CI76" s="89" t="n">
        <f aca="false">IF(OR(Tasks[[#This Row],[_ConstraintCode]]=2,Tasks[[#This Row],[_ConstraintCode]]=3,Tasks[[#This Row],[_ConstraintCode]]=5,Tasks[[#This Row],[_ConstraintCode]]=7),Tasks[[#This Row],[_ConstraintStart]],2958465)</f>
        <v>2958465</v>
      </c>
      <c r="CJ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6" s="89" t="str">
        <f aca="false">IF(NOT(Tasks[[#This Row],[_IsLeaf]]=1),"",IF(N(Tasks[[#This Row],[_Days]])&lt;=0,Tasks[[#This Row],[_LeafCalcStart]],WORKDAY.INTL(Tasks[[#This Row],[_LeafCalcStart]],Tasks[[#This Row],[_Days]]-1,WorkWeek,Holidays)))</f>
        <v/>
      </c>
      <c r="CL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6" s="42" t="str">
        <f aca="false">IF(Tasks[[#This Row],[_Predecessors]]="","",TRIM(MID(SUBSTITUTE(SUBSTITUTE(SUBSTITUTE(UPPER(Tasks[[#This Row],[_Predecessors]]),";",",")," ",""),",",REPT(" ",99)),1,99)))</f>
        <v/>
      </c>
      <c r="CO76" s="42" t="str">
        <f aca="false">IF(Tasks[[#This Row],[_Pred1Text]]="","",IFERROR(VALUE(LEFT(Tasks[[#This Row],[_Pred1Text]],MIN(FIND("F",Tasks[[#This Row],[_Pred1Text]]&amp;"F"),FIND("S",Tasks[[#This Row],[_Pred1Text]]&amp;"S"),FIND("+",Tasks[[#This Row],[_Pred1Text]]&amp;"+"),FIND("-",Tasks[[#This Row],[_Pred1Text]]&amp;"-"))-1)),""))</f>
        <v/>
      </c>
      <c r="CP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6" s="42" t="str">
        <f aca="false">IF(Tasks[[#This Row],[_Pred1Text]]="","",TRIM(MID(SUBSTITUTE(SUBSTITUTE(SUBSTITUTE(UPPER(Tasks[[#This Row],[_Predecessors]]),";",",")," ",""),",",REPT(" ",99)),100,99)))</f>
        <v/>
      </c>
      <c r="CS76" s="42" t="str">
        <f aca="false">IF(Tasks[[#This Row],[_Pred2Text]]="","",IFERROR(VALUE(LEFT(Tasks[[#This Row],[_Pred2Text]],MIN(FIND("F",Tasks[[#This Row],[_Pred2Text]]&amp;"F"),FIND("S",Tasks[[#This Row],[_Pred2Text]]&amp;"S"),FIND("+",Tasks[[#This Row],[_Pred2Text]]&amp;"+"),FIND("-",Tasks[[#This Row],[_Pred2Text]]&amp;"-"))-1)),""))</f>
        <v/>
      </c>
      <c r="CT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6" s="42" t="str">
        <f aca="false">IF(Tasks[[#This Row],[_Pred2Text]]="","",TRIM(MID(SUBSTITUTE(SUBSTITUTE(SUBSTITUTE(UPPER(Tasks[[#This Row],[_Predecessors]]),";",",")," ",""),",",REPT(" ",99)),199,99)))</f>
        <v/>
      </c>
      <c r="CW76" s="42" t="str">
        <f aca="false">IF(Tasks[[#This Row],[_Pred3Text]]="","",IFERROR(VALUE(LEFT(Tasks[[#This Row],[_Pred3Text]],MIN(FIND("F",Tasks[[#This Row],[_Pred3Text]]&amp;"F"),FIND("S",Tasks[[#This Row],[_Pred3Text]]&amp;"S"),FIND("+",Tasks[[#This Row],[_Pred3Text]]&amp;"+"),FIND("-",Tasks[[#This Row],[_Pred3Text]]&amp;"-"))-1)),""))</f>
        <v/>
      </c>
      <c r="CX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6" s="42" t="str">
        <f aca="false">IF(Tasks[[#This Row],[_Pred3Text]]="","",TRIM(MID(SUBSTITUTE(SUBSTITUTE(SUBSTITUTE(UPPER(Tasks[[#This Row],[_Predecessors]]),";",",")," ",""),",",REPT(" ",99)),298,99)))</f>
        <v/>
      </c>
      <c r="DA76" s="42" t="str">
        <f aca="false">IF(Tasks[[#This Row],[_Pred4Text]]="","",IFERROR(VALUE(LEFT(Tasks[[#This Row],[_Pred4Text]],MIN(FIND("F",Tasks[[#This Row],[_Pred4Text]]&amp;"F"),FIND("S",Tasks[[#This Row],[_Pred4Text]]&amp;"S"),FIND("+",Tasks[[#This Row],[_Pred4Text]]&amp;"+"),FIND("-",Tasks[[#This Row],[_Pred4Text]]&amp;"-"))-1)),""))</f>
        <v/>
      </c>
      <c r="DB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6" s="42" t="str">
        <f aca="false">IF(OR(Tasks[[#This Row],[Task Name]]="",Tasks[[#This Row],[_Resources]]=""),"",TRIM(MID(SUBSTITUTE(Tasks[[#This Row],[_Resources]],",",REPT(" ",99)),1,99)))</f>
        <v/>
      </c>
      <c r="DE76" s="42" t="str">
        <f aca="false">IF(Tasks[[#This Row],[_Res1Text]]="","",TRIM(MID(SUBSTITUTE(Tasks[[#This Row],[_Resources]],",",REPT(" ",99)),100,99)))</f>
        <v/>
      </c>
      <c r="DF76" s="42" t="str">
        <f aca="false">IF(Tasks[[#This Row],[_Res2Text]]="","",TRIM(MID(SUBSTITUTE(Tasks[[#This Row],[_Resources]],",",REPT(" ",99)),199,99)))</f>
        <v/>
      </c>
      <c r="DG76" s="42" t="str">
        <f aca="false">IF(Tasks[[#This Row],[_Res3Text]]="","",TRIM(MID(SUBSTITUTE(Tasks[[#This Row],[_Resources]],",",REPT(" ",99)),298,99)))</f>
        <v/>
      </c>
      <c r="DH76" s="42" t="n">
        <f aca="false">IF(Tasks[[#This Row],[_Res1Text]]="",0,IFERROR(MATCH(TRIM(LEFT(Tasks[[#This Row],[_Res1Text]],FIND("[",Tasks[[#This Row],[_Res1Text]]&amp;"[")-1)),res_Name,0),IFERROR(MATCH(TRIM(LEFT(Tasks[[#This Row],[_Res1Text]],FIND("[",Tasks[[#This Row],[_Res1Text]]&amp;"[")-1)),res_Initials,0),0)))</f>
        <v>0</v>
      </c>
      <c r="DI76" s="42" t="n">
        <f aca="false">IF(Tasks[[#This Row],[_Res2Text]]="",0,IFERROR(MATCH(TRIM(LEFT(Tasks[[#This Row],[_Res2Text]],FIND("[",Tasks[[#This Row],[_Res2Text]]&amp;"[")-1)),res_Name,0),IFERROR(MATCH(TRIM(LEFT(Tasks[[#This Row],[_Res2Text]],FIND("[",Tasks[[#This Row],[_Res2Text]]&amp;"[")-1)),res_Initials,0),0)))</f>
        <v>0</v>
      </c>
      <c r="DJ76" s="42" t="n">
        <f aca="false">IF(Tasks[[#This Row],[_Res3Text]]="",0,IFERROR(MATCH(TRIM(LEFT(Tasks[[#This Row],[_Res3Text]],FIND("[",Tasks[[#This Row],[_Res3Text]]&amp;"[")-1)),res_Name,0),IFERROR(MATCH(TRIM(LEFT(Tasks[[#This Row],[_Res3Text]],FIND("[",Tasks[[#This Row],[_Res3Text]]&amp;"[")-1)),res_Initials,0),0)))</f>
        <v>0</v>
      </c>
      <c r="DK76" s="42" t="n">
        <f aca="false">IF(Tasks[[#This Row],[_Res4Text]]="",0,IFERROR(MATCH(TRIM(LEFT(Tasks[[#This Row],[_Res4Text]],FIND("[",Tasks[[#This Row],[_Res4Text]]&amp;"[")-1)),res_Name,0),IFERROR(MATCH(TRIM(LEFT(Tasks[[#This Row],[_Res4Text]],FIND("[",Tasks[[#This Row],[_Res4Text]]&amp;"[")-1)),res_Initials,0),0)))</f>
        <v>0</v>
      </c>
      <c r="DL76" s="42" t="str">
        <f aca="false">IF(Tasks[[#This Row],[_Res1Text]]="","",IF(Tasks[[#This Row],[_Res1Row]]&gt;0,INDEX(res_Name,Tasks[[#This Row],[_Res1Row]]),TRIM(LEFT(Tasks[[#This Row],[_Res1Text]],FIND("[",Tasks[[#This Row],[_Res1Text]]&amp;"[")-1))))</f>
        <v/>
      </c>
      <c r="DM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6" s="42" t="n">
        <f aca="false">IF(NOT(Tasks[[#This Row],[_IsLeaf]]=1),0,(Tasks[[#This Row],[_Resource1]]&lt;&gt;"")+(Tasks[[#This Row],[_Res2]]&lt;&gt;"")+(Tasks[[#This Row],[_Res3]]&lt;&gt;"")+(Tasks[[#This Row],[_Res4]]&lt;&gt;""))</f>
        <v>0</v>
      </c>
      <c r="DO76" s="42" t="str">
        <f aca="false">IF(Tasks[[#This Row],[_Res2Text]]="","",IF(Tasks[[#This Row],[_Res2Row]]&gt;0,INDEX(res_Name,Tasks[[#This Row],[_Res2Row]]),TRIM(LEFT(Tasks[[#This Row],[_Res2Text]],FIND("[",Tasks[[#This Row],[_Res2Text]]&amp;"[")-1))))</f>
        <v/>
      </c>
      <c r="DP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6" s="42" t="n">
        <f aca="false">IF(OR(NOT(Tasks[[#This Row],[_IsLeaf]]=1),Tasks[[#This Row],[_Res2Row]]=0),0,N(Tasks[[#This Row],[_Days]])*HoursPerDay*IF(Tasks[[#This Row],[_Res2Units]]="",DefaultUnits,Tasks[[#This Row],[_Res2Units]]))</f>
        <v>0</v>
      </c>
      <c r="DR76" s="42" t="n">
        <f aca="false">IF(AND(AND(Tasks[[#This Row],[_IsLeaf]]=1,Tasks[[#This Row],[_LeafTotalWork]]&gt;0),Tasks[[#This Row],[_Res2Work]]&gt;0),Tasks[[#This Row],[_Res2Work]]/(Tasks[[#This Row],[_FinishWorkday]]-Tasks[[#This Row],[_StartWorkday]]+1),0)</f>
        <v>0</v>
      </c>
      <c r="DS76" s="42" t="n">
        <f aca="false">Tasks[[#This Row],[_Res2WorkPerWD]]*MAX(0,Tasks[[#This Row],[_StartWorkday]]-1)</f>
        <v>0</v>
      </c>
      <c r="DT76" s="42" t="n">
        <f aca="false">Tasks[[#This Row],[_Res2Work]]*Tasks[[#This Row],[_LeafProgress]]</f>
        <v>0</v>
      </c>
      <c r="DU76" s="42" t="str">
        <f aca="false">IF(Tasks[[#This Row],[_Res3Text]]="","",IF(Tasks[[#This Row],[_Res3Row]]&gt;0,INDEX(res_Name,Tasks[[#This Row],[_Res3Row]]),TRIM(LEFT(Tasks[[#This Row],[_Res3Text]],FIND("[",Tasks[[#This Row],[_Res3Text]]&amp;"[")-1))))</f>
        <v/>
      </c>
      <c r="DV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6" s="42" t="n">
        <f aca="false">IF(OR(NOT(Tasks[[#This Row],[_IsLeaf]]=1),Tasks[[#This Row],[_Res3Row]]=0),0,N(Tasks[[#This Row],[_Days]])*HoursPerDay*IF(Tasks[[#This Row],[_Res3Units]]="",DefaultUnits,Tasks[[#This Row],[_Res3Units]]))</f>
        <v>0</v>
      </c>
      <c r="DX76" s="42" t="n">
        <f aca="false">IF(AND(AND(Tasks[[#This Row],[_IsLeaf]]=1,Tasks[[#This Row],[_LeafTotalWork]]&gt;0),Tasks[[#This Row],[_Res3Work]]&gt;0),Tasks[[#This Row],[_Res3Work]]/(Tasks[[#This Row],[_FinishWorkday]]-Tasks[[#This Row],[_StartWorkday]]+1),0)</f>
        <v>0</v>
      </c>
      <c r="DY76" s="42" t="n">
        <f aca="false">Tasks[[#This Row],[_Res3WorkPerWD]]*MAX(0,Tasks[[#This Row],[_StartWorkday]]-1)</f>
        <v>0</v>
      </c>
      <c r="DZ76" s="42" t="n">
        <f aca="false">Tasks[[#This Row],[_Res3Work]]*Tasks[[#This Row],[_LeafProgress]]</f>
        <v>0</v>
      </c>
      <c r="EA76" s="42" t="str">
        <f aca="false">IF(Tasks[[#This Row],[_Res4Text]]="","",IF(Tasks[[#This Row],[_Res4Row]]&gt;0,INDEX(res_Name,Tasks[[#This Row],[_Res4Row]]),TRIM(LEFT(Tasks[[#This Row],[_Res4Text]],FIND("[",Tasks[[#This Row],[_Res4Text]]&amp;"[")-1))))</f>
        <v/>
      </c>
      <c r="EB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6" s="42" t="n">
        <f aca="false">IF(OR(NOT(Tasks[[#This Row],[_IsLeaf]]=1),Tasks[[#This Row],[_Res4Row]]=0),0,N(Tasks[[#This Row],[_Days]])*HoursPerDay*IF(Tasks[[#This Row],[_Res4Units]]="",DefaultUnits,Tasks[[#This Row],[_Res4Units]]))</f>
        <v>0</v>
      </c>
      <c r="ED76" s="42" t="n">
        <f aca="false">IF(AND(AND(Tasks[[#This Row],[_IsLeaf]]=1,Tasks[[#This Row],[_LeafTotalWork]]&gt;0),Tasks[[#This Row],[_Res4Work]]&gt;0),Tasks[[#This Row],[_Res4Work]]/(Tasks[[#This Row],[_FinishWorkday]]-Tasks[[#This Row],[_StartWorkday]]+1),0)</f>
        <v>0</v>
      </c>
      <c r="EE76" s="42" t="n">
        <f aca="false">Tasks[[#This Row],[_Res4WorkPerWD]]*MAX(0,Tasks[[#This Row],[_StartWorkday]]-1)</f>
        <v>0</v>
      </c>
      <c r="EF76" s="42" t="n">
        <f aca="false">Tasks[[#This Row],[_Res4Work]]*Tasks[[#This Row],[_LeafProgress]]</f>
        <v>0</v>
      </c>
      <c r="EG76" s="42" t="n">
        <f aca="false">IF(ISNUMBER(Tasks[[#This Row],[% Complete]]),Tasks[[#This Row],[% Complete]],IF(Tasks[[#This Row],[Stage]]="",0,IFERROR(INDEX(stg_Pct,MATCH(Tasks[[#This Row],[Stage]],stg_Name,0)),0)))</f>
        <v>0</v>
      </c>
      <c r="EH76" s="42" t="n">
        <f aca="false">IF(NOT(Tasks[[#This Row],[_IsLeaf]]=1),0,IF(N(Tasks[[#This Row],[Actual Finish]])&gt;0,1,MIN(1,Tasks[[#This Row],[_Pct]])))</f>
        <v>0</v>
      </c>
      <c r="EI76" s="42" t="n">
        <f aca="false">IF(OR(NOT(Tasks[[#This Row],[_IsLeaf]]=1),Tasks[[#This Row],[_Res1Row]]=0),0,N(Tasks[[#This Row],[_Days]])*HoursPerDay*IF(Tasks[[#This Row],[_Units1]]="",DefaultUnits,Tasks[[#This Row],[_Units1]]))</f>
        <v>0</v>
      </c>
      <c r="EJ76" s="42" t="n">
        <f aca="false">Tasks[[#This Row],[_LeafWork]]+Tasks[[#This Row],[_Res2Work]]+Tasks[[#This Row],[_Res3Work]]+Tasks[[#This Row],[_Res4Work]]</f>
        <v>0</v>
      </c>
      <c r="EK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6" s="42" t="n">
        <f aca="false">IF(NOT(Tasks[[#This Row],[_IsLeaf]]=1),0,MAX(_xlfn.MAXIFS(Tasks[_Row],Tasks[_Pred1UID],Tasks[[#This Row],[UID]]),_xlfn.MAXIFS(Tasks[_Row],Tasks[_Pred2UID],Tasks[[#This Row],[UID]]),_xlfn.MAXIFS(Tasks[_Row],Tasks[_Pred3UID],Tasks[[#This Row],[UID]]),_xlfn.MAXIFS(Tasks[_Row],Tasks[_Pred4UID],Tasks[[#This Row],[UID]])))</f>
        <v>0</v>
      </c>
      <c r="ET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6" s="89" t="str">
        <f aca="false">IF(NOT(Tasks[[#This Row],[_IsLeaf]]=1),"",IF(N(Tasks[[#This Row],[_Days]])&lt;=0,Tasks[[#This Row],[_LeafLateFinish]],WORKDAY.INTL(Tasks[[#This Row],[_LeafLateFinish]],-(Tasks[[#This Row],[_Days]]-1),WorkWeek,Holidays)))</f>
        <v/>
      </c>
      <c r="EW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6" s="88" t="b">
        <f aca="false">AND(Tasks[[#This Row],[_IsLeaf]]=1,Tasks[[#This Row],[_LeafProgress]]&lt;1,N(Tasks[[#This Row],[_LeafTotalSlack]])&lt;=CriticalSlackDays)</f>
        <v>0</v>
      </c>
      <c r="EY76" s="42" t="n">
        <f aca="false">IF(AND(Tasks[[#This Row],[_IsLeaf]]=1,Tasks[[#This Row],[_ConstraintCode]]=1,Tasks[[#This Row],[Mode]]&lt;&gt;"Manual",N(Tasks[[#This Row],[Actual Start]])=0),MAX(0,N(Tasks[[#This Row],[Free Slack]])),0)</f>
        <v>0</v>
      </c>
      <c r="EZ76" s="89" t="str">
        <f aca="false">IF(NOT(Tasks[[#This Row],[_IsLeaf]]=1),"",IF(Tasks[[#This Row],[_AlapShift]]=0,Tasks[[#This Row],[_LeafCalcStart]],WORKDAY.INTL(Tasks[[#This Row],[_LeafCalcStart]],Tasks[[#This Row],[_AlapShift]],WorkWeek,Holidays)))</f>
        <v/>
      </c>
      <c r="FA76" s="89" t="str">
        <f aca="false">IF(NOT(Tasks[[#This Row],[_IsLeaf]]=1),"",IF(Tasks[[#This Row],[_AlapShift]]=0,Tasks[[#This Row],[_LeafCalcFinish]],WORKDAY.INTL(Tasks[[#This Row],[_LeafCalcFinish]],Tasks[[#This Row],[_AlapShift]],WorkWeek,Holidays)))</f>
        <v/>
      </c>
      <c r="FB76" s="89" t="str">
        <f aca="false">IF(NOT(Tasks[[#This Row],[_IsLeaf]]=1),"",IF(Tasks[[#This Row],[_AlapShift]]=0,Tasks[[#This Row],[_LeafFcstStart]],WORKDAY.INTL(Tasks[[#This Row],[_LeafFcstStart]],Tasks[[#This Row],[_AlapShift]],WorkWeek,Holidays)))</f>
        <v/>
      </c>
      <c r="FC76" s="89" t="str">
        <f aca="false">IF(NOT(Tasks[[#This Row],[_IsLeaf]]=1),"",IF(Tasks[[#This Row],[_AlapShift]]=0,Tasks[[#This Row],[_LeafFcstFinish]],WORKDAY.INTL(Tasks[[#This Row],[_LeafFcstFinish]],Tasks[[#This Row],[_AlapShift]],WorkWeek,Holidays)))</f>
        <v/>
      </c>
      <c r="FD76" s="89" t="str">
        <f aca="false">IF(Tasks[[#This Row],[Task Name]]="","",IF(Tasks[[#This Row],[_IsSummary]],MIN(INDEX(Tasks[_ShownCalcStart],Tasks[[#This Row],[_Row]]+1):INDEX(Tasks[_ShownCalcStart],Tasks[[#This Row],[_Row]]+Tasks[[#This Row],[_Descendants]])),Tasks[[#This Row],[_ShownCalcStart]]))</f>
        <v/>
      </c>
      <c r="FE76" s="89" t="str">
        <f aca="false">IF(Tasks[[#This Row],[Task Name]]="","",IF(Tasks[[#This Row],[_IsSummary]],MAX(INDEX(Tasks[_ShownCalcFinish],Tasks[[#This Row],[_Row]]+1):INDEX(Tasks[_ShownCalcFinish],Tasks[[#This Row],[_Row]]+Tasks[[#This Row],[_Descendants]])),Tasks[[#This Row],[_ShownCalcFinish]]))</f>
        <v/>
      </c>
      <c r="FF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6" s="42" t="n">
        <f aca="false">IF(AND(Tasks[[#This Row],[_IsLeaf]]=1,Tasks[[#This Row],[_LeafTotalWork]]&gt;0),NETWORKDAYS.INTL(ProjectStart,Tasks[[#This Row],[_ShownFcstStart]],WorkWeek,Holidays),0)</f>
        <v>0</v>
      </c>
      <c r="FS76" s="42" t="n">
        <f aca="false">IF(AND(Tasks[[#This Row],[_IsLeaf]]=1,Tasks[[#This Row],[_LeafTotalWork]]&gt;0),MAX(Tasks[[#This Row],[_StartWorkday]],NETWORKDAYS.INTL(ProjectStart,Tasks[[#This Row],[_ShownFcstFinish]],WorkWeek,Holidays)),0)</f>
        <v>0</v>
      </c>
      <c r="FT76" s="42" t="n">
        <f aca="false">IF(AND(Tasks[[#This Row],[_IsLeaf]]=1,Tasks[[#This Row],[_LeafTotalWork]]&gt;0),Tasks[[#This Row],[_LeafWork]]/(Tasks[[#This Row],[_FinishWorkday]]-Tasks[[#This Row],[_StartWorkday]]+1),0)</f>
        <v>0</v>
      </c>
      <c r="FU76" s="42" t="n">
        <f aca="false">Tasks[[#This Row],[_WorkPerWorkday]]*(Tasks[[#This Row],[_StartWorkday]]-1)</f>
        <v>-0</v>
      </c>
      <c r="FV76" s="42" t="n">
        <f aca="false">IF(Tasks[[#This Row],[_IsLeaf]]=1,MAX(N(Tasks[[#This Row],[_Days]]),0.1),0)</f>
        <v>0</v>
      </c>
      <c r="FW76" s="42" t="n">
        <f aca="false">Tasks[[#This Row],[_WeightDur]]*Tasks[[#This Row],[_LeafProgress]]</f>
        <v>0</v>
      </c>
      <c r="FX76" s="42" t="n">
        <f aca="false">Tasks[[#This Row],[_WeightDur]]*Tasks[[#This Row],[_PlannedPct]]</f>
        <v>0</v>
      </c>
      <c r="FY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6" s="42" t="str">
        <f aca="false">IF(AND(Tasks[[#This Row],[_IsLeaf]]=1,N(Tasks[[#This Row],[_Days]])=0,Tasks[[#This Row],[_LeafProgress]]&lt;1),Tasks[[#This Row],[_ShownFcstFinish]]+Tasks[[#This Row],[_Row]]/100000,"")</f>
        <v/>
      </c>
      <c r="GA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6" s="42" t="str">
        <f aca="false">IF(Tasks[[#This Row],[Task Name]]="","",LEFT(Tasks[[#This Row],[WBS]],FIND(".",Tasks[[#This Row],[WBS]]&amp;".")-1))</f>
        <v/>
      </c>
      <c r="GC76" s="42" t="str">
        <f aca="false">IF(AND(Tasks[[#This Row],[Task Name]]&lt;&gt;"",Tasks[[#This Row],[_Level]]=1),Tasks[[#This Row],[_Row]],"")</f>
        <v/>
      </c>
      <c r="GD76" s="42" t="str">
        <f aca="false">IF(AND(Tasks[[#This Row],[_IsLeaf]]=1,N(Tasks[[#This Row],[_Days]])=0),Tasks[[#This Row],[Planned Finish]]+Tasks[[#This Row],[_Row]]/100000,"")</f>
        <v/>
      </c>
      <c r="GE76" s="42" t="str">
        <f aca="false">IF(AND(Tasks[[#This Row],[_IsLeaf]]=1,Tasks[[#This Row],[_LeafProgress]]&lt;1,OR(N(Tasks[[#This Row],[Finish Var]])&gt;0,Tasks[[#This Row],[Status]]="Late Start")),MAX(0,Tasks[[#This Row],[Finish Var]])+1-Tasks[[#This Row],[_Row]]/1000000,"")</f>
        <v/>
      </c>
      <c r="GF76" s="42" t="str">
        <f aca="false">IF(AND(Tasks[[#This Row],[_IsLeaf]]=1,N(Tasks[[#This Row],[Actual Start]])=0,Tasks[[#This Row],[_ShownFcstStart]]&gt;=StatusDate,Tasks[[#This Row],[_ShownFcstStart]]&lt;=LookaheadEnd),Tasks[[#This Row],[_ShownFcstStart]]+Tasks[[#This Row],[_Row]]/100000,"")</f>
        <v/>
      </c>
      <c r="GG76" s="42" t="str">
        <f aca="false">IF(AND(Tasks[[#This Row],[_IsLeaf]]=1,Tasks[[#This Row],[_LeafProgress]]&lt;1,Tasks[[#This Row],[_ShownFcstFinish]]&gt;=StatusDate,Tasks[[#This Row],[_ShownFcstFinish]]&lt;=LookaheadEnd),Tasks[[#This Row],[_ShownFcstFinish]]+Tasks[[#This Row],[_Row]]/100000,"")</f>
        <v/>
      </c>
      <c r="GH76" s="42" t="str">
        <f aca="false">IF(Tasks[[#This Row],[_LeafCritical]],Tasks[[#This Row],[_ShownFcstStart]]+Tasks[[#This Row],[_Row]]/100000,"")</f>
        <v/>
      </c>
      <c r="GI76" s="42" t="n">
        <f aca="false">Tasks[[#This Row],[_LeafWork]]*Tasks[[#This Row],[_LeafProgress]]</f>
        <v>0</v>
      </c>
      <c r="GJ76" s="89" t="str">
        <f aca="false">IF(AND(Tasks[[#This Row],[_IsLeaf]]=1,Tasks[[#This Row],[_LeafProgress]]&gt;=1),IF(N(Tasks[[#This Row],[Actual Finish]])&gt;0,Tasks[[#This Row],[Actual Finish]],Tasks[[#This Row],[_ShownFcstFinish]]),"")</f>
        <v/>
      </c>
      <c r="GK76" s="42" t="n">
        <f aca="false">IF(Tasks[[#This Row],[_IsLeaf]]=1,N(Tasks[[#This Row],[Story Points]]),0)</f>
        <v>0</v>
      </c>
      <c r="GL76" s="42" t="str">
        <f aca="false">""</f>
        <v/>
      </c>
      <c r="GM76" s="88" t="b">
        <f aca="false">IF(Tasks[[#This Row],[Task Name]]="",FALSE(),AND(Tasks[[#This Row],[_IsLeaf]]=1,N(Tasks[[#This Row],[_Days]])=0))</f>
        <v>0</v>
      </c>
      <c r="GN76" s="89" t="n">
        <f aca="false">IF(Tasks[[#This Row],[Task Name]]="",0,IF(AND(Tasks[[#This Row],[_IsLeaf]]=1,NOT(Tasks[[#This Row],[_IsMilestone]]),N(Tasks[[#This Row],[Progress]])&gt;0),Tasks[[#This Row],[Start]],0))</f>
        <v>0</v>
      </c>
      <c r="GO76" s="89" t="n">
        <f aca="false">IF(Tasks[[#This Row],[_DoneFrom]]=0,0,IF(Tasks[[#This Row],[Progress]]&gt;=1,Tasks[[#This Row],[Finish]],MAX(Tasks[[#This Row],[_DoneFrom]],Tasks[[#This Row],[Start]]+ROUND((Tasks[[#This Row],[Finish]]-Tasks[[#This Row],[Start]]+1)*Tasks[[#This Row],[Progress]],0)-1)))</f>
        <v>0</v>
      </c>
      <c r="GP76" s="89" t="n">
        <f aca="false">IF(Tasks[[#This Row],[Task Name]]="",0,IF(OR(NOT(Tasks[[#This Row],[_IsLeaf]]=1),Tasks[[#This Row],[_IsMilestone]],N(Tasks[[#This Row],[Progress]])&gt;=1),0,IF(Tasks[[#This Row],[_DoneTo]]&gt;0,Tasks[[#This Row],[_DoneTo]]+1,Tasks[[#This Row],[Start]])))</f>
        <v>0</v>
      </c>
      <c r="GQ76" s="89" t="n">
        <f aca="false">IF(Tasks[[#This Row],[_RemFrom]]=0,0,Tasks[[#This Row],[Finish]])</f>
        <v>0</v>
      </c>
      <c r="GR76" s="88" t="b">
        <f aca="false">IF(Tasks[[#This Row],[Task Name]]="",FALSE(),OR(NOT(BaselineSet),N(Tasks[[#This Row],[Baseline Start]])&gt;0))</f>
        <v>0</v>
      </c>
      <c r="GS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6" s="90" t="str">
        <f aca="false">IF(Tasks[[#This Row],[_IsLeaf]]=1,Tasks[[#This Row],[_Row]],"")</f>
        <v/>
      </c>
      <c r="GW76" s="90" t="str">
        <f aca="false">IFERROR(INDEX(Tasks[UID],SMALL(Tasks[_PickKey],Tasks[[#This Row],[_Row]]))&amp;" "&amp;INDEX(Tasks[Task Name],SMALL(Tasks[_PickKey],Tasks[[#This Row],[_Row]])),"")</f>
        <v/>
      </c>
      <c r="GX76" s="42" t="str">
        <f aca="false">IF(Tasks[[#This Row],[Task Name]]="","",IF(Tasks[[#This Row],[_IsSummary]],NETWORKDAYS.INTL(Tasks[[#This Row],[Start]],Tasks[[#This Row],[Finish]],WorkWeek,Holidays),N(Tasks[[#This Row],[_Days]])))</f>
        <v/>
      </c>
    </row>
    <row r="77" customFormat="false" ht="15" hidden="false" customHeight="false" outlineLevel="0" collapsed="false">
      <c r="A77" s="21" t="str">
        <f aca="false">IF(Tasks[[#This Row],[Task Name]]="","",COUNTA(Tasks[[#Headers],[Task Name]]:Tasks[[#This Row],[Task Name]])-1)</f>
        <v/>
      </c>
      <c r="B77" s="22" t="n">
        <v>85</v>
      </c>
      <c r="C77" s="22"/>
      <c r="D77" s="23"/>
      <c r="E77" s="22"/>
      <c r="F77" s="23"/>
      <c r="G77" s="22"/>
      <c r="H77" s="22"/>
      <c r="I77" s="23"/>
      <c r="J77" s="22"/>
      <c r="K77" s="22"/>
      <c r="L77" s="23"/>
      <c r="M77" s="22"/>
      <c r="N77" s="22"/>
      <c r="O77" s="23"/>
      <c r="P77" s="22"/>
      <c r="Q77" s="22"/>
      <c r="R77" s="23"/>
      <c r="S77" s="23"/>
      <c r="T77" s="83"/>
      <c r="U77" s="23"/>
      <c r="V77" s="83"/>
      <c r="W77" s="23"/>
      <c r="X77" s="83"/>
      <c r="Y77" s="23"/>
      <c r="Z77" s="83"/>
      <c r="AA77" s="23"/>
      <c r="AB77" s="23"/>
      <c r="AC77" s="7"/>
      <c r="AD77" s="7"/>
      <c r="AE77" s="62" t="str">
        <f aca="false">IF(Tasks[[#This Row],[Task Name]]="","",IF(Tasks[[#This Row],[_IsSummary]],MIN(INDEX(Tasks[_ShownFcstStart],Tasks[[#This Row],[_Row]]+1):INDEX(Tasks[_ShownFcstStart],Tasks[[#This Row],[_Row]]+Tasks[[#This Row],[_Descendants]])),Tasks[[#This Row],[_ShownFcstStart]]))</f>
        <v/>
      </c>
      <c r="AF77" s="62" t="str">
        <f aca="false">IF(Tasks[[#This Row],[Task Name]]="","",IF(Tasks[[#This Row],[_IsSummary]],MAX(INDEX(Tasks[_ShownFcstFinish],Tasks[[#This Row],[_Row]]+1):INDEX(Tasks[_ShownFcstFinish],Tasks[[#This Row],[_Row]]+Tasks[[#This Row],[_Descendants]])),Tasks[[#This Row],[_ShownFcstFinish]]))</f>
        <v/>
      </c>
      <c r="AG77" s="21" t="str">
        <f aca="false">""</f>
        <v/>
      </c>
      <c r="AH77" s="23"/>
      <c r="AI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7" s="7"/>
      <c r="AK77" s="22"/>
      <c r="AL77" s="23"/>
      <c r="AM77" s="7"/>
      <c r="AN77" s="46" t="str">
        <f aca="false">IF(Tasks[[#This Row],[Task Name]]="","",IF(Tasks[[#This Row],[Finish]]&gt;=Tasks[[#This Row],[Planned Finish]],NETWORKDAYS.INTL(Tasks[[#This Row],[Planned Finish]],Tasks[[#This Row],[Finish]],WorkWeek,Holidays)-1,1-NETWORKDAYS.INTL(Tasks[[#This Row],[Finish]],Tasks[[#This Row],[Planned Finish]],WorkWeek,Holidays)))</f>
        <v/>
      </c>
      <c r="AO77" s="21" t="str">
        <f aca="false">IF(Tasks[[#This Row],[Task Name]]="","",IF(Tasks[[#This Row],[Progress]]&gt;=1,"Complete",IF(OR(N(Tasks[[#This Row],[Actual Start]])&gt;0,Tasks[[#This Row],[Progress]]&gt;0),IF(Tasks[[#This Row],[Finish Var]]&gt;0,"Behind","In Progress"),IF(Tasks[[#This Row],[Planned Start]]&lt;StatusDate,"Late Start","Not Started"))))</f>
        <v/>
      </c>
      <c r="AP77" s="21" t="str">
        <f aca="false">IF(Tasks[[#This Row],[Task Name]]="","",IF(IF(Tasks[[#This Row],[_IsSummary]],COUNTIF(INDEX(Tasks[_LeafCritical],Tasks[[#This Row],[_Row]]+1):INDEX(Tasks[_LeafCritical],Tasks[[#This Row],[_Row]]+Tasks[[#This Row],[_Descendants]]),TRUE())&gt;0,Tasks[[#This Row],[_LeafCritical]]),"Yes",""))</f>
        <v/>
      </c>
      <c r="AQ77" s="62" t="str">
        <f aca="false">IF(Tasks[[#This Row],[Task Name]]="","",IF(N(Tasks[[#This Row],[Baseline Start]])&gt;0,Tasks[[#This Row],[Baseline Start]],Tasks[[#This Row],[_CalcStart]]))</f>
        <v/>
      </c>
      <c r="AR77" s="62" t="str">
        <f aca="false">IF(Tasks[[#This Row],[Task Name]]="","",IF(N(Tasks[[#This Row],[Baseline Finish]])&gt;0,Tasks[[#This Row],[Baseline Finish]],Tasks[[#This Row],[_CalcFinish]]))</f>
        <v/>
      </c>
      <c r="AS77" s="46" t="str">
        <f aca="false">IF(Tasks[[#This Row],[Task Name]]="","",IF(Tasks[[#This Row],[Start]]&gt;=Tasks[[#This Row],[Planned Start]],NETWORKDAYS.INTL(Tasks[[#This Row],[Planned Start]],Tasks[[#This Row],[Start]],WorkWeek,Holidays)-1,1-NETWORKDAYS.INTL(Tasks[[#This Row],[Start]],Tasks[[#This Row],[Planned Start]],WorkWeek,Holidays)))</f>
        <v/>
      </c>
      <c r="AT77" s="62" t="str">
        <f aca="false">IF(Tasks[[#This Row],[Task Name]]="","",IF(Tasks[[#This Row],[_IsSummary]],MIN(INDEX(Tasks[_LeafLateStart],Tasks[[#This Row],[_Row]]+1):INDEX(Tasks[_LeafLateStart],Tasks[[#This Row],[_Row]]+Tasks[[#This Row],[_Descendants]])),Tasks[[#This Row],[_LeafLateStart]]))</f>
        <v/>
      </c>
      <c r="AU77" s="62" t="str">
        <f aca="false">IF(Tasks[[#This Row],[Task Name]]="","",IF(Tasks[[#This Row],[_IsSummary]],MAX(INDEX(Tasks[_LeafLateFinish],Tasks[[#This Row],[_Row]]+1):INDEX(Tasks[_LeafLateFinish],Tasks[[#This Row],[_Row]]+Tasks[[#This Row],[_Descendants]])),Tasks[[#This Row],[_LeafLateFinish]]))</f>
        <v/>
      </c>
      <c r="AV77" s="46" t="str">
        <f aca="false">IF(Tasks[[#This Row],[Task Name]]="","",IF(Tasks[[#This Row],[_IsSummary]],MIN(INDEX(Tasks[_LeafTotalSlack],Tasks[[#This Row],[_Row]]+1):INDEX(Tasks[_LeafTotalSlack],Tasks[[#This Row],[_Row]]+Tasks[[#This Row],[_Descendants]])),Tasks[[#This Row],[_LeafTotalSlack]]))</f>
        <v/>
      </c>
      <c r="AW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4"/>
      <c r="BA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t="str">
        <f aca="false">IF(Tasks[[#This Row],[Task Name]]="","",IF(Tasks[[#This Row],[_Level]]&lt;=OutlineShowLevel,"Yes","No"))</f>
        <v/>
      </c>
      <c r="BE77" s="85" t="str">
        <f aca="false">IF(Tasks[[#This Row],[Task Name]]="","",IF(Tasks[[#This Row],[_IsSummary]],SUM(INDEX(Tasks[_LeafTotalWork],Tasks[[#This Row],[_Row]]+1):INDEX(Tasks[_LeafTotalWork],Tasks[[#This Row],[_Row]]+Tasks[[#This Row],[_Descendants]])),Tasks[[#This Row],[_LeafTotalWork]]))</f>
        <v/>
      </c>
      <c r="BF77" s="23"/>
      <c r="BG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t="str">
        <f aca="false">""</f>
        <v/>
      </c>
      <c r="BI77" s="86"/>
      <c r="BJ77" s="22"/>
      <c r="BK77" s="46" t="str">
        <f aca="false">IF(OR(Tasks[[#This Row],[Task Name]]="",Tasks[[#This Row],[Baseline Duration]]=""),"",Tasks[[#This Row],[_SpanDays]]-N(Tasks[[#This Row],[Baseline Duration]]))</f>
        <v/>
      </c>
      <c r="BL77" s="85" t="str">
        <f aca="false">IF(OR(Tasks[[#This Row],[Task Name]]="",Tasks[[#This Row],[Baseline Work]]=""),"",Tasks[[#This Row],[Work]]-N(Tasks[[#This Row],[Baseline Work]]))</f>
        <v/>
      </c>
      <c r="BM77" s="62" t="str">
        <f aca="false">IF(Tasks[[#This Row],[Task Name]]="","",IF(OR(TakeBaseline="Yes",N(Tasks[[#This Row],[Baseline Start]])=0),Tasks[[#This Row],[Start]],Tasks[[#This Row],[Baseline Start]]))</f>
        <v/>
      </c>
      <c r="BN77" s="62" t="str">
        <f aca="false">IF(Tasks[[#This Row],[Task Name]]="","",IF(OR(TakeBaseline="Yes",N(Tasks[[#This Row],[Baseline Finish]])=0),Tasks[[#This Row],[Finish]],Tasks[[#This Row],[Baseline Finish]]))</f>
        <v/>
      </c>
      <c r="BO77" s="21" t="str">
        <f aca="false">IF(Tasks[[#This Row],[Task Name]]="","",IF(OR(TakeBaseline="Yes",N(Tasks[[#This Row],[Baseline Duration]])=0),Tasks[[#This Row],[_SpanDays]],Tasks[[#This Row],[Baseline Duration]]))</f>
        <v/>
      </c>
      <c r="BP77" s="85" t="str">
        <f aca="false">IF(Tasks[[#This Row],[Task Name]]="","",IF(OR(TakeBaseline="Yes",N(Tasks[[#This Row],[Baseline Work]])=0),Tasks[[#This Row],[Work]],Tasks[[#This Row],[Baseline Work]]))</f>
        <v/>
      </c>
      <c r="BQ77" s="7"/>
      <c r="BR77" s="7"/>
      <c r="BS77" s="22"/>
      <c r="BT77" s="87"/>
      <c r="BU77" s="42" t="str">
        <f aca="false">IF(Tasks[[#This Row],[Task Name]]="","",MAX(1,N(Tasks[[#This Row],[Level]])))</f>
        <v/>
      </c>
      <c r="BV77" s="42" t="n">
        <f aca="false">ROW()-ROW(Tasks[[#Headers],[ID]])</f>
        <v>72</v>
      </c>
      <c r="BW77" s="42" t="n">
        <f aca="false">IF(OR(Tasks[[#This Row],[Task Name]]="",Tasks[[#This Row],[_Level]]&lt;=1),0,IFERROR(LOOKUP(2,1/(Tasks[[#Headers],[_Level]]:Tasks[[#This Row],[_Level]]=Tasks[[#This Row],[_Level]]-1),ROW(Tasks[[#Headers],[_Level]]:Tasks[[#This Row],[_Level]])),0))</f>
        <v>0</v>
      </c>
      <c r="BX77" s="42" t="n">
        <f aca="false">IFERROR(N(INDEX(Tasks[_Level],Tasks[[#This Row],[_Row]]+1)),0)</f>
        <v>0</v>
      </c>
      <c r="BY77" s="88" t="b">
        <f aca="false">AND(Tasks[[#This Row],[Task Name]]&lt;&gt;"",Tasks[[#This Row],[_NextLevel]]&gt;Tasks[[#This Row],[_Level]])</f>
        <v>0</v>
      </c>
      <c r="BZ77" s="42" t="n">
        <f aca="false">IF(Tasks[[#This Row],[_IsSummary]],COUNTIF(Tasks[WBS],Tasks[[#This Row],[WBS]]&amp;".*"),0)</f>
        <v>0</v>
      </c>
      <c r="CA77" s="42" t="n">
        <f aca="false">IF(AND(Tasks[[#This Row],[Task Name]]&lt;&gt;"",NOT(Tasks[[#This Row],[_IsSummary]])),1,0)</f>
        <v>0</v>
      </c>
      <c r="CB77" s="42" t="n">
        <f aca="false">IF(N(Tasks[[#This Row],[_Pred1UID]])=0,0,IFERROR(MATCH(Tasks[[#This Row],[_Pred1UID]],Tasks[UID],0),-1))</f>
        <v>0</v>
      </c>
      <c r="CC77" s="42" t="n">
        <f aca="false">IF(N(Tasks[[#This Row],[_Pred2UID]])=0,0,IFERROR(MATCH(Tasks[[#This Row],[_Pred2UID]],Tasks[UID],0),-1))</f>
        <v>0</v>
      </c>
      <c r="CD77" s="42" t="n">
        <f aca="false">IF(N(Tasks[[#This Row],[_Pred3UID]])=0,0,IFERROR(MATCH(Tasks[[#This Row],[_Pred3UID]],Tasks[UID],0),-1))</f>
        <v>0</v>
      </c>
      <c r="CE77" s="42" t="n">
        <f aca="false">IF(N(Tasks[[#This Row],[_Pred4UID]])=0,0,IFERROR(MATCH(Tasks[[#This Row],[_Pred4UID]],Tasks[UID],0),-1))</f>
        <v>0</v>
      </c>
      <c r="CF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7" s="89" t="n">
        <f aca="false">IF(OR(Tasks[[#This Row],[_ConstraintCode]]=2,Tasks[[#This Row],[_ConstraintCode]]=3,Tasks[[#This Row],[_ConstraintCode]]=4,Tasks[[#This Row],[_ConstraintCode]]=6),Tasks[[#This Row],[_ConstraintStart]],0)</f>
        <v>0</v>
      </c>
      <c r="CI77" s="89" t="n">
        <f aca="false">IF(OR(Tasks[[#This Row],[_ConstraintCode]]=2,Tasks[[#This Row],[_ConstraintCode]]=3,Tasks[[#This Row],[_ConstraintCode]]=5,Tasks[[#This Row],[_ConstraintCode]]=7),Tasks[[#This Row],[_ConstraintStart]],2958465)</f>
        <v>2958465</v>
      </c>
      <c r="CJ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7" s="89" t="str">
        <f aca="false">IF(NOT(Tasks[[#This Row],[_IsLeaf]]=1),"",IF(N(Tasks[[#This Row],[_Days]])&lt;=0,Tasks[[#This Row],[_LeafCalcStart]],WORKDAY.INTL(Tasks[[#This Row],[_LeafCalcStart]],Tasks[[#This Row],[_Days]]-1,WorkWeek,Holidays)))</f>
        <v/>
      </c>
      <c r="CL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7" s="42" t="str">
        <f aca="false">IF(Tasks[[#This Row],[_Predecessors]]="","",TRIM(MID(SUBSTITUTE(SUBSTITUTE(SUBSTITUTE(UPPER(Tasks[[#This Row],[_Predecessors]]),";",",")," ",""),",",REPT(" ",99)),1,99)))</f>
        <v/>
      </c>
      <c r="CO77" s="42" t="str">
        <f aca="false">IF(Tasks[[#This Row],[_Pred1Text]]="","",IFERROR(VALUE(LEFT(Tasks[[#This Row],[_Pred1Text]],MIN(FIND("F",Tasks[[#This Row],[_Pred1Text]]&amp;"F"),FIND("S",Tasks[[#This Row],[_Pred1Text]]&amp;"S"),FIND("+",Tasks[[#This Row],[_Pred1Text]]&amp;"+"),FIND("-",Tasks[[#This Row],[_Pred1Text]]&amp;"-"))-1)),""))</f>
        <v/>
      </c>
      <c r="CP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7" s="42" t="str">
        <f aca="false">IF(Tasks[[#This Row],[_Pred1Text]]="","",TRIM(MID(SUBSTITUTE(SUBSTITUTE(SUBSTITUTE(UPPER(Tasks[[#This Row],[_Predecessors]]),";",",")," ",""),",",REPT(" ",99)),100,99)))</f>
        <v/>
      </c>
      <c r="CS77" s="42" t="str">
        <f aca="false">IF(Tasks[[#This Row],[_Pred2Text]]="","",IFERROR(VALUE(LEFT(Tasks[[#This Row],[_Pred2Text]],MIN(FIND("F",Tasks[[#This Row],[_Pred2Text]]&amp;"F"),FIND("S",Tasks[[#This Row],[_Pred2Text]]&amp;"S"),FIND("+",Tasks[[#This Row],[_Pred2Text]]&amp;"+"),FIND("-",Tasks[[#This Row],[_Pred2Text]]&amp;"-"))-1)),""))</f>
        <v/>
      </c>
      <c r="CT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7" s="42" t="str">
        <f aca="false">IF(Tasks[[#This Row],[_Pred2Text]]="","",TRIM(MID(SUBSTITUTE(SUBSTITUTE(SUBSTITUTE(UPPER(Tasks[[#This Row],[_Predecessors]]),";",",")," ",""),",",REPT(" ",99)),199,99)))</f>
        <v/>
      </c>
      <c r="CW77" s="42" t="str">
        <f aca="false">IF(Tasks[[#This Row],[_Pred3Text]]="","",IFERROR(VALUE(LEFT(Tasks[[#This Row],[_Pred3Text]],MIN(FIND("F",Tasks[[#This Row],[_Pred3Text]]&amp;"F"),FIND("S",Tasks[[#This Row],[_Pred3Text]]&amp;"S"),FIND("+",Tasks[[#This Row],[_Pred3Text]]&amp;"+"),FIND("-",Tasks[[#This Row],[_Pred3Text]]&amp;"-"))-1)),""))</f>
        <v/>
      </c>
      <c r="CX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7" s="42" t="str">
        <f aca="false">IF(Tasks[[#This Row],[_Pred3Text]]="","",TRIM(MID(SUBSTITUTE(SUBSTITUTE(SUBSTITUTE(UPPER(Tasks[[#This Row],[_Predecessors]]),";",",")," ",""),",",REPT(" ",99)),298,99)))</f>
        <v/>
      </c>
      <c r="DA77" s="42" t="str">
        <f aca="false">IF(Tasks[[#This Row],[_Pred4Text]]="","",IFERROR(VALUE(LEFT(Tasks[[#This Row],[_Pred4Text]],MIN(FIND("F",Tasks[[#This Row],[_Pred4Text]]&amp;"F"),FIND("S",Tasks[[#This Row],[_Pred4Text]]&amp;"S"),FIND("+",Tasks[[#This Row],[_Pred4Text]]&amp;"+"),FIND("-",Tasks[[#This Row],[_Pred4Text]]&amp;"-"))-1)),""))</f>
        <v/>
      </c>
      <c r="DB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7" s="42" t="str">
        <f aca="false">IF(OR(Tasks[[#This Row],[Task Name]]="",Tasks[[#This Row],[_Resources]]=""),"",TRIM(MID(SUBSTITUTE(Tasks[[#This Row],[_Resources]],",",REPT(" ",99)),1,99)))</f>
        <v/>
      </c>
      <c r="DE77" s="42" t="str">
        <f aca="false">IF(Tasks[[#This Row],[_Res1Text]]="","",TRIM(MID(SUBSTITUTE(Tasks[[#This Row],[_Resources]],",",REPT(" ",99)),100,99)))</f>
        <v/>
      </c>
      <c r="DF77" s="42" t="str">
        <f aca="false">IF(Tasks[[#This Row],[_Res2Text]]="","",TRIM(MID(SUBSTITUTE(Tasks[[#This Row],[_Resources]],",",REPT(" ",99)),199,99)))</f>
        <v/>
      </c>
      <c r="DG77" s="42" t="str">
        <f aca="false">IF(Tasks[[#This Row],[_Res3Text]]="","",TRIM(MID(SUBSTITUTE(Tasks[[#This Row],[_Resources]],",",REPT(" ",99)),298,99)))</f>
        <v/>
      </c>
      <c r="DH77" s="42" t="n">
        <f aca="false">IF(Tasks[[#This Row],[_Res1Text]]="",0,IFERROR(MATCH(TRIM(LEFT(Tasks[[#This Row],[_Res1Text]],FIND("[",Tasks[[#This Row],[_Res1Text]]&amp;"[")-1)),res_Name,0),IFERROR(MATCH(TRIM(LEFT(Tasks[[#This Row],[_Res1Text]],FIND("[",Tasks[[#This Row],[_Res1Text]]&amp;"[")-1)),res_Initials,0),0)))</f>
        <v>0</v>
      </c>
      <c r="DI77" s="42" t="n">
        <f aca="false">IF(Tasks[[#This Row],[_Res2Text]]="",0,IFERROR(MATCH(TRIM(LEFT(Tasks[[#This Row],[_Res2Text]],FIND("[",Tasks[[#This Row],[_Res2Text]]&amp;"[")-1)),res_Name,0),IFERROR(MATCH(TRIM(LEFT(Tasks[[#This Row],[_Res2Text]],FIND("[",Tasks[[#This Row],[_Res2Text]]&amp;"[")-1)),res_Initials,0),0)))</f>
        <v>0</v>
      </c>
      <c r="DJ77" s="42" t="n">
        <f aca="false">IF(Tasks[[#This Row],[_Res3Text]]="",0,IFERROR(MATCH(TRIM(LEFT(Tasks[[#This Row],[_Res3Text]],FIND("[",Tasks[[#This Row],[_Res3Text]]&amp;"[")-1)),res_Name,0),IFERROR(MATCH(TRIM(LEFT(Tasks[[#This Row],[_Res3Text]],FIND("[",Tasks[[#This Row],[_Res3Text]]&amp;"[")-1)),res_Initials,0),0)))</f>
        <v>0</v>
      </c>
      <c r="DK77" s="42" t="n">
        <f aca="false">IF(Tasks[[#This Row],[_Res4Text]]="",0,IFERROR(MATCH(TRIM(LEFT(Tasks[[#This Row],[_Res4Text]],FIND("[",Tasks[[#This Row],[_Res4Text]]&amp;"[")-1)),res_Name,0),IFERROR(MATCH(TRIM(LEFT(Tasks[[#This Row],[_Res4Text]],FIND("[",Tasks[[#This Row],[_Res4Text]]&amp;"[")-1)),res_Initials,0),0)))</f>
        <v>0</v>
      </c>
      <c r="DL77" s="42" t="str">
        <f aca="false">IF(Tasks[[#This Row],[_Res1Text]]="","",IF(Tasks[[#This Row],[_Res1Row]]&gt;0,INDEX(res_Name,Tasks[[#This Row],[_Res1Row]]),TRIM(LEFT(Tasks[[#This Row],[_Res1Text]],FIND("[",Tasks[[#This Row],[_Res1Text]]&amp;"[")-1))))</f>
        <v/>
      </c>
      <c r="DM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7" s="42" t="n">
        <f aca="false">IF(NOT(Tasks[[#This Row],[_IsLeaf]]=1),0,(Tasks[[#This Row],[_Resource1]]&lt;&gt;"")+(Tasks[[#This Row],[_Res2]]&lt;&gt;"")+(Tasks[[#This Row],[_Res3]]&lt;&gt;"")+(Tasks[[#This Row],[_Res4]]&lt;&gt;""))</f>
        <v>0</v>
      </c>
      <c r="DO77" s="42" t="str">
        <f aca="false">IF(Tasks[[#This Row],[_Res2Text]]="","",IF(Tasks[[#This Row],[_Res2Row]]&gt;0,INDEX(res_Name,Tasks[[#This Row],[_Res2Row]]),TRIM(LEFT(Tasks[[#This Row],[_Res2Text]],FIND("[",Tasks[[#This Row],[_Res2Text]]&amp;"[")-1))))</f>
        <v/>
      </c>
      <c r="DP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7" s="42" t="n">
        <f aca="false">IF(OR(NOT(Tasks[[#This Row],[_IsLeaf]]=1),Tasks[[#This Row],[_Res2Row]]=0),0,N(Tasks[[#This Row],[_Days]])*HoursPerDay*IF(Tasks[[#This Row],[_Res2Units]]="",DefaultUnits,Tasks[[#This Row],[_Res2Units]]))</f>
        <v>0</v>
      </c>
      <c r="DR77" s="42" t="n">
        <f aca="false">IF(AND(AND(Tasks[[#This Row],[_IsLeaf]]=1,Tasks[[#This Row],[_LeafTotalWork]]&gt;0),Tasks[[#This Row],[_Res2Work]]&gt;0),Tasks[[#This Row],[_Res2Work]]/(Tasks[[#This Row],[_FinishWorkday]]-Tasks[[#This Row],[_StartWorkday]]+1),0)</f>
        <v>0</v>
      </c>
      <c r="DS77" s="42" t="n">
        <f aca="false">Tasks[[#This Row],[_Res2WorkPerWD]]*MAX(0,Tasks[[#This Row],[_StartWorkday]]-1)</f>
        <v>0</v>
      </c>
      <c r="DT77" s="42" t="n">
        <f aca="false">Tasks[[#This Row],[_Res2Work]]*Tasks[[#This Row],[_LeafProgress]]</f>
        <v>0</v>
      </c>
      <c r="DU77" s="42" t="str">
        <f aca="false">IF(Tasks[[#This Row],[_Res3Text]]="","",IF(Tasks[[#This Row],[_Res3Row]]&gt;0,INDEX(res_Name,Tasks[[#This Row],[_Res3Row]]),TRIM(LEFT(Tasks[[#This Row],[_Res3Text]],FIND("[",Tasks[[#This Row],[_Res3Text]]&amp;"[")-1))))</f>
        <v/>
      </c>
      <c r="DV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7" s="42" t="n">
        <f aca="false">IF(OR(NOT(Tasks[[#This Row],[_IsLeaf]]=1),Tasks[[#This Row],[_Res3Row]]=0),0,N(Tasks[[#This Row],[_Days]])*HoursPerDay*IF(Tasks[[#This Row],[_Res3Units]]="",DefaultUnits,Tasks[[#This Row],[_Res3Units]]))</f>
        <v>0</v>
      </c>
      <c r="DX77" s="42" t="n">
        <f aca="false">IF(AND(AND(Tasks[[#This Row],[_IsLeaf]]=1,Tasks[[#This Row],[_LeafTotalWork]]&gt;0),Tasks[[#This Row],[_Res3Work]]&gt;0),Tasks[[#This Row],[_Res3Work]]/(Tasks[[#This Row],[_FinishWorkday]]-Tasks[[#This Row],[_StartWorkday]]+1),0)</f>
        <v>0</v>
      </c>
      <c r="DY77" s="42" t="n">
        <f aca="false">Tasks[[#This Row],[_Res3WorkPerWD]]*MAX(0,Tasks[[#This Row],[_StartWorkday]]-1)</f>
        <v>0</v>
      </c>
      <c r="DZ77" s="42" t="n">
        <f aca="false">Tasks[[#This Row],[_Res3Work]]*Tasks[[#This Row],[_LeafProgress]]</f>
        <v>0</v>
      </c>
      <c r="EA77" s="42" t="str">
        <f aca="false">IF(Tasks[[#This Row],[_Res4Text]]="","",IF(Tasks[[#This Row],[_Res4Row]]&gt;0,INDEX(res_Name,Tasks[[#This Row],[_Res4Row]]),TRIM(LEFT(Tasks[[#This Row],[_Res4Text]],FIND("[",Tasks[[#This Row],[_Res4Text]]&amp;"[")-1))))</f>
        <v/>
      </c>
      <c r="EB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7" s="42" t="n">
        <f aca="false">IF(OR(NOT(Tasks[[#This Row],[_IsLeaf]]=1),Tasks[[#This Row],[_Res4Row]]=0),0,N(Tasks[[#This Row],[_Days]])*HoursPerDay*IF(Tasks[[#This Row],[_Res4Units]]="",DefaultUnits,Tasks[[#This Row],[_Res4Units]]))</f>
        <v>0</v>
      </c>
      <c r="ED77" s="42" t="n">
        <f aca="false">IF(AND(AND(Tasks[[#This Row],[_IsLeaf]]=1,Tasks[[#This Row],[_LeafTotalWork]]&gt;0),Tasks[[#This Row],[_Res4Work]]&gt;0),Tasks[[#This Row],[_Res4Work]]/(Tasks[[#This Row],[_FinishWorkday]]-Tasks[[#This Row],[_StartWorkday]]+1),0)</f>
        <v>0</v>
      </c>
      <c r="EE77" s="42" t="n">
        <f aca="false">Tasks[[#This Row],[_Res4WorkPerWD]]*MAX(0,Tasks[[#This Row],[_StartWorkday]]-1)</f>
        <v>0</v>
      </c>
      <c r="EF77" s="42" t="n">
        <f aca="false">Tasks[[#This Row],[_Res4Work]]*Tasks[[#This Row],[_LeafProgress]]</f>
        <v>0</v>
      </c>
      <c r="EG77" s="42" t="n">
        <f aca="false">IF(ISNUMBER(Tasks[[#This Row],[% Complete]]),Tasks[[#This Row],[% Complete]],IF(Tasks[[#This Row],[Stage]]="",0,IFERROR(INDEX(stg_Pct,MATCH(Tasks[[#This Row],[Stage]],stg_Name,0)),0)))</f>
        <v>0</v>
      </c>
      <c r="EH77" s="42" t="n">
        <f aca="false">IF(NOT(Tasks[[#This Row],[_IsLeaf]]=1),0,IF(N(Tasks[[#This Row],[Actual Finish]])&gt;0,1,MIN(1,Tasks[[#This Row],[_Pct]])))</f>
        <v>0</v>
      </c>
      <c r="EI77" s="42" t="n">
        <f aca="false">IF(OR(NOT(Tasks[[#This Row],[_IsLeaf]]=1),Tasks[[#This Row],[_Res1Row]]=0),0,N(Tasks[[#This Row],[_Days]])*HoursPerDay*IF(Tasks[[#This Row],[_Units1]]="",DefaultUnits,Tasks[[#This Row],[_Units1]]))</f>
        <v>0</v>
      </c>
      <c r="EJ77" s="42" t="n">
        <f aca="false">Tasks[[#This Row],[_LeafWork]]+Tasks[[#This Row],[_Res2Work]]+Tasks[[#This Row],[_Res3Work]]+Tasks[[#This Row],[_Res4Work]]</f>
        <v>0</v>
      </c>
      <c r="EK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7" s="42" t="n">
        <f aca="false">IF(NOT(Tasks[[#This Row],[_IsLeaf]]=1),0,MAX(_xlfn.MAXIFS(Tasks[_Row],Tasks[_Pred1UID],Tasks[[#This Row],[UID]]),_xlfn.MAXIFS(Tasks[_Row],Tasks[_Pred2UID],Tasks[[#This Row],[UID]]),_xlfn.MAXIFS(Tasks[_Row],Tasks[_Pred3UID],Tasks[[#This Row],[UID]]),_xlfn.MAXIFS(Tasks[_Row],Tasks[_Pred4UID],Tasks[[#This Row],[UID]])))</f>
        <v>0</v>
      </c>
      <c r="ET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7" s="89" t="str">
        <f aca="false">IF(NOT(Tasks[[#This Row],[_IsLeaf]]=1),"",IF(N(Tasks[[#This Row],[_Days]])&lt;=0,Tasks[[#This Row],[_LeafLateFinish]],WORKDAY.INTL(Tasks[[#This Row],[_LeafLateFinish]],-(Tasks[[#This Row],[_Days]]-1),WorkWeek,Holidays)))</f>
        <v/>
      </c>
      <c r="EW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7" s="88" t="b">
        <f aca="false">AND(Tasks[[#This Row],[_IsLeaf]]=1,Tasks[[#This Row],[_LeafProgress]]&lt;1,N(Tasks[[#This Row],[_LeafTotalSlack]])&lt;=CriticalSlackDays)</f>
        <v>0</v>
      </c>
      <c r="EY77" s="42" t="n">
        <f aca="false">IF(AND(Tasks[[#This Row],[_IsLeaf]]=1,Tasks[[#This Row],[_ConstraintCode]]=1,Tasks[[#This Row],[Mode]]&lt;&gt;"Manual",N(Tasks[[#This Row],[Actual Start]])=0),MAX(0,N(Tasks[[#This Row],[Free Slack]])),0)</f>
        <v>0</v>
      </c>
      <c r="EZ77" s="89" t="str">
        <f aca="false">IF(NOT(Tasks[[#This Row],[_IsLeaf]]=1),"",IF(Tasks[[#This Row],[_AlapShift]]=0,Tasks[[#This Row],[_LeafCalcStart]],WORKDAY.INTL(Tasks[[#This Row],[_LeafCalcStart]],Tasks[[#This Row],[_AlapShift]],WorkWeek,Holidays)))</f>
        <v/>
      </c>
      <c r="FA77" s="89" t="str">
        <f aca="false">IF(NOT(Tasks[[#This Row],[_IsLeaf]]=1),"",IF(Tasks[[#This Row],[_AlapShift]]=0,Tasks[[#This Row],[_LeafCalcFinish]],WORKDAY.INTL(Tasks[[#This Row],[_LeafCalcFinish]],Tasks[[#This Row],[_AlapShift]],WorkWeek,Holidays)))</f>
        <v/>
      </c>
      <c r="FB77" s="89" t="str">
        <f aca="false">IF(NOT(Tasks[[#This Row],[_IsLeaf]]=1),"",IF(Tasks[[#This Row],[_AlapShift]]=0,Tasks[[#This Row],[_LeafFcstStart]],WORKDAY.INTL(Tasks[[#This Row],[_LeafFcstStart]],Tasks[[#This Row],[_AlapShift]],WorkWeek,Holidays)))</f>
        <v/>
      </c>
      <c r="FC77" s="89" t="str">
        <f aca="false">IF(NOT(Tasks[[#This Row],[_IsLeaf]]=1),"",IF(Tasks[[#This Row],[_AlapShift]]=0,Tasks[[#This Row],[_LeafFcstFinish]],WORKDAY.INTL(Tasks[[#This Row],[_LeafFcstFinish]],Tasks[[#This Row],[_AlapShift]],WorkWeek,Holidays)))</f>
        <v/>
      </c>
      <c r="FD77" s="89" t="str">
        <f aca="false">IF(Tasks[[#This Row],[Task Name]]="","",IF(Tasks[[#This Row],[_IsSummary]],MIN(INDEX(Tasks[_ShownCalcStart],Tasks[[#This Row],[_Row]]+1):INDEX(Tasks[_ShownCalcStart],Tasks[[#This Row],[_Row]]+Tasks[[#This Row],[_Descendants]])),Tasks[[#This Row],[_ShownCalcStart]]))</f>
        <v/>
      </c>
      <c r="FE77" s="89" t="str">
        <f aca="false">IF(Tasks[[#This Row],[Task Name]]="","",IF(Tasks[[#This Row],[_IsSummary]],MAX(INDEX(Tasks[_ShownCalcFinish],Tasks[[#This Row],[_Row]]+1):INDEX(Tasks[_ShownCalcFinish],Tasks[[#This Row],[_Row]]+Tasks[[#This Row],[_Descendants]])),Tasks[[#This Row],[_ShownCalcFinish]]))</f>
        <v/>
      </c>
      <c r="FF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7" s="42" t="n">
        <f aca="false">IF(AND(Tasks[[#This Row],[_IsLeaf]]=1,Tasks[[#This Row],[_LeafTotalWork]]&gt;0),NETWORKDAYS.INTL(ProjectStart,Tasks[[#This Row],[_ShownFcstStart]],WorkWeek,Holidays),0)</f>
        <v>0</v>
      </c>
      <c r="FS77" s="42" t="n">
        <f aca="false">IF(AND(Tasks[[#This Row],[_IsLeaf]]=1,Tasks[[#This Row],[_LeafTotalWork]]&gt;0),MAX(Tasks[[#This Row],[_StartWorkday]],NETWORKDAYS.INTL(ProjectStart,Tasks[[#This Row],[_ShownFcstFinish]],WorkWeek,Holidays)),0)</f>
        <v>0</v>
      </c>
      <c r="FT77" s="42" t="n">
        <f aca="false">IF(AND(Tasks[[#This Row],[_IsLeaf]]=1,Tasks[[#This Row],[_LeafTotalWork]]&gt;0),Tasks[[#This Row],[_LeafWork]]/(Tasks[[#This Row],[_FinishWorkday]]-Tasks[[#This Row],[_StartWorkday]]+1),0)</f>
        <v>0</v>
      </c>
      <c r="FU77" s="42" t="n">
        <f aca="false">Tasks[[#This Row],[_WorkPerWorkday]]*(Tasks[[#This Row],[_StartWorkday]]-1)</f>
        <v>-0</v>
      </c>
      <c r="FV77" s="42" t="n">
        <f aca="false">IF(Tasks[[#This Row],[_IsLeaf]]=1,MAX(N(Tasks[[#This Row],[_Days]]),0.1),0)</f>
        <v>0</v>
      </c>
      <c r="FW77" s="42" t="n">
        <f aca="false">Tasks[[#This Row],[_WeightDur]]*Tasks[[#This Row],[_LeafProgress]]</f>
        <v>0</v>
      </c>
      <c r="FX77" s="42" t="n">
        <f aca="false">Tasks[[#This Row],[_WeightDur]]*Tasks[[#This Row],[_PlannedPct]]</f>
        <v>0</v>
      </c>
      <c r="FY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7" s="42" t="str">
        <f aca="false">IF(AND(Tasks[[#This Row],[_IsLeaf]]=1,N(Tasks[[#This Row],[_Days]])=0,Tasks[[#This Row],[_LeafProgress]]&lt;1),Tasks[[#This Row],[_ShownFcstFinish]]+Tasks[[#This Row],[_Row]]/100000,"")</f>
        <v/>
      </c>
      <c r="GA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7" s="42" t="str">
        <f aca="false">IF(Tasks[[#This Row],[Task Name]]="","",LEFT(Tasks[[#This Row],[WBS]],FIND(".",Tasks[[#This Row],[WBS]]&amp;".")-1))</f>
        <v/>
      </c>
      <c r="GC77" s="42" t="str">
        <f aca="false">IF(AND(Tasks[[#This Row],[Task Name]]&lt;&gt;"",Tasks[[#This Row],[_Level]]=1),Tasks[[#This Row],[_Row]],"")</f>
        <v/>
      </c>
      <c r="GD77" s="42" t="str">
        <f aca="false">IF(AND(Tasks[[#This Row],[_IsLeaf]]=1,N(Tasks[[#This Row],[_Days]])=0),Tasks[[#This Row],[Planned Finish]]+Tasks[[#This Row],[_Row]]/100000,"")</f>
        <v/>
      </c>
      <c r="GE77" s="42" t="str">
        <f aca="false">IF(AND(Tasks[[#This Row],[_IsLeaf]]=1,Tasks[[#This Row],[_LeafProgress]]&lt;1,OR(N(Tasks[[#This Row],[Finish Var]])&gt;0,Tasks[[#This Row],[Status]]="Late Start")),MAX(0,Tasks[[#This Row],[Finish Var]])+1-Tasks[[#This Row],[_Row]]/1000000,"")</f>
        <v/>
      </c>
      <c r="GF77" s="42" t="str">
        <f aca="false">IF(AND(Tasks[[#This Row],[_IsLeaf]]=1,N(Tasks[[#This Row],[Actual Start]])=0,Tasks[[#This Row],[_ShownFcstStart]]&gt;=StatusDate,Tasks[[#This Row],[_ShownFcstStart]]&lt;=LookaheadEnd),Tasks[[#This Row],[_ShownFcstStart]]+Tasks[[#This Row],[_Row]]/100000,"")</f>
        <v/>
      </c>
      <c r="GG77" s="42" t="str">
        <f aca="false">IF(AND(Tasks[[#This Row],[_IsLeaf]]=1,Tasks[[#This Row],[_LeafProgress]]&lt;1,Tasks[[#This Row],[_ShownFcstFinish]]&gt;=StatusDate,Tasks[[#This Row],[_ShownFcstFinish]]&lt;=LookaheadEnd),Tasks[[#This Row],[_ShownFcstFinish]]+Tasks[[#This Row],[_Row]]/100000,"")</f>
        <v/>
      </c>
      <c r="GH77" s="42" t="str">
        <f aca="false">IF(Tasks[[#This Row],[_LeafCritical]],Tasks[[#This Row],[_ShownFcstStart]]+Tasks[[#This Row],[_Row]]/100000,"")</f>
        <v/>
      </c>
      <c r="GI77" s="42" t="n">
        <f aca="false">Tasks[[#This Row],[_LeafWork]]*Tasks[[#This Row],[_LeafProgress]]</f>
        <v>0</v>
      </c>
      <c r="GJ77" s="89" t="str">
        <f aca="false">IF(AND(Tasks[[#This Row],[_IsLeaf]]=1,Tasks[[#This Row],[_LeafProgress]]&gt;=1),IF(N(Tasks[[#This Row],[Actual Finish]])&gt;0,Tasks[[#This Row],[Actual Finish]],Tasks[[#This Row],[_ShownFcstFinish]]),"")</f>
        <v/>
      </c>
      <c r="GK77" s="42" t="n">
        <f aca="false">IF(Tasks[[#This Row],[_IsLeaf]]=1,N(Tasks[[#This Row],[Story Points]]),0)</f>
        <v>0</v>
      </c>
      <c r="GL77" s="42" t="str">
        <f aca="false">""</f>
        <v/>
      </c>
      <c r="GM77" s="88" t="b">
        <f aca="false">IF(Tasks[[#This Row],[Task Name]]="",FALSE(),AND(Tasks[[#This Row],[_IsLeaf]]=1,N(Tasks[[#This Row],[_Days]])=0))</f>
        <v>0</v>
      </c>
      <c r="GN77" s="89" t="n">
        <f aca="false">IF(Tasks[[#This Row],[Task Name]]="",0,IF(AND(Tasks[[#This Row],[_IsLeaf]]=1,NOT(Tasks[[#This Row],[_IsMilestone]]),N(Tasks[[#This Row],[Progress]])&gt;0),Tasks[[#This Row],[Start]],0))</f>
        <v>0</v>
      </c>
      <c r="GO77" s="89" t="n">
        <f aca="false">IF(Tasks[[#This Row],[_DoneFrom]]=0,0,IF(Tasks[[#This Row],[Progress]]&gt;=1,Tasks[[#This Row],[Finish]],MAX(Tasks[[#This Row],[_DoneFrom]],Tasks[[#This Row],[Start]]+ROUND((Tasks[[#This Row],[Finish]]-Tasks[[#This Row],[Start]]+1)*Tasks[[#This Row],[Progress]],0)-1)))</f>
        <v>0</v>
      </c>
      <c r="GP77" s="89" t="n">
        <f aca="false">IF(Tasks[[#This Row],[Task Name]]="",0,IF(OR(NOT(Tasks[[#This Row],[_IsLeaf]]=1),Tasks[[#This Row],[_IsMilestone]],N(Tasks[[#This Row],[Progress]])&gt;=1),0,IF(Tasks[[#This Row],[_DoneTo]]&gt;0,Tasks[[#This Row],[_DoneTo]]+1,Tasks[[#This Row],[Start]])))</f>
        <v>0</v>
      </c>
      <c r="GQ77" s="89" t="n">
        <f aca="false">IF(Tasks[[#This Row],[_RemFrom]]=0,0,Tasks[[#This Row],[Finish]])</f>
        <v>0</v>
      </c>
      <c r="GR77" s="88" t="b">
        <f aca="false">IF(Tasks[[#This Row],[Task Name]]="",FALSE(),OR(NOT(BaselineSet),N(Tasks[[#This Row],[Baseline Start]])&gt;0))</f>
        <v>0</v>
      </c>
      <c r="GS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7" s="90" t="str">
        <f aca="false">IF(Tasks[[#This Row],[_IsLeaf]]=1,Tasks[[#This Row],[_Row]],"")</f>
        <v/>
      </c>
      <c r="GW77" s="90" t="str">
        <f aca="false">IFERROR(INDEX(Tasks[UID],SMALL(Tasks[_PickKey],Tasks[[#This Row],[_Row]]))&amp;" "&amp;INDEX(Tasks[Task Name],SMALL(Tasks[_PickKey],Tasks[[#This Row],[_Row]])),"")</f>
        <v/>
      </c>
      <c r="GX77" s="42" t="str">
        <f aca="false">IF(Tasks[[#This Row],[Task Name]]="","",IF(Tasks[[#This Row],[_IsSummary]],NETWORKDAYS.INTL(Tasks[[#This Row],[Start]],Tasks[[#This Row],[Finish]],WorkWeek,Holidays),N(Tasks[[#This Row],[_Days]])))</f>
        <v/>
      </c>
    </row>
    <row r="78" customFormat="false" ht="15" hidden="false" customHeight="false" outlineLevel="0" collapsed="false">
      <c r="A78" s="21" t="str">
        <f aca="false">IF(Tasks[[#This Row],[Task Name]]="","",COUNTA(Tasks[[#Headers],[Task Name]]:Tasks[[#This Row],[Task Name]])-1)</f>
        <v/>
      </c>
      <c r="B78" s="22" t="n">
        <v>86</v>
      </c>
      <c r="C78" s="22"/>
      <c r="D78" s="23"/>
      <c r="E78" s="22"/>
      <c r="F78" s="23"/>
      <c r="G78" s="22"/>
      <c r="H78" s="22"/>
      <c r="I78" s="23"/>
      <c r="J78" s="22"/>
      <c r="K78" s="22"/>
      <c r="L78" s="23"/>
      <c r="M78" s="22"/>
      <c r="N78" s="22"/>
      <c r="O78" s="23"/>
      <c r="P78" s="22"/>
      <c r="Q78" s="22"/>
      <c r="R78" s="23"/>
      <c r="S78" s="23"/>
      <c r="T78" s="83"/>
      <c r="U78" s="23"/>
      <c r="V78" s="83"/>
      <c r="W78" s="23"/>
      <c r="X78" s="83"/>
      <c r="Y78" s="23"/>
      <c r="Z78" s="83"/>
      <c r="AA78" s="23"/>
      <c r="AB78" s="23"/>
      <c r="AC78" s="7"/>
      <c r="AD78" s="7"/>
      <c r="AE78" s="62" t="str">
        <f aca="false">IF(Tasks[[#This Row],[Task Name]]="","",IF(Tasks[[#This Row],[_IsSummary]],MIN(INDEX(Tasks[_ShownFcstStart],Tasks[[#This Row],[_Row]]+1):INDEX(Tasks[_ShownFcstStart],Tasks[[#This Row],[_Row]]+Tasks[[#This Row],[_Descendants]])),Tasks[[#This Row],[_ShownFcstStart]]))</f>
        <v/>
      </c>
      <c r="AF78" s="62" t="str">
        <f aca="false">IF(Tasks[[#This Row],[Task Name]]="","",IF(Tasks[[#This Row],[_IsSummary]],MAX(INDEX(Tasks[_ShownFcstFinish],Tasks[[#This Row],[_Row]]+1):INDEX(Tasks[_ShownFcstFinish],Tasks[[#This Row],[_Row]]+Tasks[[#This Row],[_Descendants]])),Tasks[[#This Row],[_ShownFcstFinish]]))</f>
        <v/>
      </c>
      <c r="AG78" s="21" t="str">
        <f aca="false">""</f>
        <v/>
      </c>
      <c r="AH78" s="23"/>
      <c r="AI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8" s="7"/>
      <c r="AK78" s="22"/>
      <c r="AL78" s="23"/>
      <c r="AM78" s="7"/>
      <c r="AN78" s="46" t="str">
        <f aca="false">IF(Tasks[[#This Row],[Task Name]]="","",IF(Tasks[[#This Row],[Finish]]&gt;=Tasks[[#This Row],[Planned Finish]],NETWORKDAYS.INTL(Tasks[[#This Row],[Planned Finish]],Tasks[[#This Row],[Finish]],WorkWeek,Holidays)-1,1-NETWORKDAYS.INTL(Tasks[[#This Row],[Finish]],Tasks[[#This Row],[Planned Finish]],WorkWeek,Holidays)))</f>
        <v/>
      </c>
      <c r="AO78" s="21" t="str">
        <f aca="false">IF(Tasks[[#This Row],[Task Name]]="","",IF(Tasks[[#This Row],[Progress]]&gt;=1,"Complete",IF(OR(N(Tasks[[#This Row],[Actual Start]])&gt;0,Tasks[[#This Row],[Progress]]&gt;0),IF(Tasks[[#This Row],[Finish Var]]&gt;0,"Behind","In Progress"),IF(Tasks[[#This Row],[Planned Start]]&lt;StatusDate,"Late Start","Not Started"))))</f>
        <v/>
      </c>
      <c r="AP78" s="21" t="str">
        <f aca="false">IF(Tasks[[#This Row],[Task Name]]="","",IF(IF(Tasks[[#This Row],[_IsSummary]],COUNTIF(INDEX(Tasks[_LeafCritical],Tasks[[#This Row],[_Row]]+1):INDEX(Tasks[_LeafCritical],Tasks[[#This Row],[_Row]]+Tasks[[#This Row],[_Descendants]]),TRUE())&gt;0,Tasks[[#This Row],[_LeafCritical]]),"Yes",""))</f>
        <v/>
      </c>
      <c r="AQ78" s="62" t="str">
        <f aca="false">IF(Tasks[[#This Row],[Task Name]]="","",IF(N(Tasks[[#This Row],[Baseline Start]])&gt;0,Tasks[[#This Row],[Baseline Start]],Tasks[[#This Row],[_CalcStart]]))</f>
        <v/>
      </c>
      <c r="AR78" s="62" t="str">
        <f aca="false">IF(Tasks[[#This Row],[Task Name]]="","",IF(N(Tasks[[#This Row],[Baseline Finish]])&gt;0,Tasks[[#This Row],[Baseline Finish]],Tasks[[#This Row],[_CalcFinish]]))</f>
        <v/>
      </c>
      <c r="AS78" s="46" t="str">
        <f aca="false">IF(Tasks[[#This Row],[Task Name]]="","",IF(Tasks[[#This Row],[Start]]&gt;=Tasks[[#This Row],[Planned Start]],NETWORKDAYS.INTL(Tasks[[#This Row],[Planned Start]],Tasks[[#This Row],[Start]],WorkWeek,Holidays)-1,1-NETWORKDAYS.INTL(Tasks[[#This Row],[Start]],Tasks[[#This Row],[Planned Start]],WorkWeek,Holidays)))</f>
        <v/>
      </c>
      <c r="AT78" s="62" t="str">
        <f aca="false">IF(Tasks[[#This Row],[Task Name]]="","",IF(Tasks[[#This Row],[_IsSummary]],MIN(INDEX(Tasks[_LeafLateStart],Tasks[[#This Row],[_Row]]+1):INDEX(Tasks[_LeafLateStart],Tasks[[#This Row],[_Row]]+Tasks[[#This Row],[_Descendants]])),Tasks[[#This Row],[_LeafLateStart]]))</f>
        <v/>
      </c>
      <c r="AU78" s="62" t="str">
        <f aca="false">IF(Tasks[[#This Row],[Task Name]]="","",IF(Tasks[[#This Row],[_IsSummary]],MAX(INDEX(Tasks[_LeafLateFinish],Tasks[[#This Row],[_Row]]+1):INDEX(Tasks[_LeafLateFinish],Tasks[[#This Row],[_Row]]+Tasks[[#This Row],[_Descendants]])),Tasks[[#This Row],[_LeafLateFinish]]))</f>
        <v/>
      </c>
      <c r="AV78" s="46" t="str">
        <f aca="false">IF(Tasks[[#This Row],[Task Name]]="","",IF(Tasks[[#This Row],[_IsSummary]],MIN(INDEX(Tasks[_LeafTotalSlack],Tasks[[#This Row],[_Row]]+1):INDEX(Tasks[_LeafTotalSlack],Tasks[[#This Row],[_Row]]+Tasks[[#This Row],[_Descendants]])),Tasks[[#This Row],[_LeafTotalSlack]]))</f>
        <v/>
      </c>
      <c r="AW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4"/>
      <c r="BA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t="str">
        <f aca="false">IF(Tasks[[#This Row],[Task Name]]="","",IF(Tasks[[#This Row],[_Level]]&lt;=OutlineShowLevel,"Yes","No"))</f>
        <v/>
      </c>
      <c r="BE78" s="85" t="str">
        <f aca="false">IF(Tasks[[#This Row],[Task Name]]="","",IF(Tasks[[#This Row],[_IsSummary]],SUM(INDEX(Tasks[_LeafTotalWork],Tasks[[#This Row],[_Row]]+1):INDEX(Tasks[_LeafTotalWork],Tasks[[#This Row],[_Row]]+Tasks[[#This Row],[_Descendants]])),Tasks[[#This Row],[_LeafTotalWork]]))</f>
        <v/>
      </c>
      <c r="BF78" s="23"/>
      <c r="BG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t="str">
        <f aca="false">""</f>
        <v/>
      </c>
      <c r="BI78" s="86"/>
      <c r="BJ78" s="22"/>
      <c r="BK78" s="46" t="str">
        <f aca="false">IF(OR(Tasks[[#This Row],[Task Name]]="",Tasks[[#This Row],[Baseline Duration]]=""),"",Tasks[[#This Row],[_SpanDays]]-N(Tasks[[#This Row],[Baseline Duration]]))</f>
        <v/>
      </c>
      <c r="BL78" s="85" t="str">
        <f aca="false">IF(OR(Tasks[[#This Row],[Task Name]]="",Tasks[[#This Row],[Baseline Work]]=""),"",Tasks[[#This Row],[Work]]-N(Tasks[[#This Row],[Baseline Work]]))</f>
        <v/>
      </c>
      <c r="BM78" s="62" t="str">
        <f aca="false">IF(Tasks[[#This Row],[Task Name]]="","",IF(OR(TakeBaseline="Yes",N(Tasks[[#This Row],[Baseline Start]])=0),Tasks[[#This Row],[Start]],Tasks[[#This Row],[Baseline Start]]))</f>
        <v/>
      </c>
      <c r="BN78" s="62" t="str">
        <f aca="false">IF(Tasks[[#This Row],[Task Name]]="","",IF(OR(TakeBaseline="Yes",N(Tasks[[#This Row],[Baseline Finish]])=0),Tasks[[#This Row],[Finish]],Tasks[[#This Row],[Baseline Finish]]))</f>
        <v/>
      </c>
      <c r="BO78" s="21" t="str">
        <f aca="false">IF(Tasks[[#This Row],[Task Name]]="","",IF(OR(TakeBaseline="Yes",N(Tasks[[#This Row],[Baseline Duration]])=0),Tasks[[#This Row],[_SpanDays]],Tasks[[#This Row],[Baseline Duration]]))</f>
        <v/>
      </c>
      <c r="BP78" s="85" t="str">
        <f aca="false">IF(Tasks[[#This Row],[Task Name]]="","",IF(OR(TakeBaseline="Yes",N(Tasks[[#This Row],[Baseline Work]])=0),Tasks[[#This Row],[Work]],Tasks[[#This Row],[Baseline Work]]))</f>
        <v/>
      </c>
      <c r="BQ78" s="7"/>
      <c r="BR78" s="7"/>
      <c r="BS78" s="22"/>
      <c r="BT78" s="87"/>
      <c r="BU78" s="42" t="str">
        <f aca="false">IF(Tasks[[#This Row],[Task Name]]="","",MAX(1,N(Tasks[[#This Row],[Level]])))</f>
        <v/>
      </c>
      <c r="BV78" s="42" t="n">
        <f aca="false">ROW()-ROW(Tasks[[#Headers],[ID]])</f>
        <v>73</v>
      </c>
      <c r="BW78" s="42" t="n">
        <f aca="false">IF(OR(Tasks[[#This Row],[Task Name]]="",Tasks[[#This Row],[_Level]]&lt;=1),0,IFERROR(LOOKUP(2,1/(Tasks[[#Headers],[_Level]]:Tasks[[#This Row],[_Level]]=Tasks[[#This Row],[_Level]]-1),ROW(Tasks[[#Headers],[_Level]]:Tasks[[#This Row],[_Level]])),0))</f>
        <v>0</v>
      </c>
      <c r="BX78" s="42" t="n">
        <f aca="false">IFERROR(N(INDEX(Tasks[_Level],Tasks[[#This Row],[_Row]]+1)),0)</f>
        <v>0</v>
      </c>
      <c r="BY78" s="88" t="b">
        <f aca="false">AND(Tasks[[#This Row],[Task Name]]&lt;&gt;"",Tasks[[#This Row],[_NextLevel]]&gt;Tasks[[#This Row],[_Level]])</f>
        <v>0</v>
      </c>
      <c r="BZ78" s="42" t="n">
        <f aca="false">IF(Tasks[[#This Row],[_IsSummary]],COUNTIF(Tasks[WBS],Tasks[[#This Row],[WBS]]&amp;".*"),0)</f>
        <v>0</v>
      </c>
      <c r="CA78" s="42" t="n">
        <f aca="false">IF(AND(Tasks[[#This Row],[Task Name]]&lt;&gt;"",NOT(Tasks[[#This Row],[_IsSummary]])),1,0)</f>
        <v>0</v>
      </c>
      <c r="CB78" s="42" t="n">
        <f aca="false">IF(N(Tasks[[#This Row],[_Pred1UID]])=0,0,IFERROR(MATCH(Tasks[[#This Row],[_Pred1UID]],Tasks[UID],0),-1))</f>
        <v>0</v>
      </c>
      <c r="CC78" s="42" t="n">
        <f aca="false">IF(N(Tasks[[#This Row],[_Pred2UID]])=0,0,IFERROR(MATCH(Tasks[[#This Row],[_Pred2UID]],Tasks[UID],0),-1))</f>
        <v>0</v>
      </c>
      <c r="CD78" s="42" t="n">
        <f aca="false">IF(N(Tasks[[#This Row],[_Pred3UID]])=0,0,IFERROR(MATCH(Tasks[[#This Row],[_Pred3UID]],Tasks[UID],0),-1))</f>
        <v>0</v>
      </c>
      <c r="CE78" s="42" t="n">
        <f aca="false">IF(N(Tasks[[#This Row],[_Pred4UID]])=0,0,IFERROR(MATCH(Tasks[[#This Row],[_Pred4UID]],Tasks[UID],0),-1))</f>
        <v>0</v>
      </c>
      <c r="CF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8" s="89" t="n">
        <f aca="false">IF(OR(Tasks[[#This Row],[_ConstraintCode]]=2,Tasks[[#This Row],[_ConstraintCode]]=3,Tasks[[#This Row],[_ConstraintCode]]=4,Tasks[[#This Row],[_ConstraintCode]]=6),Tasks[[#This Row],[_ConstraintStart]],0)</f>
        <v>0</v>
      </c>
      <c r="CI78" s="89" t="n">
        <f aca="false">IF(OR(Tasks[[#This Row],[_ConstraintCode]]=2,Tasks[[#This Row],[_ConstraintCode]]=3,Tasks[[#This Row],[_ConstraintCode]]=5,Tasks[[#This Row],[_ConstraintCode]]=7),Tasks[[#This Row],[_ConstraintStart]],2958465)</f>
        <v>2958465</v>
      </c>
      <c r="CJ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8" s="89" t="str">
        <f aca="false">IF(NOT(Tasks[[#This Row],[_IsLeaf]]=1),"",IF(N(Tasks[[#This Row],[_Days]])&lt;=0,Tasks[[#This Row],[_LeafCalcStart]],WORKDAY.INTL(Tasks[[#This Row],[_LeafCalcStart]],Tasks[[#This Row],[_Days]]-1,WorkWeek,Holidays)))</f>
        <v/>
      </c>
      <c r="CL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8" s="42" t="str">
        <f aca="false">IF(Tasks[[#This Row],[_Predecessors]]="","",TRIM(MID(SUBSTITUTE(SUBSTITUTE(SUBSTITUTE(UPPER(Tasks[[#This Row],[_Predecessors]]),";",",")," ",""),",",REPT(" ",99)),1,99)))</f>
        <v/>
      </c>
      <c r="CO78" s="42" t="str">
        <f aca="false">IF(Tasks[[#This Row],[_Pred1Text]]="","",IFERROR(VALUE(LEFT(Tasks[[#This Row],[_Pred1Text]],MIN(FIND("F",Tasks[[#This Row],[_Pred1Text]]&amp;"F"),FIND("S",Tasks[[#This Row],[_Pred1Text]]&amp;"S"),FIND("+",Tasks[[#This Row],[_Pred1Text]]&amp;"+"),FIND("-",Tasks[[#This Row],[_Pred1Text]]&amp;"-"))-1)),""))</f>
        <v/>
      </c>
      <c r="CP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8" s="42" t="str">
        <f aca="false">IF(Tasks[[#This Row],[_Pred1Text]]="","",TRIM(MID(SUBSTITUTE(SUBSTITUTE(SUBSTITUTE(UPPER(Tasks[[#This Row],[_Predecessors]]),";",",")," ",""),",",REPT(" ",99)),100,99)))</f>
        <v/>
      </c>
      <c r="CS78" s="42" t="str">
        <f aca="false">IF(Tasks[[#This Row],[_Pred2Text]]="","",IFERROR(VALUE(LEFT(Tasks[[#This Row],[_Pred2Text]],MIN(FIND("F",Tasks[[#This Row],[_Pred2Text]]&amp;"F"),FIND("S",Tasks[[#This Row],[_Pred2Text]]&amp;"S"),FIND("+",Tasks[[#This Row],[_Pred2Text]]&amp;"+"),FIND("-",Tasks[[#This Row],[_Pred2Text]]&amp;"-"))-1)),""))</f>
        <v/>
      </c>
      <c r="CT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8" s="42" t="str">
        <f aca="false">IF(Tasks[[#This Row],[_Pred2Text]]="","",TRIM(MID(SUBSTITUTE(SUBSTITUTE(SUBSTITUTE(UPPER(Tasks[[#This Row],[_Predecessors]]),";",",")," ",""),",",REPT(" ",99)),199,99)))</f>
        <v/>
      </c>
      <c r="CW78" s="42" t="str">
        <f aca="false">IF(Tasks[[#This Row],[_Pred3Text]]="","",IFERROR(VALUE(LEFT(Tasks[[#This Row],[_Pred3Text]],MIN(FIND("F",Tasks[[#This Row],[_Pred3Text]]&amp;"F"),FIND("S",Tasks[[#This Row],[_Pred3Text]]&amp;"S"),FIND("+",Tasks[[#This Row],[_Pred3Text]]&amp;"+"),FIND("-",Tasks[[#This Row],[_Pred3Text]]&amp;"-"))-1)),""))</f>
        <v/>
      </c>
      <c r="CX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8" s="42" t="str">
        <f aca="false">IF(Tasks[[#This Row],[_Pred3Text]]="","",TRIM(MID(SUBSTITUTE(SUBSTITUTE(SUBSTITUTE(UPPER(Tasks[[#This Row],[_Predecessors]]),";",",")," ",""),",",REPT(" ",99)),298,99)))</f>
        <v/>
      </c>
      <c r="DA78" s="42" t="str">
        <f aca="false">IF(Tasks[[#This Row],[_Pred4Text]]="","",IFERROR(VALUE(LEFT(Tasks[[#This Row],[_Pred4Text]],MIN(FIND("F",Tasks[[#This Row],[_Pred4Text]]&amp;"F"),FIND("S",Tasks[[#This Row],[_Pred4Text]]&amp;"S"),FIND("+",Tasks[[#This Row],[_Pred4Text]]&amp;"+"),FIND("-",Tasks[[#This Row],[_Pred4Text]]&amp;"-"))-1)),""))</f>
        <v/>
      </c>
      <c r="DB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8" s="42" t="str">
        <f aca="false">IF(OR(Tasks[[#This Row],[Task Name]]="",Tasks[[#This Row],[_Resources]]=""),"",TRIM(MID(SUBSTITUTE(Tasks[[#This Row],[_Resources]],",",REPT(" ",99)),1,99)))</f>
        <v/>
      </c>
      <c r="DE78" s="42" t="str">
        <f aca="false">IF(Tasks[[#This Row],[_Res1Text]]="","",TRIM(MID(SUBSTITUTE(Tasks[[#This Row],[_Resources]],",",REPT(" ",99)),100,99)))</f>
        <v/>
      </c>
      <c r="DF78" s="42" t="str">
        <f aca="false">IF(Tasks[[#This Row],[_Res2Text]]="","",TRIM(MID(SUBSTITUTE(Tasks[[#This Row],[_Resources]],",",REPT(" ",99)),199,99)))</f>
        <v/>
      </c>
      <c r="DG78" s="42" t="str">
        <f aca="false">IF(Tasks[[#This Row],[_Res3Text]]="","",TRIM(MID(SUBSTITUTE(Tasks[[#This Row],[_Resources]],",",REPT(" ",99)),298,99)))</f>
        <v/>
      </c>
      <c r="DH78" s="42" t="n">
        <f aca="false">IF(Tasks[[#This Row],[_Res1Text]]="",0,IFERROR(MATCH(TRIM(LEFT(Tasks[[#This Row],[_Res1Text]],FIND("[",Tasks[[#This Row],[_Res1Text]]&amp;"[")-1)),res_Name,0),IFERROR(MATCH(TRIM(LEFT(Tasks[[#This Row],[_Res1Text]],FIND("[",Tasks[[#This Row],[_Res1Text]]&amp;"[")-1)),res_Initials,0),0)))</f>
        <v>0</v>
      </c>
      <c r="DI78" s="42" t="n">
        <f aca="false">IF(Tasks[[#This Row],[_Res2Text]]="",0,IFERROR(MATCH(TRIM(LEFT(Tasks[[#This Row],[_Res2Text]],FIND("[",Tasks[[#This Row],[_Res2Text]]&amp;"[")-1)),res_Name,0),IFERROR(MATCH(TRIM(LEFT(Tasks[[#This Row],[_Res2Text]],FIND("[",Tasks[[#This Row],[_Res2Text]]&amp;"[")-1)),res_Initials,0),0)))</f>
        <v>0</v>
      </c>
      <c r="DJ78" s="42" t="n">
        <f aca="false">IF(Tasks[[#This Row],[_Res3Text]]="",0,IFERROR(MATCH(TRIM(LEFT(Tasks[[#This Row],[_Res3Text]],FIND("[",Tasks[[#This Row],[_Res3Text]]&amp;"[")-1)),res_Name,0),IFERROR(MATCH(TRIM(LEFT(Tasks[[#This Row],[_Res3Text]],FIND("[",Tasks[[#This Row],[_Res3Text]]&amp;"[")-1)),res_Initials,0),0)))</f>
        <v>0</v>
      </c>
      <c r="DK78" s="42" t="n">
        <f aca="false">IF(Tasks[[#This Row],[_Res4Text]]="",0,IFERROR(MATCH(TRIM(LEFT(Tasks[[#This Row],[_Res4Text]],FIND("[",Tasks[[#This Row],[_Res4Text]]&amp;"[")-1)),res_Name,0),IFERROR(MATCH(TRIM(LEFT(Tasks[[#This Row],[_Res4Text]],FIND("[",Tasks[[#This Row],[_Res4Text]]&amp;"[")-1)),res_Initials,0),0)))</f>
        <v>0</v>
      </c>
      <c r="DL78" s="42" t="str">
        <f aca="false">IF(Tasks[[#This Row],[_Res1Text]]="","",IF(Tasks[[#This Row],[_Res1Row]]&gt;0,INDEX(res_Name,Tasks[[#This Row],[_Res1Row]]),TRIM(LEFT(Tasks[[#This Row],[_Res1Text]],FIND("[",Tasks[[#This Row],[_Res1Text]]&amp;"[")-1))))</f>
        <v/>
      </c>
      <c r="DM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8" s="42" t="n">
        <f aca="false">IF(NOT(Tasks[[#This Row],[_IsLeaf]]=1),0,(Tasks[[#This Row],[_Resource1]]&lt;&gt;"")+(Tasks[[#This Row],[_Res2]]&lt;&gt;"")+(Tasks[[#This Row],[_Res3]]&lt;&gt;"")+(Tasks[[#This Row],[_Res4]]&lt;&gt;""))</f>
        <v>0</v>
      </c>
      <c r="DO78" s="42" t="str">
        <f aca="false">IF(Tasks[[#This Row],[_Res2Text]]="","",IF(Tasks[[#This Row],[_Res2Row]]&gt;0,INDEX(res_Name,Tasks[[#This Row],[_Res2Row]]),TRIM(LEFT(Tasks[[#This Row],[_Res2Text]],FIND("[",Tasks[[#This Row],[_Res2Text]]&amp;"[")-1))))</f>
        <v/>
      </c>
      <c r="DP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8" s="42" t="n">
        <f aca="false">IF(OR(NOT(Tasks[[#This Row],[_IsLeaf]]=1),Tasks[[#This Row],[_Res2Row]]=0),0,N(Tasks[[#This Row],[_Days]])*HoursPerDay*IF(Tasks[[#This Row],[_Res2Units]]="",DefaultUnits,Tasks[[#This Row],[_Res2Units]]))</f>
        <v>0</v>
      </c>
      <c r="DR78" s="42" t="n">
        <f aca="false">IF(AND(AND(Tasks[[#This Row],[_IsLeaf]]=1,Tasks[[#This Row],[_LeafTotalWork]]&gt;0),Tasks[[#This Row],[_Res2Work]]&gt;0),Tasks[[#This Row],[_Res2Work]]/(Tasks[[#This Row],[_FinishWorkday]]-Tasks[[#This Row],[_StartWorkday]]+1),0)</f>
        <v>0</v>
      </c>
      <c r="DS78" s="42" t="n">
        <f aca="false">Tasks[[#This Row],[_Res2WorkPerWD]]*MAX(0,Tasks[[#This Row],[_StartWorkday]]-1)</f>
        <v>0</v>
      </c>
      <c r="DT78" s="42" t="n">
        <f aca="false">Tasks[[#This Row],[_Res2Work]]*Tasks[[#This Row],[_LeafProgress]]</f>
        <v>0</v>
      </c>
      <c r="DU78" s="42" t="str">
        <f aca="false">IF(Tasks[[#This Row],[_Res3Text]]="","",IF(Tasks[[#This Row],[_Res3Row]]&gt;0,INDEX(res_Name,Tasks[[#This Row],[_Res3Row]]),TRIM(LEFT(Tasks[[#This Row],[_Res3Text]],FIND("[",Tasks[[#This Row],[_Res3Text]]&amp;"[")-1))))</f>
        <v/>
      </c>
      <c r="DV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8" s="42" t="n">
        <f aca="false">IF(OR(NOT(Tasks[[#This Row],[_IsLeaf]]=1),Tasks[[#This Row],[_Res3Row]]=0),0,N(Tasks[[#This Row],[_Days]])*HoursPerDay*IF(Tasks[[#This Row],[_Res3Units]]="",DefaultUnits,Tasks[[#This Row],[_Res3Units]]))</f>
        <v>0</v>
      </c>
      <c r="DX78" s="42" t="n">
        <f aca="false">IF(AND(AND(Tasks[[#This Row],[_IsLeaf]]=1,Tasks[[#This Row],[_LeafTotalWork]]&gt;0),Tasks[[#This Row],[_Res3Work]]&gt;0),Tasks[[#This Row],[_Res3Work]]/(Tasks[[#This Row],[_FinishWorkday]]-Tasks[[#This Row],[_StartWorkday]]+1),0)</f>
        <v>0</v>
      </c>
      <c r="DY78" s="42" t="n">
        <f aca="false">Tasks[[#This Row],[_Res3WorkPerWD]]*MAX(0,Tasks[[#This Row],[_StartWorkday]]-1)</f>
        <v>0</v>
      </c>
      <c r="DZ78" s="42" t="n">
        <f aca="false">Tasks[[#This Row],[_Res3Work]]*Tasks[[#This Row],[_LeafProgress]]</f>
        <v>0</v>
      </c>
      <c r="EA78" s="42" t="str">
        <f aca="false">IF(Tasks[[#This Row],[_Res4Text]]="","",IF(Tasks[[#This Row],[_Res4Row]]&gt;0,INDEX(res_Name,Tasks[[#This Row],[_Res4Row]]),TRIM(LEFT(Tasks[[#This Row],[_Res4Text]],FIND("[",Tasks[[#This Row],[_Res4Text]]&amp;"[")-1))))</f>
        <v/>
      </c>
      <c r="EB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8" s="42" t="n">
        <f aca="false">IF(OR(NOT(Tasks[[#This Row],[_IsLeaf]]=1),Tasks[[#This Row],[_Res4Row]]=0),0,N(Tasks[[#This Row],[_Days]])*HoursPerDay*IF(Tasks[[#This Row],[_Res4Units]]="",DefaultUnits,Tasks[[#This Row],[_Res4Units]]))</f>
        <v>0</v>
      </c>
      <c r="ED78" s="42" t="n">
        <f aca="false">IF(AND(AND(Tasks[[#This Row],[_IsLeaf]]=1,Tasks[[#This Row],[_LeafTotalWork]]&gt;0),Tasks[[#This Row],[_Res4Work]]&gt;0),Tasks[[#This Row],[_Res4Work]]/(Tasks[[#This Row],[_FinishWorkday]]-Tasks[[#This Row],[_StartWorkday]]+1),0)</f>
        <v>0</v>
      </c>
      <c r="EE78" s="42" t="n">
        <f aca="false">Tasks[[#This Row],[_Res4WorkPerWD]]*MAX(0,Tasks[[#This Row],[_StartWorkday]]-1)</f>
        <v>0</v>
      </c>
      <c r="EF78" s="42" t="n">
        <f aca="false">Tasks[[#This Row],[_Res4Work]]*Tasks[[#This Row],[_LeafProgress]]</f>
        <v>0</v>
      </c>
      <c r="EG78" s="42" t="n">
        <f aca="false">IF(ISNUMBER(Tasks[[#This Row],[% Complete]]),Tasks[[#This Row],[% Complete]],IF(Tasks[[#This Row],[Stage]]="",0,IFERROR(INDEX(stg_Pct,MATCH(Tasks[[#This Row],[Stage]],stg_Name,0)),0)))</f>
        <v>0</v>
      </c>
      <c r="EH78" s="42" t="n">
        <f aca="false">IF(NOT(Tasks[[#This Row],[_IsLeaf]]=1),0,IF(N(Tasks[[#This Row],[Actual Finish]])&gt;0,1,MIN(1,Tasks[[#This Row],[_Pct]])))</f>
        <v>0</v>
      </c>
      <c r="EI78" s="42" t="n">
        <f aca="false">IF(OR(NOT(Tasks[[#This Row],[_IsLeaf]]=1),Tasks[[#This Row],[_Res1Row]]=0),0,N(Tasks[[#This Row],[_Days]])*HoursPerDay*IF(Tasks[[#This Row],[_Units1]]="",DefaultUnits,Tasks[[#This Row],[_Units1]]))</f>
        <v>0</v>
      </c>
      <c r="EJ78" s="42" t="n">
        <f aca="false">Tasks[[#This Row],[_LeafWork]]+Tasks[[#This Row],[_Res2Work]]+Tasks[[#This Row],[_Res3Work]]+Tasks[[#This Row],[_Res4Work]]</f>
        <v>0</v>
      </c>
      <c r="EK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8" s="42" t="n">
        <f aca="false">IF(NOT(Tasks[[#This Row],[_IsLeaf]]=1),0,MAX(_xlfn.MAXIFS(Tasks[_Row],Tasks[_Pred1UID],Tasks[[#This Row],[UID]]),_xlfn.MAXIFS(Tasks[_Row],Tasks[_Pred2UID],Tasks[[#This Row],[UID]]),_xlfn.MAXIFS(Tasks[_Row],Tasks[_Pred3UID],Tasks[[#This Row],[UID]]),_xlfn.MAXIFS(Tasks[_Row],Tasks[_Pred4UID],Tasks[[#This Row],[UID]])))</f>
        <v>0</v>
      </c>
      <c r="ET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8" s="89" t="str">
        <f aca="false">IF(NOT(Tasks[[#This Row],[_IsLeaf]]=1),"",IF(N(Tasks[[#This Row],[_Days]])&lt;=0,Tasks[[#This Row],[_LeafLateFinish]],WORKDAY.INTL(Tasks[[#This Row],[_LeafLateFinish]],-(Tasks[[#This Row],[_Days]]-1),WorkWeek,Holidays)))</f>
        <v/>
      </c>
      <c r="EW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8" s="88" t="b">
        <f aca="false">AND(Tasks[[#This Row],[_IsLeaf]]=1,Tasks[[#This Row],[_LeafProgress]]&lt;1,N(Tasks[[#This Row],[_LeafTotalSlack]])&lt;=CriticalSlackDays)</f>
        <v>0</v>
      </c>
      <c r="EY78" s="42" t="n">
        <f aca="false">IF(AND(Tasks[[#This Row],[_IsLeaf]]=1,Tasks[[#This Row],[_ConstraintCode]]=1,Tasks[[#This Row],[Mode]]&lt;&gt;"Manual",N(Tasks[[#This Row],[Actual Start]])=0),MAX(0,N(Tasks[[#This Row],[Free Slack]])),0)</f>
        <v>0</v>
      </c>
      <c r="EZ78" s="89" t="str">
        <f aca="false">IF(NOT(Tasks[[#This Row],[_IsLeaf]]=1),"",IF(Tasks[[#This Row],[_AlapShift]]=0,Tasks[[#This Row],[_LeafCalcStart]],WORKDAY.INTL(Tasks[[#This Row],[_LeafCalcStart]],Tasks[[#This Row],[_AlapShift]],WorkWeek,Holidays)))</f>
        <v/>
      </c>
      <c r="FA78" s="89" t="str">
        <f aca="false">IF(NOT(Tasks[[#This Row],[_IsLeaf]]=1),"",IF(Tasks[[#This Row],[_AlapShift]]=0,Tasks[[#This Row],[_LeafCalcFinish]],WORKDAY.INTL(Tasks[[#This Row],[_LeafCalcFinish]],Tasks[[#This Row],[_AlapShift]],WorkWeek,Holidays)))</f>
        <v/>
      </c>
      <c r="FB78" s="89" t="str">
        <f aca="false">IF(NOT(Tasks[[#This Row],[_IsLeaf]]=1),"",IF(Tasks[[#This Row],[_AlapShift]]=0,Tasks[[#This Row],[_LeafFcstStart]],WORKDAY.INTL(Tasks[[#This Row],[_LeafFcstStart]],Tasks[[#This Row],[_AlapShift]],WorkWeek,Holidays)))</f>
        <v/>
      </c>
      <c r="FC78" s="89" t="str">
        <f aca="false">IF(NOT(Tasks[[#This Row],[_IsLeaf]]=1),"",IF(Tasks[[#This Row],[_AlapShift]]=0,Tasks[[#This Row],[_LeafFcstFinish]],WORKDAY.INTL(Tasks[[#This Row],[_LeafFcstFinish]],Tasks[[#This Row],[_AlapShift]],WorkWeek,Holidays)))</f>
        <v/>
      </c>
      <c r="FD78" s="89" t="str">
        <f aca="false">IF(Tasks[[#This Row],[Task Name]]="","",IF(Tasks[[#This Row],[_IsSummary]],MIN(INDEX(Tasks[_ShownCalcStart],Tasks[[#This Row],[_Row]]+1):INDEX(Tasks[_ShownCalcStart],Tasks[[#This Row],[_Row]]+Tasks[[#This Row],[_Descendants]])),Tasks[[#This Row],[_ShownCalcStart]]))</f>
        <v/>
      </c>
      <c r="FE78" s="89" t="str">
        <f aca="false">IF(Tasks[[#This Row],[Task Name]]="","",IF(Tasks[[#This Row],[_IsSummary]],MAX(INDEX(Tasks[_ShownCalcFinish],Tasks[[#This Row],[_Row]]+1):INDEX(Tasks[_ShownCalcFinish],Tasks[[#This Row],[_Row]]+Tasks[[#This Row],[_Descendants]])),Tasks[[#This Row],[_ShownCalcFinish]]))</f>
        <v/>
      </c>
      <c r="FF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8" s="42" t="n">
        <f aca="false">IF(AND(Tasks[[#This Row],[_IsLeaf]]=1,Tasks[[#This Row],[_LeafTotalWork]]&gt;0),NETWORKDAYS.INTL(ProjectStart,Tasks[[#This Row],[_ShownFcstStart]],WorkWeek,Holidays),0)</f>
        <v>0</v>
      </c>
      <c r="FS78" s="42" t="n">
        <f aca="false">IF(AND(Tasks[[#This Row],[_IsLeaf]]=1,Tasks[[#This Row],[_LeafTotalWork]]&gt;0),MAX(Tasks[[#This Row],[_StartWorkday]],NETWORKDAYS.INTL(ProjectStart,Tasks[[#This Row],[_ShownFcstFinish]],WorkWeek,Holidays)),0)</f>
        <v>0</v>
      </c>
      <c r="FT78" s="42" t="n">
        <f aca="false">IF(AND(Tasks[[#This Row],[_IsLeaf]]=1,Tasks[[#This Row],[_LeafTotalWork]]&gt;0),Tasks[[#This Row],[_LeafWork]]/(Tasks[[#This Row],[_FinishWorkday]]-Tasks[[#This Row],[_StartWorkday]]+1),0)</f>
        <v>0</v>
      </c>
      <c r="FU78" s="42" t="n">
        <f aca="false">Tasks[[#This Row],[_WorkPerWorkday]]*(Tasks[[#This Row],[_StartWorkday]]-1)</f>
        <v>-0</v>
      </c>
      <c r="FV78" s="42" t="n">
        <f aca="false">IF(Tasks[[#This Row],[_IsLeaf]]=1,MAX(N(Tasks[[#This Row],[_Days]]),0.1),0)</f>
        <v>0</v>
      </c>
      <c r="FW78" s="42" t="n">
        <f aca="false">Tasks[[#This Row],[_WeightDur]]*Tasks[[#This Row],[_LeafProgress]]</f>
        <v>0</v>
      </c>
      <c r="FX78" s="42" t="n">
        <f aca="false">Tasks[[#This Row],[_WeightDur]]*Tasks[[#This Row],[_PlannedPct]]</f>
        <v>0</v>
      </c>
      <c r="FY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8" s="42" t="str">
        <f aca="false">IF(AND(Tasks[[#This Row],[_IsLeaf]]=1,N(Tasks[[#This Row],[_Days]])=0,Tasks[[#This Row],[_LeafProgress]]&lt;1),Tasks[[#This Row],[_ShownFcstFinish]]+Tasks[[#This Row],[_Row]]/100000,"")</f>
        <v/>
      </c>
      <c r="GA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8" s="42" t="str">
        <f aca="false">IF(Tasks[[#This Row],[Task Name]]="","",LEFT(Tasks[[#This Row],[WBS]],FIND(".",Tasks[[#This Row],[WBS]]&amp;".")-1))</f>
        <v/>
      </c>
      <c r="GC78" s="42" t="str">
        <f aca="false">IF(AND(Tasks[[#This Row],[Task Name]]&lt;&gt;"",Tasks[[#This Row],[_Level]]=1),Tasks[[#This Row],[_Row]],"")</f>
        <v/>
      </c>
      <c r="GD78" s="42" t="str">
        <f aca="false">IF(AND(Tasks[[#This Row],[_IsLeaf]]=1,N(Tasks[[#This Row],[_Days]])=0),Tasks[[#This Row],[Planned Finish]]+Tasks[[#This Row],[_Row]]/100000,"")</f>
        <v/>
      </c>
      <c r="GE78" s="42" t="str">
        <f aca="false">IF(AND(Tasks[[#This Row],[_IsLeaf]]=1,Tasks[[#This Row],[_LeafProgress]]&lt;1,OR(N(Tasks[[#This Row],[Finish Var]])&gt;0,Tasks[[#This Row],[Status]]="Late Start")),MAX(0,Tasks[[#This Row],[Finish Var]])+1-Tasks[[#This Row],[_Row]]/1000000,"")</f>
        <v/>
      </c>
      <c r="GF78" s="42" t="str">
        <f aca="false">IF(AND(Tasks[[#This Row],[_IsLeaf]]=1,N(Tasks[[#This Row],[Actual Start]])=0,Tasks[[#This Row],[_ShownFcstStart]]&gt;=StatusDate,Tasks[[#This Row],[_ShownFcstStart]]&lt;=LookaheadEnd),Tasks[[#This Row],[_ShownFcstStart]]+Tasks[[#This Row],[_Row]]/100000,"")</f>
        <v/>
      </c>
      <c r="GG78" s="42" t="str">
        <f aca="false">IF(AND(Tasks[[#This Row],[_IsLeaf]]=1,Tasks[[#This Row],[_LeafProgress]]&lt;1,Tasks[[#This Row],[_ShownFcstFinish]]&gt;=StatusDate,Tasks[[#This Row],[_ShownFcstFinish]]&lt;=LookaheadEnd),Tasks[[#This Row],[_ShownFcstFinish]]+Tasks[[#This Row],[_Row]]/100000,"")</f>
        <v/>
      </c>
      <c r="GH78" s="42" t="str">
        <f aca="false">IF(Tasks[[#This Row],[_LeafCritical]],Tasks[[#This Row],[_ShownFcstStart]]+Tasks[[#This Row],[_Row]]/100000,"")</f>
        <v/>
      </c>
      <c r="GI78" s="42" t="n">
        <f aca="false">Tasks[[#This Row],[_LeafWork]]*Tasks[[#This Row],[_LeafProgress]]</f>
        <v>0</v>
      </c>
      <c r="GJ78" s="89" t="str">
        <f aca="false">IF(AND(Tasks[[#This Row],[_IsLeaf]]=1,Tasks[[#This Row],[_LeafProgress]]&gt;=1),IF(N(Tasks[[#This Row],[Actual Finish]])&gt;0,Tasks[[#This Row],[Actual Finish]],Tasks[[#This Row],[_ShownFcstFinish]]),"")</f>
        <v/>
      </c>
      <c r="GK78" s="42" t="n">
        <f aca="false">IF(Tasks[[#This Row],[_IsLeaf]]=1,N(Tasks[[#This Row],[Story Points]]),0)</f>
        <v>0</v>
      </c>
      <c r="GL78" s="42" t="str">
        <f aca="false">""</f>
        <v/>
      </c>
      <c r="GM78" s="88" t="b">
        <f aca="false">IF(Tasks[[#This Row],[Task Name]]="",FALSE(),AND(Tasks[[#This Row],[_IsLeaf]]=1,N(Tasks[[#This Row],[_Days]])=0))</f>
        <v>0</v>
      </c>
      <c r="GN78" s="89" t="n">
        <f aca="false">IF(Tasks[[#This Row],[Task Name]]="",0,IF(AND(Tasks[[#This Row],[_IsLeaf]]=1,NOT(Tasks[[#This Row],[_IsMilestone]]),N(Tasks[[#This Row],[Progress]])&gt;0),Tasks[[#This Row],[Start]],0))</f>
        <v>0</v>
      </c>
      <c r="GO78" s="89" t="n">
        <f aca="false">IF(Tasks[[#This Row],[_DoneFrom]]=0,0,IF(Tasks[[#This Row],[Progress]]&gt;=1,Tasks[[#This Row],[Finish]],MAX(Tasks[[#This Row],[_DoneFrom]],Tasks[[#This Row],[Start]]+ROUND((Tasks[[#This Row],[Finish]]-Tasks[[#This Row],[Start]]+1)*Tasks[[#This Row],[Progress]],0)-1)))</f>
        <v>0</v>
      </c>
      <c r="GP78" s="89" t="n">
        <f aca="false">IF(Tasks[[#This Row],[Task Name]]="",0,IF(OR(NOT(Tasks[[#This Row],[_IsLeaf]]=1),Tasks[[#This Row],[_IsMilestone]],N(Tasks[[#This Row],[Progress]])&gt;=1),0,IF(Tasks[[#This Row],[_DoneTo]]&gt;0,Tasks[[#This Row],[_DoneTo]]+1,Tasks[[#This Row],[Start]])))</f>
        <v>0</v>
      </c>
      <c r="GQ78" s="89" t="n">
        <f aca="false">IF(Tasks[[#This Row],[_RemFrom]]=0,0,Tasks[[#This Row],[Finish]])</f>
        <v>0</v>
      </c>
      <c r="GR78" s="88" t="b">
        <f aca="false">IF(Tasks[[#This Row],[Task Name]]="",FALSE(),OR(NOT(BaselineSet),N(Tasks[[#This Row],[Baseline Start]])&gt;0))</f>
        <v>0</v>
      </c>
      <c r="GS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8" s="90" t="str">
        <f aca="false">IF(Tasks[[#This Row],[_IsLeaf]]=1,Tasks[[#This Row],[_Row]],"")</f>
        <v/>
      </c>
      <c r="GW78" s="90" t="str">
        <f aca="false">IFERROR(INDEX(Tasks[UID],SMALL(Tasks[_PickKey],Tasks[[#This Row],[_Row]]))&amp;" "&amp;INDEX(Tasks[Task Name],SMALL(Tasks[_PickKey],Tasks[[#This Row],[_Row]])),"")</f>
        <v/>
      </c>
      <c r="GX78" s="42" t="str">
        <f aca="false">IF(Tasks[[#This Row],[Task Name]]="","",IF(Tasks[[#This Row],[_IsSummary]],NETWORKDAYS.INTL(Tasks[[#This Row],[Start]],Tasks[[#This Row],[Finish]],WorkWeek,Holidays),N(Tasks[[#This Row],[_Days]])))</f>
        <v/>
      </c>
    </row>
    <row r="79" customFormat="false" ht="15" hidden="false" customHeight="false" outlineLevel="0" collapsed="false">
      <c r="A79" s="21" t="str">
        <f aca="false">IF(Tasks[[#This Row],[Task Name]]="","",COUNTA(Tasks[[#Headers],[Task Name]]:Tasks[[#This Row],[Task Name]])-1)</f>
        <v/>
      </c>
      <c r="B79" s="22" t="n">
        <v>87</v>
      </c>
      <c r="C79" s="22"/>
      <c r="D79" s="23"/>
      <c r="E79" s="22"/>
      <c r="F79" s="23"/>
      <c r="G79" s="22"/>
      <c r="H79" s="22"/>
      <c r="I79" s="23"/>
      <c r="J79" s="22"/>
      <c r="K79" s="22"/>
      <c r="L79" s="23"/>
      <c r="M79" s="22"/>
      <c r="N79" s="22"/>
      <c r="O79" s="23"/>
      <c r="P79" s="22"/>
      <c r="Q79" s="22"/>
      <c r="R79" s="23"/>
      <c r="S79" s="23"/>
      <c r="T79" s="83"/>
      <c r="U79" s="23"/>
      <c r="V79" s="83"/>
      <c r="W79" s="23"/>
      <c r="X79" s="83"/>
      <c r="Y79" s="23"/>
      <c r="Z79" s="83"/>
      <c r="AA79" s="23"/>
      <c r="AB79" s="23"/>
      <c r="AC79" s="7"/>
      <c r="AD79" s="7"/>
      <c r="AE79" s="62" t="str">
        <f aca="false">IF(Tasks[[#This Row],[Task Name]]="","",IF(Tasks[[#This Row],[_IsSummary]],MIN(INDEX(Tasks[_ShownFcstStart],Tasks[[#This Row],[_Row]]+1):INDEX(Tasks[_ShownFcstStart],Tasks[[#This Row],[_Row]]+Tasks[[#This Row],[_Descendants]])),Tasks[[#This Row],[_ShownFcstStart]]))</f>
        <v/>
      </c>
      <c r="AF79" s="62" t="str">
        <f aca="false">IF(Tasks[[#This Row],[Task Name]]="","",IF(Tasks[[#This Row],[_IsSummary]],MAX(INDEX(Tasks[_ShownFcstFinish],Tasks[[#This Row],[_Row]]+1):INDEX(Tasks[_ShownFcstFinish],Tasks[[#This Row],[_Row]]+Tasks[[#This Row],[_Descendants]])),Tasks[[#This Row],[_ShownFcstFinish]]))</f>
        <v/>
      </c>
      <c r="AG79" s="21" t="str">
        <f aca="false">""</f>
        <v/>
      </c>
      <c r="AH79" s="23"/>
      <c r="AI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79" s="7"/>
      <c r="AK79" s="22"/>
      <c r="AL79" s="23"/>
      <c r="AM79" s="7"/>
      <c r="AN79" s="46" t="str">
        <f aca="false">IF(Tasks[[#This Row],[Task Name]]="","",IF(Tasks[[#This Row],[Finish]]&gt;=Tasks[[#This Row],[Planned Finish]],NETWORKDAYS.INTL(Tasks[[#This Row],[Planned Finish]],Tasks[[#This Row],[Finish]],WorkWeek,Holidays)-1,1-NETWORKDAYS.INTL(Tasks[[#This Row],[Finish]],Tasks[[#This Row],[Planned Finish]],WorkWeek,Holidays)))</f>
        <v/>
      </c>
      <c r="AO79" s="21" t="str">
        <f aca="false">IF(Tasks[[#This Row],[Task Name]]="","",IF(Tasks[[#This Row],[Progress]]&gt;=1,"Complete",IF(OR(N(Tasks[[#This Row],[Actual Start]])&gt;0,Tasks[[#This Row],[Progress]]&gt;0),IF(Tasks[[#This Row],[Finish Var]]&gt;0,"Behind","In Progress"),IF(Tasks[[#This Row],[Planned Start]]&lt;StatusDate,"Late Start","Not Started"))))</f>
        <v/>
      </c>
      <c r="AP79" s="21" t="str">
        <f aca="false">IF(Tasks[[#This Row],[Task Name]]="","",IF(IF(Tasks[[#This Row],[_IsSummary]],COUNTIF(INDEX(Tasks[_LeafCritical],Tasks[[#This Row],[_Row]]+1):INDEX(Tasks[_LeafCritical],Tasks[[#This Row],[_Row]]+Tasks[[#This Row],[_Descendants]]),TRUE())&gt;0,Tasks[[#This Row],[_LeafCritical]]),"Yes",""))</f>
        <v/>
      </c>
      <c r="AQ79" s="62" t="str">
        <f aca="false">IF(Tasks[[#This Row],[Task Name]]="","",IF(N(Tasks[[#This Row],[Baseline Start]])&gt;0,Tasks[[#This Row],[Baseline Start]],Tasks[[#This Row],[_CalcStart]]))</f>
        <v/>
      </c>
      <c r="AR79" s="62" t="str">
        <f aca="false">IF(Tasks[[#This Row],[Task Name]]="","",IF(N(Tasks[[#This Row],[Baseline Finish]])&gt;0,Tasks[[#This Row],[Baseline Finish]],Tasks[[#This Row],[_CalcFinish]]))</f>
        <v/>
      </c>
      <c r="AS79" s="46" t="str">
        <f aca="false">IF(Tasks[[#This Row],[Task Name]]="","",IF(Tasks[[#This Row],[Start]]&gt;=Tasks[[#This Row],[Planned Start]],NETWORKDAYS.INTL(Tasks[[#This Row],[Planned Start]],Tasks[[#This Row],[Start]],WorkWeek,Holidays)-1,1-NETWORKDAYS.INTL(Tasks[[#This Row],[Start]],Tasks[[#This Row],[Planned Start]],WorkWeek,Holidays)))</f>
        <v/>
      </c>
      <c r="AT79" s="62" t="str">
        <f aca="false">IF(Tasks[[#This Row],[Task Name]]="","",IF(Tasks[[#This Row],[_IsSummary]],MIN(INDEX(Tasks[_LeafLateStart],Tasks[[#This Row],[_Row]]+1):INDEX(Tasks[_LeafLateStart],Tasks[[#This Row],[_Row]]+Tasks[[#This Row],[_Descendants]])),Tasks[[#This Row],[_LeafLateStart]]))</f>
        <v/>
      </c>
      <c r="AU79" s="62" t="str">
        <f aca="false">IF(Tasks[[#This Row],[Task Name]]="","",IF(Tasks[[#This Row],[_IsSummary]],MAX(INDEX(Tasks[_LeafLateFinish],Tasks[[#This Row],[_Row]]+1):INDEX(Tasks[_LeafLateFinish],Tasks[[#This Row],[_Row]]+Tasks[[#This Row],[_Descendants]])),Tasks[[#This Row],[_LeafLateFinish]]))</f>
        <v/>
      </c>
      <c r="AV79" s="46" t="str">
        <f aca="false">IF(Tasks[[#This Row],[Task Name]]="","",IF(Tasks[[#This Row],[_IsSummary]],MIN(INDEX(Tasks[_LeafTotalSlack],Tasks[[#This Row],[_Row]]+1):INDEX(Tasks[_LeafTotalSlack],Tasks[[#This Row],[_Row]]+Tasks[[#This Row],[_Descendants]])),Tasks[[#This Row],[_LeafTotalSlack]]))</f>
        <v/>
      </c>
      <c r="AW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4"/>
      <c r="BA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t="str">
        <f aca="false">IF(Tasks[[#This Row],[Task Name]]="","",IF(Tasks[[#This Row],[_Level]]&lt;=OutlineShowLevel,"Yes","No"))</f>
        <v/>
      </c>
      <c r="BE79" s="85" t="str">
        <f aca="false">IF(Tasks[[#This Row],[Task Name]]="","",IF(Tasks[[#This Row],[_IsSummary]],SUM(INDEX(Tasks[_LeafTotalWork],Tasks[[#This Row],[_Row]]+1):INDEX(Tasks[_LeafTotalWork],Tasks[[#This Row],[_Row]]+Tasks[[#This Row],[_Descendants]])),Tasks[[#This Row],[_LeafTotalWork]]))</f>
        <v/>
      </c>
      <c r="BF79" s="23"/>
      <c r="BG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t="str">
        <f aca="false">""</f>
        <v/>
      </c>
      <c r="BI79" s="86"/>
      <c r="BJ79" s="22"/>
      <c r="BK79" s="46" t="str">
        <f aca="false">IF(OR(Tasks[[#This Row],[Task Name]]="",Tasks[[#This Row],[Baseline Duration]]=""),"",Tasks[[#This Row],[_SpanDays]]-N(Tasks[[#This Row],[Baseline Duration]]))</f>
        <v/>
      </c>
      <c r="BL79" s="85" t="str">
        <f aca="false">IF(OR(Tasks[[#This Row],[Task Name]]="",Tasks[[#This Row],[Baseline Work]]=""),"",Tasks[[#This Row],[Work]]-N(Tasks[[#This Row],[Baseline Work]]))</f>
        <v/>
      </c>
      <c r="BM79" s="62" t="str">
        <f aca="false">IF(Tasks[[#This Row],[Task Name]]="","",IF(OR(TakeBaseline="Yes",N(Tasks[[#This Row],[Baseline Start]])=0),Tasks[[#This Row],[Start]],Tasks[[#This Row],[Baseline Start]]))</f>
        <v/>
      </c>
      <c r="BN79" s="62" t="str">
        <f aca="false">IF(Tasks[[#This Row],[Task Name]]="","",IF(OR(TakeBaseline="Yes",N(Tasks[[#This Row],[Baseline Finish]])=0),Tasks[[#This Row],[Finish]],Tasks[[#This Row],[Baseline Finish]]))</f>
        <v/>
      </c>
      <c r="BO79" s="21" t="str">
        <f aca="false">IF(Tasks[[#This Row],[Task Name]]="","",IF(OR(TakeBaseline="Yes",N(Tasks[[#This Row],[Baseline Duration]])=0),Tasks[[#This Row],[_SpanDays]],Tasks[[#This Row],[Baseline Duration]]))</f>
        <v/>
      </c>
      <c r="BP79" s="85" t="str">
        <f aca="false">IF(Tasks[[#This Row],[Task Name]]="","",IF(OR(TakeBaseline="Yes",N(Tasks[[#This Row],[Baseline Work]])=0),Tasks[[#This Row],[Work]],Tasks[[#This Row],[Baseline Work]]))</f>
        <v/>
      </c>
      <c r="BQ79" s="7"/>
      <c r="BR79" s="7"/>
      <c r="BS79" s="22"/>
      <c r="BT79" s="87"/>
      <c r="BU79" s="42" t="str">
        <f aca="false">IF(Tasks[[#This Row],[Task Name]]="","",MAX(1,N(Tasks[[#This Row],[Level]])))</f>
        <v/>
      </c>
      <c r="BV79" s="42" t="n">
        <f aca="false">ROW()-ROW(Tasks[[#Headers],[ID]])</f>
        <v>74</v>
      </c>
      <c r="BW79" s="42" t="n">
        <f aca="false">IF(OR(Tasks[[#This Row],[Task Name]]="",Tasks[[#This Row],[_Level]]&lt;=1),0,IFERROR(LOOKUP(2,1/(Tasks[[#Headers],[_Level]]:Tasks[[#This Row],[_Level]]=Tasks[[#This Row],[_Level]]-1),ROW(Tasks[[#Headers],[_Level]]:Tasks[[#This Row],[_Level]])),0))</f>
        <v>0</v>
      </c>
      <c r="BX79" s="42" t="n">
        <f aca="false">IFERROR(N(INDEX(Tasks[_Level],Tasks[[#This Row],[_Row]]+1)),0)</f>
        <v>0</v>
      </c>
      <c r="BY79" s="88" t="b">
        <f aca="false">AND(Tasks[[#This Row],[Task Name]]&lt;&gt;"",Tasks[[#This Row],[_NextLevel]]&gt;Tasks[[#This Row],[_Level]])</f>
        <v>0</v>
      </c>
      <c r="BZ79" s="42" t="n">
        <f aca="false">IF(Tasks[[#This Row],[_IsSummary]],COUNTIF(Tasks[WBS],Tasks[[#This Row],[WBS]]&amp;".*"),0)</f>
        <v>0</v>
      </c>
      <c r="CA79" s="42" t="n">
        <f aca="false">IF(AND(Tasks[[#This Row],[Task Name]]&lt;&gt;"",NOT(Tasks[[#This Row],[_IsSummary]])),1,0)</f>
        <v>0</v>
      </c>
      <c r="CB79" s="42" t="n">
        <f aca="false">IF(N(Tasks[[#This Row],[_Pred1UID]])=0,0,IFERROR(MATCH(Tasks[[#This Row],[_Pred1UID]],Tasks[UID],0),-1))</f>
        <v>0</v>
      </c>
      <c r="CC79" s="42" t="n">
        <f aca="false">IF(N(Tasks[[#This Row],[_Pred2UID]])=0,0,IFERROR(MATCH(Tasks[[#This Row],[_Pred2UID]],Tasks[UID],0),-1))</f>
        <v>0</v>
      </c>
      <c r="CD79" s="42" t="n">
        <f aca="false">IF(N(Tasks[[#This Row],[_Pred3UID]])=0,0,IFERROR(MATCH(Tasks[[#This Row],[_Pred3UID]],Tasks[UID],0),-1))</f>
        <v>0</v>
      </c>
      <c r="CE79" s="42" t="n">
        <f aca="false">IF(N(Tasks[[#This Row],[_Pred4UID]])=0,0,IFERROR(MATCH(Tasks[[#This Row],[_Pred4UID]],Tasks[UID],0),-1))</f>
        <v>0</v>
      </c>
      <c r="CF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79" s="89" t="n">
        <f aca="false">IF(OR(Tasks[[#This Row],[_ConstraintCode]]=2,Tasks[[#This Row],[_ConstraintCode]]=3,Tasks[[#This Row],[_ConstraintCode]]=4,Tasks[[#This Row],[_ConstraintCode]]=6),Tasks[[#This Row],[_ConstraintStart]],0)</f>
        <v>0</v>
      </c>
      <c r="CI79" s="89" t="n">
        <f aca="false">IF(OR(Tasks[[#This Row],[_ConstraintCode]]=2,Tasks[[#This Row],[_ConstraintCode]]=3,Tasks[[#This Row],[_ConstraintCode]]=5,Tasks[[#This Row],[_ConstraintCode]]=7),Tasks[[#This Row],[_ConstraintStart]],2958465)</f>
        <v>2958465</v>
      </c>
      <c r="CJ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79" s="89" t="str">
        <f aca="false">IF(NOT(Tasks[[#This Row],[_IsLeaf]]=1),"",IF(N(Tasks[[#This Row],[_Days]])&lt;=0,Tasks[[#This Row],[_LeafCalcStart]],WORKDAY.INTL(Tasks[[#This Row],[_LeafCalcStart]],Tasks[[#This Row],[_Days]]-1,WorkWeek,Holidays)))</f>
        <v/>
      </c>
      <c r="CL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79" s="42" t="str">
        <f aca="false">IF(Tasks[[#This Row],[_Predecessors]]="","",TRIM(MID(SUBSTITUTE(SUBSTITUTE(SUBSTITUTE(UPPER(Tasks[[#This Row],[_Predecessors]]),";",",")," ",""),",",REPT(" ",99)),1,99)))</f>
        <v/>
      </c>
      <c r="CO79" s="42" t="str">
        <f aca="false">IF(Tasks[[#This Row],[_Pred1Text]]="","",IFERROR(VALUE(LEFT(Tasks[[#This Row],[_Pred1Text]],MIN(FIND("F",Tasks[[#This Row],[_Pred1Text]]&amp;"F"),FIND("S",Tasks[[#This Row],[_Pred1Text]]&amp;"S"),FIND("+",Tasks[[#This Row],[_Pred1Text]]&amp;"+"),FIND("-",Tasks[[#This Row],[_Pred1Text]]&amp;"-"))-1)),""))</f>
        <v/>
      </c>
      <c r="CP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79" s="42" t="str">
        <f aca="false">IF(Tasks[[#This Row],[_Pred1Text]]="","",TRIM(MID(SUBSTITUTE(SUBSTITUTE(SUBSTITUTE(UPPER(Tasks[[#This Row],[_Predecessors]]),";",",")," ",""),",",REPT(" ",99)),100,99)))</f>
        <v/>
      </c>
      <c r="CS79" s="42" t="str">
        <f aca="false">IF(Tasks[[#This Row],[_Pred2Text]]="","",IFERROR(VALUE(LEFT(Tasks[[#This Row],[_Pred2Text]],MIN(FIND("F",Tasks[[#This Row],[_Pred2Text]]&amp;"F"),FIND("S",Tasks[[#This Row],[_Pred2Text]]&amp;"S"),FIND("+",Tasks[[#This Row],[_Pred2Text]]&amp;"+"),FIND("-",Tasks[[#This Row],[_Pred2Text]]&amp;"-"))-1)),""))</f>
        <v/>
      </c>
      <c r="CT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79" s="42" t="str">
        <f aca="false">IF(Tasks[[#This Row],[_Pred2Text]]="","",TRIM(MID(SUBSTITUTE(SUBSTITUTE(SUBSTITUTE(UPPER(Tasks[[#This Row],[_Predecessors]]),";",",")," ",""),",",REPT(" ",99)),199,99)))</f>
        <v/>
      </c>
      <c r="CW79" s="42" t="str">
        <f aca="false">IF(Tasks[[#This Row],[_Pred3Text]]="","",IFERROR(VALUE(LEFT(Tasks[[#This Row],[_Pred3Text]],MIN(FIND("F",Tasks[[#This Row],[_Pred3Text]]&amp;"F"),FIND("S",Tasks[[#This Row],[_Pred3Text]]&amp;"S"),FIND("+",Tasks[[#This Row],[_Pred3Text]]&amp;"+"),FIND("-",Tasks[[#This Row],[_Pred3Text]]&amp;"-"))-1)),""))</f>
        <v/>
      </c>
      <c r="CX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79" s="42" t="str">
        <f aca="false">IF(Tasks[[#This Row],[_Pred3Text]]="","",TRIM(MID(SUBSTITUTE(SUBSTITUTE(SUBSTITUTE(UPPER(Tasks[[#This Row],[_Predecessors]]),";",",")," ",""),",",REPT(" ",99)),298,99)))</f>
        <v/>
      </c>
      <c r="DA79" s="42" t="str">
        <f aca="false">IF(Tasks[[#This Row],[_Pred4Text]]="","",IFERROR(VALUE(LEFT(Tasks[[#This Row],[_Pred4Text]],MIN(FIND("F",Tasks[[#This Row],[_Pred4Text]]&amp;"F"),FIND("S",Tasks[[#This Row],[_Pred4Text]]&amp;"S"),FIND("+",Tasks[[#This Row],[_Pred4Text]]&amp;"+"),FIND("-",Tasks[[#This Row],[_Pred4Text]]&amp;"-"))-1)),""))</f>
        <v/>
      </c>
      <c r="DB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79" s="42" t="str">
        <f aca="false">IF(OR(Tasks[[#This Row],[Task Name]]="",Tasks[[#This Row],[_Resources]]=""),"",TRIM(MID(SUBSTITUTE(Tasks[[#This Row],[_Resources]],",",REPT(" ",99)),1,99)))</f>
        <v/>
      </c>
      <c r="DE79" s="42" t="str">
        <f aca="false">IF(Tasks[[#This Row],[_Res1Text]]="","",TRIM(MID(SUBSTITUTE(Tasks[[#This Row],[_Resources]],",",REPT(" ",99)),100,99)))</f>
        <v/>
      </c>
      <c r="DF79" s="42" t="str">
        <f aca="false">IF(Tasks[[#This Row],[_Res2Text]]="","",TRIM(MID(SUBSTITUTE(Tasks[[#This Row],[_Resources]],",",REPT(" ",99)),199,99)))</f>
        <v/>
      </c>
      <c r="DG79" s="42" t="str">
        <f aca="false">IF(Tasks[[#This Row],[_Res3Text]]="","",TRIM(MID(SUBSTITUTE(Tasks[[#This Row],[_Resources]],",",REPT(" ",99)),298,99)))</f>
        <v/>
      </c>
      <c r="DH79" s="42" t="n">
        <f aca="false">IF(Tasks[[#This Row],[_Res1Text]]="",0,IFERROR(MATCH(TRIM(LEFT(Tasks[[#This Row],[_Res1Text]],FIND("[",Tasks[[#This Row],[_Res1Text]]&amp;"[")-1)),res_Name,0),IFERROR(MATCH(TRIM(LEFT(Tasks[[#This Row],[_Res1Text]],FIND("[",Tasks[[#This Row],[_Res1Text]]&amp;"[")-1)),res_Initials,0),0)))</f>
        <v>0</v>
      </c>
      <c r="DI79" s="42" t="n">
        <f aca="false">IF(Tasks[[#This Row],[_Res2Text]]="",0,IFERROR(MATCH(TRIM(LEFT(Tasks[[#This Row],[_Res2Text]],FIND("[",Tasks[[#This Row],[_Res2Text]]&amp;"[")-1)),res_Name,0),IFERROR(MATCH(TRIM(LEFT(Tasks[[#This Row],[_Res2Text]],FIND("[",Tasks[[#This Row],[_Res2Text]]&amp;"[")-1)),res_Initials,0),0)))</f>
        <v>0</v>
      </c>
      <c r="DJ79" s="42" t="n">
        <f aca="false">IF(Tasks[[#This Row],[_Res3Text]]="",0,IFERROR(MATCH(TRIM(LEFT(Tasks[[#This Row],[_Res3Text]],FIND("[",Tasks[[#This Row],[_Res3Text]]&amp;"[")-1)),res_Name,0),IFERROR(MATCH(TRIM(LEFT(Tasks[[#This Row],[_Res3Text]],FIND("[",Tasks[[#This Row],[_Res3Text]]&amp;"[")-1)),res_Initials,0),0)))</f>
        <v>0</v>
      </c>
      <c r="DK79" s="42" t="n">
        <f aca="false">IF(Tasks[[#This Row],[_Res4Text]]="",0,IFERROR(MATCH(TRIM(LEFT(Tasks[[#This Row],[_Res4Text]],FIND("[",Tasks[[#This Row],[_Res4Text]]&amp;"[")-1)),res_Name,0),IFERROR(MATCH(TRIM(LEFT(Tasks[[#This Row],[_Res4Text]],FIND("[",Tasks[[#This Row],[_Res4Text]]&amp;"[")-1)),res_Initials,0),0)))</f>
        <v>0</v>
      </c>
      <c r="DL79" s="42" t="str">
        <f aca="false">IF(Tasks[[#This Row],[_Res1Text]]="","",IF(Tasks[[#This Row],[_Res1Row]]&gt;0,INDEX(res_Name,Tasks[[#This Row],[_Res1Row]]),TRIM(LEFT(Tasks[[#This Row],[_Res1Text]],FIND("[",Tasks[[#This Row],[_Res1Text]]&amp;"[")-1))))</f>
        <v/>
      </c>
      <c r="DM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79" s="42" t="n">
        <f aca="false">IF(NOT(Tasks[[#This Row],[_IsLeaf]]=1),0,(Tasks[[#This Row],[_Resource1]]&lt;&gt;"")+(Tasks[[#This Row],[_Res2]]&lt;&gt;"")+(Tasks[[#This Row],[_Res3]]&lt;&gt;"")+(Tasks[[#This Row],[_Res4]]&lt;&gt;""))</f>
        <v>0</v>
      </c>
      <c r="DO79" s="42" t="str">
        <f aca="false">IF(Tasks[[#This Row],[_Res2Text]]="","",IF(Tasks[[#This Row],[_Res2Row]]&gt;0,INDEX(res_Name,Tasks[[#This Row],[_Res2Row]]),TRIM(LEFT(Tasks[[#This Row],[_Res2Text]],FIND("[",Tasks[[#This Row],[_Res2Text]]&amp;"[")-1))))</f>
        <v/>
      </c>
      <c r="DP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79" s="42" t="n">
        <f aca="false">IF(OR(NOT(Tasks[[#This Row],[_IsLeaf]]=1),Tasks[[#This Row],[_Res2Row]]=0),0,N(Tasks[[#This Row],[_Days]])*HoursPerDay*IF(Tasks[[#This Row],[_Res2Units]]="",DefaultUnits,Tasks[[#This Row],[_Res2Units]]))</f>
        <v>0</v>
      </c>
      <c r="DR79" s="42" t="n">
        <f aca="false">IF(AND(AND(Tasks[[#This Row],[_IsLeaf]]=1,Tasks[[#This Row],[_LeafTotalWork]]&gt;0),Tasks[[#This Row],[_Res2Work]]&gt;0),Tasks[[#This Row],[_Res2Work]]/(Tasks[[#This Row],[_FinishWorkday]]-Tasks[[#This Row],[_StartWorkday]]+1),0)</f>
        <v>0</v>
      </c>
      <c r="DS79" s="42" t="n">
        <f aca="false">Tasks[[#This Row],[_Res2WorkPerWD]]*MAX(0,Tasks[[#This Row],[_StartWorkday]]-1)</f>
        <v>0</v>
      </c>
      <c r="DT79" s="42" t="n">
        <f aca="false">Tasks[[#This Row],[_Res2Work]]*Tasks[[#This Row],[_LeafProgress]]</f>
        <v>0</v>
      </c>
      <c r="DU79" s="42" t="str">
        <f aca="false">IF(Tasks[[#This Row],[_Res3Text]]="","",IF(Tasks[[#This Row],[_Res3Row]]&gt;0,INDEX(res_Name,Tasks[[#This Row],[_Res3Row]]),TRIM(LEFT(Tasks[[#This Row],[_Res3Text]],FIND("[",Tasks[[#This Row],[_Res3Text]]&amp;"[")-1))))</f>
        <v/>
      </c>
      <c r="DV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79" s="42" t="n">
        <f aca="false">IF(OR(NOT(Tasks[[#This Row],[_IsLeaf]]=1),Tasks[[#This Row],[_Res3Row]]=0),0,N(Tasks[[#This Row],[_Days]])*HoursPerDay*IF(Tasks[[#This Row],[_Res3Units]]="",DefaultUnits,Tasks[[#This Row],[_Res3Units]]))</f>
        <v>0</v>
      </c>
      <c r="DX79" s="42" t="n">
        <f aca="false">IF(AND(AND(Tasks[[#This Row],[_IsLeaf]]=1,Tasks[[#This Row],[_LeafTotalWork]]&gt;0),Tasks[[#This Row],[_Res3Work]]&gt;0),Tasks[[#This Row],[_Res3Work]]/(Tasks[[#This Row],[_FinishWorkday]]-Tasks[[#This Row],[_StartWorkday]]+1),0)</f>
        <v>0</v>
      </c>
      <c r="DY79" s="42" t="n">
        <f aca="false">Tasks[[#This Row],[_Res3WorkPerWD]]*MAX(0,Tasks[[#This Row],[_StartWorkday]]-1)</f>
        <v>0</v>
      </c>
      <c r="DZ79" s="42" t="n">
        <f aca="false">Tasks[[#This Row],[_Res3Work]]*Tasks[[#This Row],[_LeafProgress]]</f>
        <v>0</v>
      </c>
      <c r="EA79" s="42" t="str">
        <f aca="false">IF(Tasks[[#This Row],[_Res4Text]]="","",IF(Tasks[[#This Row],[_Res4Row]]&gt;0,INDEX(res_Name,Tasks[[#This Row],[_Res4Row]]),TRIM(LEFT(Tasks[[#This Row],[_Res4Text]],FIND("[",Tasks[[#This Row],[_Res4Text]]&amp;"[")-1))))</f>
        <v/>
      </c>
      <c r="EB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79" s="42" t="n">
        <f aca="false">IF(OR(NOT(Tasks[[#This Row],[_IsLeaf]]=1),Tasks[[#This Row],[_Res4Row]]=0),0,N(Tasks[[#This Row],[_Days]])*HoursPerDay*IF(Tasks[[#This Row],[_Res4Units]]="",DefaultUnits,Tasks[[#This Row],[_Res4Units]]))</f>
        <v>0</v>
      </c>
      <c r="ED79" s="42" t="n">
        <f aca="false">IF(AND(AND(Tasks[[#This Row],[_IsLeaf]]=1,Tasks[[#This Row],[_LeafTotalWork]]&gt;0),Tasks[[#This Row],[_Res4Work]]&gt;0),Tasks[[#This Row],[_Res4Work]]/(Tasks[[#This Row],[_FinishWorkday]]-Tasks[[#This Row],[_StartWorkday]]+1),0)</f>
        <v>0</v>
      </c>
      <c r="EE79" s="42" t="n">
        <f aca="false">Tasks[[#This Row],[_Res4WorkPerWD]]*MAX(0,Tasks[[#This Row],[_StartWorkday]]-1)</f>
        <v>0</v>
      </c>
      <c r="EF79" s="42" t="n">
        <f aca="false">Tasks[[#This Row],[_Res4Work]]*Tasks[[#This Row],[_LeafProgress]]</f>
        <v>0</v>
      </c>
      <c r="EG79" s="42" t="n">
        <f aca="false">IF(ISNUMBER(Tasks[[#This Row],[% Complete]]),Tasks[[#This Row],[% Complete]],IF(Tasks[[#This Row],[Stage]]="",0,IFERROR(INDEX(stg_Pct,MATCH(Tasks[[#This Row],[Stage]],stg_Name,0)),0)))</f>
        <v>0</v>
      </c>
      <c r="EH79" s="42" t="n">
        <f aca="false">IF(NOT(Tasks[[#This Row],[_IsLeaf]]=1),0,IF(N(Tasks[[#This Row],[Actual Finish]])&gt;0,1,MIN(1,Tasks[[#This Row],[_Pct]])))</f>
        <v>0</v>
      </c>
      <c r="EI79" s="42" t="n">
        <f aca="false">IF(OR(NOT(Tasks[[#This Row],[_IsLeaf]]=1),Tasks[[#This Row],[_Res1Row]]=0),0,N(Tasks[[#This Row],[_Days]])*HoursPerDay*IF(Tasks[[#This Row],[_Units1]]="",DefaultUnits,Tasks[[#This Row],[_Units1]]))</f>
        <v>0</v>
      </c>
      <c r="EJ79" s="42" t="n">
        <f aca="false">Tasks[[#This Row],[_LeafWork]]+Tasks[[#This Row],[_Res2Work]]+Tasks[[#This Row],[_Res3Work]]+Tasks[[#This Row],[_Res4Work]]</f>
        <v>0</v>
      </c>
      <c r="EK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79" s="42" t="n">
        <f aca="false">IF(NOT(Tasks[[#This Row],[_IsLeaf]]=1),0,MAX(_xlfn.MAXIFS(Tasks[_Row],Tasks[_Pred1UID],Tasks[[#This Row],[UID]]),_xlfn.MAXIFS(Tasks[_Row],Tasks[_Pred2UID],Tasks[[#This Row],[UID]]),_xlfn.MAXIFS(Tasks[_Row],Tasks[_Pred3UID],Tasks[[#This Row],[UID]]),_xlfn.MAXIFS(Tasks[_Row],Tasks[_Pred4UID],Tasks[[#This Row],[UID]])))</f>
        <v>0</v>
      </c>
      <c r="ET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79" s="89" t="str">
        <f aca="false">IF(NOT(Tasks[[#This Row],[_IsLeaf]]=1),"",IF(N(Tasks[[#This Row],[_Days]])&lt;=0,Tasks[[#This Row],[_LeafLateFinish]],WORKDAY.INTL(Tasks[[#This Row],[_LeafLateFinish]],-(Tasks[[#This Row],[_Days]]-1),WorkWeek,Holidays)))</f>
        <v/>
      </c>
      <c r="EW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79" s="88" t="b">
        <f aca="false">AND(Tasks[[#This Row],[_IsLeaf]]=1,Tasks[[#This Row],[_LeafProgress]]&lt;1,N(Tasks[[#This Row],[_LeafTotalSlack]])&lt;=CriticalSlackDays)</f>
        <v>0</v>
      </c>
      <c r="EY79" s="42" t="n">
        <f aca="false">IF(AND(Tasks[[#This Row],[_IsLeaf]]=1,Tasks[[#This Row],[_ConstraintCode]]=1,Tasks[[#This Row],[Mode]]&lt;&gt;"Manual",N(Tasks[[#This Row],[Actual Start]])=0),MAX(0,N(Tasks[[#This Row],[Free Slack]])),0)</f>
        <v>0</v>
      </c>
      <c r="EZ79" s="89" t="str">
        <f aca="false">IF(NOT(Tasks[[#This Row],[_IsLeaf]]=1),"",IF(Tasks[[#This Row],[_AlapShift]]=0,Tasks[[#This Row],[_LeafCalcStart]],WORKDAY.INTL(Tasks[[#This Row],[_LeafCalcStart]],Tasks[[#This Row],[_AlapShift]],WorkWeek,Holidays)))</f>
        <v/>
      </c>
      <c r="FA79" s="89" t="str">
        <f aca="false">IF(NOT(Tasks[[#This Row],[_IsLeaf]]=1),"",IF(Tasks[[#This Row],[_AlapShift]]=0,Tasks[[#This Row],[_LeafCalcFinish]],WORKDAY.INTL(Tasks[[#This Row],[_LeafCalcFinish]],Tasks[[#This Row],[_AlapShift]],WorkWeek,Holidays)))</f>
        <v/>
      </c>
      <c r="FB79" s="89" t="str">
        <f aca="false">IF(NOT(Tasks[[#This Row],[_IsLeaf]]=1),"",IF(Tasks[[#This Row],[_AlapShift]]=0,Tasks[[#This Row],[_LeafFcstStart]],WORKDAY.INTL(Tasks[[#This Row],[_LeafFcstStart]],Tasks[[#This Row],[_AlapShift]],WorkWeek,Holidays)))</f>
        <v/>
      </c>
      <c r="FC79" s="89" t="str">
        <f aca="false">IF(NOT(Tasks[[#This Row],[_IsLeaf]]=1),"",IF(Tasks[[#This Row],[_AlapShift]]=0,Tasks[[#This Row],[_LeafFcstFinish]],WORKDAY.INTL(Tasks[[#This Row],[_LeafFcstFinish]],Tasks[[#This Row],[_AlapShift]],WorkWeek,Holidays)))</f>
        <v/>
      </c>
      <c r="FD79" s="89" t="str">
        <f aca="false">IF(Tasks[[#This Row],[Task Name]]="","",IF(Tasks[[#This Row],[_IsSummary]],MIN(INDEX(Tasks[_ShownCalcStart],Tasks[[#This Row],[_Row]]+1):INDEX(Tasks[_ShownCalcStart],Tasks[[#This Row],[_Row]]+Tasks[[#This Row],[_Descendants]])),Tasks[[#This Row],[_ShownCalcStart]]))</f>
        <v/>
      </c>
      <c r="FE79" s="89" t="str">
        <f aca="false">IF(Tasks[[#This Row],[Task Name]]="","",IF(Tasks[[#This Row],[_IsSummary]],MAX(INDEX(Tasks[_ShownCalcFinish],Tasks[[#This Row],[_Row]]+1):INDEX(Tasks[_ShownCalcFinish],Tasks[[#This Row],[_Row]]+Tasks[[#This Row],[_Descendants]])),Tasks[[#This Row],[_ShownCalcFinish]]))</f>
        <v/>
      </c>
      <c r="FF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79" s="42" t="n">
        <f aca="false">IF(AND(Tasks[[#This Row],[_IsLeaf]]=1,Tasks[[#This Row],[_LeafTotalWork]]&gt;0),NETWORKDAYS.INTL(ProjectStart,Tasks[[#This Row],[_ShownFcstStart]],WorkWeek,Holidays),0)</f>
        <v>0</v>
      </c>
      <c r="FS79" s="42" t="n">
        <f aca="false">IF(AND(Tasks[[#This Row],[_IsLeaf]]=1,Tasks[[#This Row],[_LeafTotalWork]]&gt;0),MAX(Tasks[[#This Row],[_StartWorkday]],NETWORKDAYS.INTL(ProjectStart,Tasks[[#This Row],[_ShownFcstFinish]],WorkWeek,Holidays)),0)</f>
        <v>0</v>
      </c>
      <c r="FT79" s="42" t="n">
        <f aca="false">IF(AND(Tasks[[#This Row],[_IsLeaf]]=1,Tasks[[#This Row],[_LeafTotalWork]]&gt;0),Tasks[[#This Row],[_LeafWork]]/(Tasks[[#This Row],[_FinishWorkday]]-Tasks[[#This Row],[_StartWorkday]]+1),0)</f>
        <v>0</v>
      </c>
      <c r="FU79" s="42" t="n">
        <f aca="false">Tasks[[#This Row],[_WorkPerWorkday]]*(Tasks[[#This Row],[_StartWorkday]]-1)</f>
        <v>-0</v>
      </c>
      <c r="FV79" s="42" t="n">
        <f aca="false">IF(Tasks[[#This Row],[_IsLeaf]]=1,MAX(N(Tasks[[#This Row],[_Days]]),0.1),0)</f>
        <v>0</v>
      </c>
      <c r="FW79" s="42" t="n">
        <f aca="false">Tasks[[#This Row],[_WeightDur]]*Tasks[[#This Row],[_LeafProgress]]</f>
        <v>0</v>
      </c>
      <c r="FX79" s="42" t="n">
        <f aca="false">Tasks[[#This Row],[_WeightDur]]*Tasks[[#This Row],[_PlannedPct]]</f>
        <v>0</v>
      </c>
      <c r="FY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79" s="42" t="str">
        <f aca="false">IF(AND(Tasks[[#This Row],[_IsLeaf]]=1,N(Tasks[[#This Row],[_Days]])=0,Tasks[[#This Row],[_LeafProgress]]&lt;1),Tasks[[#This Row],[_ShownFcstFinish]]+Tasks[[#This Row],[_Row]]/100000,"")</f>
        <v/>
      </c>
      <c r="GA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79" s="42" t="str">
        <f aca="false">IF(Tasks[[#This Row],[Task Name]]="","",LEFT(Tasks[[#This Row],[WBS]],FIND(".",Tasks[[#This Row],[WBS]]&amp;".")-1))</f>
        <v/>
      </c>
      <c r="GC79" s="42" t="str">
        <f aca="false">IF(AND(Tasks[[#This Row],[Task Name]]&lt;&gt;"",Tasks[[#This Row],[_Level]]=1),Tasks[[#This Row],[_Row]],"")</f>
        <v/>
      </c>
      <c r="GD79" s="42" t="str">
        <f aca="false">IF(AND(Tasks[[#This Row],[_IsLeaf]]=1,N(Tasks[[#This Row],[_Days]])=0),Tasks[[#This Row],[Planned Finish]]+Tasks[[#This Row],[_Row]]/100000,"")</f>
        <v/>
      </c>
      <c r="GE79" s="42" t="str">
        <f aca="false">IF(AND(Tasks[[#This Row],[_IsLeaf]]=1,Tasks[[#This Row],[_LeafProgress]]&lt;1,OR(N(Tasks[[#This Row],[Finish Var]])&gt;0,Tasks[[#This Row],[Status]]="Late Start")),MAX(0,Tasks[[#This Row],[Finish Var]])+1-Tasks[[#This Row],[_Row]]/1000000,"")</f>
        <v/>
      </c>
      <c r="GF79" s="42" t="str">
        <f aca="false">IF(AND(Tasks[[#This Row],[_IsLeaf]]=1,N(Tasks[[#This Row],[Actual Start]])=0,Tasks[[#This Row],[_ShownFcstStart]]&gt;=StatusDate,Tasks[[#This Row],[_ShownFcstStart]]&lt;=LookaheadEnd),Tasks[[#This Row],[_ShownFcstStart]]+Tasks[[#This Row],[_Row]]/100000,"")</f>
        <v/>
      </c>
      <c r="GG79" s="42" t="str">
        <f aca="false">IF(AND(Tasks[[#This Row],[_IsLeaf]]=1,Tasks[[#This Row],[_LeafProgress]]&lt;1,Tasks[[#This Row],[_ShownFcstFinish]]&gt;=StatusDate,Tasks[[#This Row],[_ShownFcstFinish]]&lt;=LookaheadEnd),Tasks[[#This Row],[_ShownFcstFinish]]+Tasks[[#This Row],[_Row]]/100000,"")</f>
        <v/>
      </c>
      <c r="GH79" s="42" t="str">
        <f aca="false">IF(Tasks[[#This Row],[_LeafCritical]],Tasks[[#This Row],[_ShownFcstStart]]+Tasks[[#This Row],[_Row]]/100000,"")</f>
        <v/>
      </c>
      <c r="GI79" s="42" t="n">
        <f aca="false">Tasks[[#This Row],[_LeafWork]]*Tasks[[#This Row],[_LeafProgress]]</f>
        <v>0</v>
      </c>
      <c r="GJ79" s="89" t="str">
        <f aca="false">IF(AND(Tasks[[#This Row],[_IsLeaf]]=1,Tasks[[#This Row],[_LeafProgress]]&gt;=1),IF(N(Tasks[[#This Row],[Actual Finish]])&gt;0,Tasks[[#This Row],[Actual Finish]],Tasks[[#This Row],[_ShownFcstFinish]]),"")</f>
        <v/>
      </c>
      <c r="GK79" s="42" t="n">
        <f aca="false">IF(Tasks[[#This Row],[_IsLeaf]]=1,N(Tasks[[#This Row],[Story Points]]),0)</f>
        <v>0</v>
      </c>
      <c r="GL79" s="42" t="str">
        <f aca="false">""</f>
        <v/>
      </c>
      <c r="GM79" s="88" t="b">
        <f aca="false">IF(Tasks[[#This Row],[Task Name]]="",FALSE(),AND(Tasks[[#This Row],[_IsLeaf]]=1,N(Tasks[[#This Row],[_Days]])=0))</f>
        <v>0</v>
      </c>
      <c r="GN79" s="89" t="n">
        <f aca="false">IF(Tasks[[#This Row],[Task Name]]="",0,IF(AND(Tasks[[#This Row],[_IsLeaf]]=1,NOT(Tasks[[#This Row],[_IsMilestone]]),N(Tasks[[#This Row],[Progress]])&gt;0),Tasks[[#This Row],[Start]],0))</f>
        <v>0</v>
      </c>
      <c r="GO79" s="89" t="n">
        <f aca="false">IF(Tasks[[#This Row],[_DoneFrom]]=0,0,IF(Tasks[[#This Row],[Progress]]&gt;=1,Tasks[[#This Row],[Finish]],MAX(Tasks[[#This Row],[_DoneFrom]],Tasks[[#This Row],[Start]]+ROUND((Tasks[[#This Row],[Finish]]-Tasks[[#This Row],[Start]]+1)*Tasks[[#This Row],[Progress]],0)-1)))</f>
        <v>0</v>
      </c>
      <c r="GP79" s="89" t="n">
        <f aca="false">IF(Tasks[[#This Row],[Task Name]]="",0,IF(OR(NOT(Tasks[[#This Row],[_IsLeaf]]=1),Tasks[[#This Row],[_IsMilestone]],N(Tasks[[#This Row],[Progress]])&gt;=1),0,IF(Tasks[[#This Row],[_DoneTo]]&gt;0,Tasks[[#This Row],[_DoneTo]]+1,Tasks[[#This Row],[Start]])))</f>
        <v>0</v>
      </c>
      <c r="GQ79" s="89" t="n">
        <f aca="false">IF(Tasks[[#This Row],[_RemFrom]]=0,0,Tasks[[#This Row],[Finish]])</f>
        <v>0</v>
      </c>
      <c r="GR79" s="88" t="b">
        <f aca="false">IF(Tasks[[#This Row],[Task Name]]="",FALSE(),OR(NOT(BaselineSet),N(Tasks[[#This Row],[Baseline Start]])&gt;0))</f>
        <v>0</v>
      </c>
      <c r="GS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79" s="90" t="str">
        <f aca="false">IF(Tasks[[#This Row],[_IsLeaf]]=1,Tasks[[#This Row],[_Row]],"")</f>
        <v/>
      </c>
      <c r="GW79" s="90" t="str">
        <f aca="false">IFERROR(INDEX(Tasks[UID],SMALL(Tasks[_PickKey],Tasks[[#This Row],[_Row]]))&amp;" "&amp;INDEX(Tasks[Task Name],SMALL(Tasks[_PickKey],Tasks[[#This Row],[_Row]])),"")</f>
        <v/>
      </c>
      <c r="GX79" s="42" t="str">
        <f aca="false">IF(Tasks[[#This Row],[Task Name]]="","",IF(Tasks[[#This Row],[_IsSummary]],NETWORKDAYS.INTL(Tasks[[#This Row],[Start]],Tasks[[#This Row],[Finish]],WorkWeek,Holidays),N(Tasks[[#This Row],[_Days]])))</f>
        <v/>
      </c>
    </row>
    <row r="80" customFormat="false" ht="15" hidden="false" customHeight="false" outlineLevel="0" collapsed="false">
      <c r="A80" s="21" t="str">
        <f aca="false">IF(Tasks[[#This Row],[Task Name]]="","",COUNTA(Tasks[[#Headers],[Task Name]]:Tasks[[#This Row],[Task Name]])-1)</f>
        <v/>
      </c>
      <c r="B80" s="22" t="n">
        <v>88</v>
      </c>
      <c r="C80" s="22"/>
      <c r="D80" s="23"/>
      <c r="E80" s="22"/>
      <c r="F80" s="23"/>
      <c r="G80" s="22"/>
      <c r="H80" s="22"/>
      <c r="I80" s="23"/>
      <c r="J80" s="22"/>
      <c r="K80" s="22"/>
      <c r="L80" s="23"/>
      <c r="M80" s="22"/>
      <c r="N80" s="22"/>
      <c r="O80" s="23"/>
      <c r="P80" s="22"/>
      <c r="Q80" s="22"/>
      <c r="R80" s="23"/>
      <c r="S80" s="23"/>
      <c r="T80" s="83"/>
      <c r="U80" s="23"/>
      <c r="V80" s="83"/>
      <c r="W80" s="23"/>
      <c r="X80" s="83"/>
      <c r="Y80" s="23"/>
      <c r="Z80" s="83"/>
      <c r="AA80" s="23"/>
      <c r="AB80" s="23"/>
      <c r="AC80" s="7"/>
      <c r="AD80" s="7"/>
      <c r="AE80" s="62" t="str">
        <f aca="false">IF(Tasks[[#This Row],[Task Name]]="","",IF(Tasks[[#This Row],[_IsSummary]],MIN(INDEX(Tasks[_ShownFcstStart],Tasks[[#This Row],[_Row]]+1):INDEX(Tasks[_ShownFcstStart],Tasks[[#This Row],[_Row]]+Tasks[[#This Row],[_Descendants]])),Tasks[[#This Row],[_ShownFcstStart]]))</f>
        <v/>
      </c>
      <c r="AF80" s="62" t="str">
        <f aca="false">IF(Tasks[[#This Row],[Task Name]]="","",IF(Tasks[[#This Row],[_IsSummary]],MAX(INDEX(Tasks[_ShownFcstFinish],Tasks[[#This Row],[_Row]]+1):INDEX(Tasks[_ShownFcstFinish],Tasks[[#This Row],[_Row]]+Tasks[[#This Row],[_Descendants]])),Tasks[[#This Row],[_ShownFcstFinish]]))</f>
        <v/>
      </c>
      <c r="AG80" s="21" t="str">
        <f aca="false">""</f>
        <v/>
      </c>
      <c r="AH80" s="23"/>
      <c r="AI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0" s="7"/>
      <c r="AK80" s="22"/>
      <c r="AL80" s="23"/>
      <c r="AM80" s="7"/>
      <c r="AN80" s="46" t="str">
        <f aca="false">IF(Tasks[[#This Row],[Task Name]]="","",IF(Tasks[[#This Row],[Finish]]&gt;=Tasks[[#This Row],[Planned Finish]],NETWORKDAYS.INTL(Tasks[[#This Row],[Planned Finish]],Tasks[[#This Row],[Finish]],WorkWeek,Holidays)-1,1-NETWORKDAYS.INTL(Tasks[[#This Row],[Finish]],Tasks[[#This Row],[Planned Finish]],WorkWeek,Holidays)))</f>
        <v/>
      </c>
      <c r="AO80" s="21" t="str">
        <f aca="false">IF(Tasks[[#This Row],[Task Name]]="","",IF(Tasks[[#This Row],[Progress]]&gt;=1,"Complete",IF(OR(N(Tasks[[#This Row],[Actual Start]])&gt;0,Tasks[[#This Row],[Progress]]&gt;0),IF(Tasks[[#This Row],[Finish Var]]&gt;0,"Behind","In Progress"),IF(Tasks[[#This Row],[Planned Start]]&lt;StatusDate,"Late Start","Not Started"))))</f>
        <v/>
      </c>
      <c r="AP80" s="21" t="str">
        <f aca="false">IF(Tasks[[#This Row],[Task Name]]="","",IF(IF(Tasks[[#This Row],[_IsSummary]],COUNTIF(INDEX(Tasks[_LeafCritical],Tasks[[#This Row],[_Row]]+1):INDEX(Tasks[_LeafCritical],Tasks[[#This Row],[_Row]]+Tasks[[#This Row],[_Descendants]]),TRUE())&gt;0,Tasks[[#This Row],[_LeafCritical]]),"Yes",""))</f>
        <v/>
      </c>
      <c r="AQ80" s="62" t="str">
        <f aca="false">IF(Tasks[[#This Row],[Task Name]]="","",IF(N(Tasks[[#This Row],[Baseline Start]])&gt;0,Tasks[[#This Row],[Baseline Start]],Tasks[[#This Row],[_CalcStart]]))</f>
        <v/>
      </c>
      <c r="AR80" s="62" t="str">
        <f aca="false">IF(Tasks[[#This Row],[Task Name]]="","",IF(N(Tasks[[#This Row],[Baseline Finish]])&gt;0,Tasks[[#This Row],[Baseline Finish]],Tasks[[#This Row],[_CalcFinish]]))</f>
        <v/>
      </c>
      <c r="AS80" s="46" t="str">
        <f aca="false">IF(Tasks[[#This Row],[Task Name]]="","",IF(Tasks[[#This Row],[Start]]&gt;=Tasks[[#This Row],[Planned Start]],NETWORKDAYS.INTL(Tasks[[#This Row],[Planned Start]],Tasks[[#This Row],[Start]],WorkWeek,Holidays)-1,1-NETWORKDAYS.INTL(Tasks[[#This Row],[Start]],Tasks[[#This Row],[Planned Start]],WorkWeek,Holidays)))</f>
        <v/>
      </c>
      <c r="AT80" s="62" t="str">
        <f aca="false">IF(Tasks[[#This Row],[Task Name]]="","",IF(Tasks[[#This Row],[_IsSummary]],MIN(INDEX(Tasks[_LeafLateStart],Tasks[[#This Row],[_Row]]+1):INDEX(Tasks[_LeafLateStart],Tasks[[#This Row],[_Row]]+Tasks[[#This Row],[_Descendants]])),Tasks[[#This Row],[_LeafLateStart]]))</f>
        <v/>
      </c>
      <c r="AU80" s="62" t="str">
        <f aca="false">IF(Tasks[[#This Row],[Task Name]]="","",IF(Tasks[[#This Row],[_IsSummary]],MAX(INDEX(Tasks[_LeafLateFinish],Tasks[[#This Row],[_Row]]+1):INDEX(Tasks[_LeafLateFinish],Tasks[[#This Row],[_Row]]+Tasks[[#This Row],[_Descendants]])),Tasks[[#This Row],[_LeafLateFinish]]))</f>
        <v/>
      </c>
      <c r="AV80" s="46" t="str">
        <f aca="false">IF(Tasks[[#This Row],[Task Name]]="","",IF(Tasks[[#This Row],[_IsSummary]],MIN(INDEX(Tasks[_LeafTotalSlack],Tasks[[#This Row],[_Row]]+1):INDEX(Tasks[_LeafTotalSlack],Tasks[[#This Row],[_Row]]+Tasks[[#This Row],[_Descendants]])),Tasks[[#This Row],[_LeafTotalSlack]]))</f>
        <v/>
      </c>
      <c r="AW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4"/>
      <c r="BA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t="str">
        <f aca="false">IF(Tasks[[#This Row],[Task Name]]="","",IF(Tasks[[#This Row],[_Level]]&lt;=OutlineShowLevel,"Yes","No"))</f>
        <v/>
      </c>
      <c r="BE80" s="85" t="str">
        <f aca="false">IF(Tasks[[#This Row],[Task Name]]="","",IF(Tasks[[#This Row],[_IsSummary]],SUM(INDEX(Tasks[_LeafTotalWork],Tasks[[#This Row],[_Row]]+1):INDEX(Tasks[_LeafTotalWork],Tasks[[#This Row],[_Row]]+Tasks[[#This Row],[_Descendants]])),Tasks[[#This Row],[_LeafTotalWork]]))</f>
        <v/>
      </c>
      <c r="BF80" s="23"/>
      <c r="BG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t="str">
        <f aca="false">""</f>
        <v/>
      </c>
      <c r="BI80" s="86"/>
      <c r="BJ80" s="22"/>
      <c r="BK80" s="46" t="str">
        <f aca="false">IF(OR(Tasks[[#This Row],[Task Name]]="",Tasks[[#This Row],[Baseline Duration]]=""),"",Tasks[[#This Row],[_SpanDays]]-N(Tasks[[#This Row],[Baseline Duration]]))</f>
        <v/>
      </c>
      <c r="BL80" s="85" t="str">
        <f aca="false">IF(OR(Tasks[[#This Row],[Task Name]]="",Tasks[[#This Row],[Baseline Work]]=""),"",Tasks[[#This Row],[Work]]-N(Tasks[[#This Row],[Baseline Work]]))</f>
        <v/>
      </c>
      <c r="BM80" s="62" t="str">
        <f aca="false">IF(Tasks[[#This Row],[Task Name]]="","",IF(OR(TakeBaseline="Yes",N(Tasks[[#This Row],[Baseline Start]])=0),Tasks[[#This Row],[Start]],Tasks[[#This Row],[Baseline Start]]))</f>
        <v/>
      </c>
      <c r="BN80" s="62" t="str">
        <f aca="false">IF(Tasks[[#This Row],[Task Name]]="","",IF(OR(TakeBaseline="Yes",N(Tasks[[#This Row],[Baseline Finish]])=0),Tasks[[#This Row],[Finish]],Tasks[[#This Row],[Baseline Finish]]))</f>
        <v/>
      </c>
      <c r="BO80" s="21" t="str">
        <f aca="false">IF(Tasks[[#This Row],[Task Name]]="","",IF(OR(TakeBaseline="Yes",N(Tasks[[#This Row],[Baseline Duration]])=0),Tasks[[#This Row],[_SpanDays]],Tasks[[#This Row],[Baseline Duration]]))</f>
        <v/>
      </c>
      <c r="BP80" s="85" t="str">
        <f aca="false">IF(Tasks[[#This Row],[Task Name]]="","",IF(OR(TakeBaseline="Yes",N(Tasks[[#This Row],[Baseline Work]])=0),Tasks[[#This Row],[Work]],Tasks[[#This Row],[Baseline Work]]))</f>
        <v/>
      </c>
      <c r="BQ80" s="7"/>
      <c r="BR80" s="7"/>
      <c r="BS80" s="22"/>
      <c r="BT80" s="87"/>
      <c r="BU80" s="42" t="str">
        <f aca="false">IF(Tasks[[#This Row],[Task Name]]="","",MAX(1,N(Tasks[[#This Row],[Level]])))</f>
        <v/>
      </c>
      <c r="BV80" s="42" t="n">
        <f aca="false">ROW()-ROW(Tasks[[#Headers],[ID]])</f>
        <v>75</v>
      </c>
      <c r="BW80" s="42" t="n">
        <f aca="false">IF(OR(Tasks[[#This Row],[Task Name]]="",Tasks[[#This Row],[_Level]]&lt;=1),0,IFERROR(LOOKUP(2,1/(Tasks[[#Headers],[_Level]]:Tasks[[#This Row],[_Level]]=Tasks[[#This Row],[_Level]]-1),ROW(Tasks[[#Headers],[_Level]]:Tasks[[#This Row],[_Level]])),0))</f>
        <v>0</v>
      </c>
      <c r="BX80" s="42" t="n">
        <f aca="false">IFERROR(N(INDEX(Tasks[_Level],Tasks[[#This Row],[_Row]]+1)),0)</f>
        <v>0</v>
      </c>
      <c r="BY80" s="88" t="b">
        <f aca="false">AND(Tasks[[#This Row],[Task Name]]&lt;&gt;"",Tasks[[#This Row],[_NextLevel]]&gt;Tasks[[#This Row],[_Level]])</f>
        <v>0</v>
      </c>
      <c r="BZ80" s="42" t="n">
        <f aca="false">IF(Tasks[[#This Row],[_IsSummary]],COUNTIF(Tasks[WBS],Tasks[[#This Row],[WBS]]&amp;".*"),0)</f>
        <v>0</v>
      </c>
      <c r="CA80" s="42" t="n">
        <f aca="false">IF(AND(Tasks[[#This Row],[Task Name]]&lt;&gt;"",NOT(Tasks[[#This Row],[_IsSummary]])),1,0)</f>
        <v>0</v>
      </c>
      <c r="CB80" s="42" t="n">
        <f aca="false">IF(N(Tasks[[#This Row],[_Pred1UID]])=0,0,IFERROR(MATCH(Tasks[[#This Row],[_Pred1UID]],Tasks[UID],0),-1))</f>
        <v>0</v>
      </c>
      <c r="CC80" s="42" t="n">
        <f aca="false">IF(N(Tasks[[#This Row],[_Pred2UID]])=0,0,IFERROR(MATCH(Tasks[[#This Row],[_Pred2UID]],Tasks[UID],0),-1))</f>
        <v>0</v>
      </c>
      <c r="CD80" s="42" t="n">
        <f aca="false">IF(N(Tasks[[#This Row],[_Pred3UID]])=0,0,IFERROR(MATCH(Tasks[[#This Row],[_Pred3UID]],Tasks[UID],0),-1))</f>
        <v>0</v>
      </c>
      <c r="CE80" s="42" t="n">
        <f aca="false">IF(N(Tasks[[#This Row],[_Pred4UID]])=0,0,IFERROR(MATCH(Tasks[[#This Row],[_Pred4UID]],Tasks[UID],0),-1))</f>
        <v>0</v>
      </c>
      <c r="CF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0" s="89" t="n">
        <f aca="false">IF(OR(Tasks[[#This Row],[_ConstraintCode]]=2,Tasks[[#This Row],[_ConstraintCode]]=3,Tasks[[#This Row],[_ConstraintCode]]=4,Tasks[[#This Row],[_ConstraintCode]]=6),Tasks[[#This Row],[_ConstraintStart]],0)</f>
        <v>0</v>
      </c>
      <c r="CI80" s="89" t="n">
        <f aca="false">IF(OR(Tasks[[#This Row],[_ConstraintCode]]=2,Tasks[[#This Row],[_ConstraintCode]]=3,Tasks[[#This Row],[_ConstraintCode]]=5,Tasks[[#This Row],[_ConstraintCode]]=7),Tasks[[#This Row],[_ConstraintStart]],2958465)</f>
        <v>2958465</v>
      </c>
      <c r="CJ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0" s="89" t="str">
        <f aca="false">IF(NOT(Tasks[[#This Row],[_IsLeaf]]=1),"",IF(N(Tasks[[#This Row],[_Days]])&lt;=0,Tasks[[#This Row],[_LeafCalcStart]],WORKDAY.INTL(Tasks[[#This Row],[_LeafCalcStart]],Tasks[[#This Row],[_Days]]-1,WorkWeek,Holidays)))</f>
        <v/>
      </c>
      <c r="CL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0" s="42" t="str">
        <f aca="false">IF(Tasks[[#This Row],[_Predecessors]]="","",TRIM(MID(SUBSTITUTE(SUBSTITUTE(SUBSTITUTE(UPPER(Tasks[[#This Row],[_Predecessors]]),";",",")," ",""),",",REPT(" ",99)),1,99)))</f>
        <v/>
      </c>
      <c r="CO80" s="42" t="str">
        <f aca="false">IF(Tasks[[#This Row],[_Pred1Text]]="","",IFERROR(VALUE(LEFT(Tasks[[#This Row],[_Pred1Text]],MIN(FIND("F",Tasks[[#This Row],[_Pred1Text]]&amp;"F"),FIND("S",Tasks[[#This Row],[_Pred1Text]]&amp;"S"),FIND("+",Tasks[[#This Row],[_Pred1Text]]&amp;"+"),FIND("-",Tasks[[#This Row],[_Pred1Text]]&amp;"-"))-1)),""))</f>
        <v/>
      </c>
      <c r="CP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0" s="42" t="str">
        <f aca="false">IF(Tasks[[#This Row],[_Pred1Text]]="","",TRIM(MID(SUBSTITUTE(SUBSTITUTE(SUBSTITUTE(UPPER(Tasks[[#This Row],[_Predecessors]]),";",",")," ",""),",",REPT(" ",99)),100,99)))</f>
        <v/>
      </c>
      <c r="CS80" s="42" t="str">
        <f aca="false">IF(Tasks[[#This Row],[_Pred2Text]]="","",IFERROR(VALUE(LEFT(Tasks[[#This Row],[_Pred2Text]],MIN(FIND("F",Tasks[[#This Row],[_Pred2Text]]&amp;"F"),FIND("S",Tasks[[#This Row],[_Pred2Text]]&amp;"S"),FIND("+",Tasks[[#This Row],[_Pred2Text]]&amp;"+"),FIND("-",Tasks[[#This Row],[_Pred2Text]]&amp;"-"))-1)),""))</f>
        <v/>
      </c>
      <c r="CT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0" s="42" t="str">
        <f aca="false">IF(Tasks[[#This Row],[_Pred2Text]]="","",TRIM(MID(SUBSTITUTE(SUBSTITUTE(SUBSTITUTE(UPPER(Tasks[[#This Row],[_Predecessors]]),";",",")," ",""),",",REPT(" ",99)),199,99)))</f>
        <v/>
      </c>
      <c r="CW80" s="42" t="str">
        <f aca="false">IF(Tasks[[#This Row],[_Pred3Text]]="","",IFERROR(VALUE(LEFT(Tasks[[#This Row],[_Pred3Text]],MIN(FIND("F",Tasks[[#This Row],[_Pred3Text]]&amp;"F"),FIND("S",Tasks[[#This Row],[_Pred3Text]]&amp;"S"),FIND("+",Tasks[[#This Row],[_Pred3Text]]&amp;"+"),FIND("-",Tasks[[#This Row],[_Pred3Text]]&amp;"-"))-1)),""))</f>
        <v/>
      </c>
      <c r="CX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0" s="42" t="str">
        <f aca="false">IF(Tasks[[#This Row],[_Pred3Text]]="","",TRIM(MID(SUBSTITUTE(SUBSTITUTE(SUBSTITUTE(UPPER(Tasks[[#This Row],[_Predecessors]]),";",",")," ",""),",",REPT(" ",99)),298,99)))</f>
        <v/>
      </c>
      <c r="DA80" s="42" t="str">
        <f aca="false">IF(Tasks[[#This Row],[_Pred4Text]]="","",IFERROR(VALUE(LEFT(Tasks[[#This Row],[_Pred4Text]],MIN(FIND("F",Tasks[[#This Row],[_Pred4Text]]&amp;"F"),FIND("S",Tasks[[#This Row],[_Pred4Text]]&amp;"S"),FIND("+",Tasks[[#This Row],[_Pred4Text]]&amp;"+"),FIND("-",Tasks[[#This Row],[_Pred4Text]]&amp;"-"))-1)),""))</f>
        <v/>
      </c>
      <c r="DB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0" s="42" t="str">
        <f aca="false">IF(OR(Tasks[[#This Row],[Task Name]]="",Tasks[[#This Row],[_Resources]]=""),"",TRIM(MID(SUBSTITUTE(Tasks[[#This Row],[_Resources]],",",REPT(" ",99)),1,99)))</f>
        <v/>
      </c>
      <c r="DE80" s="42" t="str">
        <f aca="false">IF(Tasks[[#This Row],[_Res1Text]]="","",TRIM(MID(SUBSTITUTE(Tasks[[#This Row],[_Resources]],",",REPT(" ",99)),100,99)))</f>
        <v/>
      </c>
      <c r="DF80" s="42" t="str">
        <f aca="false">IF(Tasks[[#This Row],[_Res2Text]]="","",TRIM(MID(SUBSTITUTE(Tasks[[#This Row],[_Resources]],",",REPT(" ",99)),199,99)))</f>
        <v/>
      </c>
      <c r="DG80" s="42" t="str">
        <f aca="false">IF(Tasks[[#This Row],[_Res3Text]]="","",TRIM(MID(SUBSTITUTE(Tasks[[#This Row],[_Resources]],",",REPT(" ",99)),298,99)))</f>
        <v/>
      </c>
      <c r="DH80" s="42" t="n">
        <f aca="false">IF(Tasks[[#This Row],[_Res1Text]]="",0,IFERROR(MATCH(TRIM(LEFT(Tasks[[#This Row],[_Res1Text]],FIND("[",Tasks[[#This Row],[_Res1Text]]&amp;"[")-1)),res_Name,0),IFERROR(MATCH(TRIM(LEFT(Tasks[[#This Row],[_Res1Text]],FIND("[",Tasks[[#This Row],[_Res1Text]]&amp;"[")-1)),res_Initials,0),0)))</f>
        <v>0</v>
      </c>
      <c r="DI80" s="42" t="n">
        <f aca="false">IF(Tasks[[#This Row],[_Res2Text]]="",0,IFERROR(MATCH(TRIM(LEFT(Tasks[[#This Row],[_Res2Text]],FIND("[",Tasks[[#This Row],[_Res2Text]]&amp;"[")-1)),res_Name,0),IFERROR(MATCH(TRIM(LEFT(Tasks[[#This Row],[_Res2Text]],FIND("[",Tasks[[#This Row],[_Res2Text]]&amp;"[")-1)),res_Initials,0),0)))</f>
        <v>0</v>
      </c>
      <c r="DJ80" s="42" t="n">
        <f aca="false">IF(Tasks[[#This Row],[_Res3Text]]="",0,IFERROR(MATCH(TRIM(LEFT(Tasks[[#This Row],[_Res3Text]],FIND("[",Tasks[[#This Row],[_Res3Text]]&amp;"[")-1)),res_Name,0),IFERROR(MATCH(TRIM(LEFT(Tasks[[#This Row],[_Res3Text]],FIND("[",Tasks[[#This Row],[_Res3Text]]&amp;"[")-1)),res_Initials,0),0)))</f>
        <v>0</v>
      </c>
      <c r="DK80" s="42" t="n">
        <f aca="false">IF(Tasks[[#This Row],[_Res4Text]]="",0,IFERROR(MATCH(TRIM(LEFT(Tasks[[#This Row],[_Res4Text]],FIND("[",Tasks[[#This Row],[_Res4Text]]&amp;"[")-1)),res_Name,0),IFERROR(MATCH(TRIM(LEFT(Tasks[[#This Row],[_Res4Text]],FIND("[",Tasks[[#This Row],[_Res4Text]]&amp;"[")-1)),res_Initials,0),0)))</f>
        <v>0</v>
      </c>
      <c r="DL80" s="42" t="str">
        <f aca="false">IF(Tasks[[#This Row],[_Res1Text]]="","",IF(Tasks[[#This Row],[_Res1Row]]&gt;0,INDEX(res_Name,Tasks[[#This Row],[_Res1Row]]),TRIM(LEFT(Tasks[[#This Row],[_Res1Text]],FIND("[",Tasks[[#This Row],[_Res1Text]]&amp;"[")-1))))</f>
        <v/>
      </c>
      <c r="DM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0" s="42" t="n">
        <f aca="false">IF(NOT(Tasks[[#This Row],[_IsLeaf]]=1),0,(Tasks[[#This Row],[_Resource1]]&lt;&gt;"")+(Tasks[[#This Row],[_Res2]]&lt;&gt;"")+(Tasks[[#This Row],[_Res3]]&lt;&gt;"")+(Tasks[[#This Row],[_Res4]]&lt;&gt;""))</f>
        <v>0</v>
      </c>
      <c r="DO80" s="42" t="str">
        <f aca="false">IF(Tasks[[#This Row],[_Res2Text]]="","",IF(Tasks[[#This Row],[_Res2Row]]&gt;0,INDEX(res_Name,Tasks[[#This Row],[_Res2Row]]),TRIM(LEFT(Tasks[[#This Row],[_Res2Text]],FIND("[",Tasks[[#This Row],[_Res2Text]]&amp;"[")-1))))</f>
        <v/>
      </c>
      <c r="DP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0" s="42" t="n">
        <f aca="false">IF(OR(NOT(Tasks[[#This Row],[_IsLeaf]]=1),Tasks[[#This Row],[_Res2Row]]=0),0,N(Tasks[[#This Row],[_Days]])*HoursPerDay*IF(Tasks[[#This Row],[_Res2Units]]="",DefaultUnits,Tasks[[#This Row],[_Res2Units]]))</f>
        <v>0</v>
      </c>
      <c r="DR80" s="42" t="n">
        <f aca="false">IF(AND(AND(Tasks[[#This Row],[_IsLeaf]]=1,Tasks[[#This Row],[_LeafTotalWork]]&gt;0),Tasks[[#This Row],[_Res2Work]]&gt;0),Tasks[[#This Row],[_Res2Work]]/(Tasks[[#This Row],[_FinishWorkday]]-Tasks[[#This Row],[_StartWorkday]]+1),0)</f>
        <v>0</v>
      </c>
      <c r="DS80" s="42" t="n">
        <f aca="false">Tasks[[#This Row],[_Res2WorkPerWD]]*MAX(0,Tasks[[#This Row],[_StartWorkday]]-1)</f>
        <v>0</v>
      </c>
      <c r="DT80" s="42" t="n">
        <f aca="false">Tasks[[#This Row],[_Res2Work]]*Tasks[[#This Row],[_LeafProgress]]</f>
        <v>0</v>
      </c>
      <c r="DU80" s="42" t="str">
        <f aca="false">IF(Tasks[[#This Row],[_Res3Text]]="","",IF(Tasks[[#This Row],[_Res3Row]]&gt;0,INDEX(res_Name,Tasks[[#This Row],[_Res3Row]]),TRIM(LEFT(Tasks[[#This Row],[_Res3Text]],FIND("[",Tasks[[#This Row],[_Res3Text]]&amp;"[")-1))))</f>
        <v/>
      </c>
      <c r="DV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0" s="42" t="n">
        <f aca="false">IF(OR(NOT(Tasks[[#This Row],[_IsLeaf]]=1),Tasks[[#This Row],[_Res3Row]]=0),0,N(Tasks[[#This Row],[_Days]])*HoursPerDay*IF(Tasks[[#This Row],[_Res3Units]]="",DefaultUnits,Tasks[[#This Row],[_Res3Units]]))</f>
        <v>0</v>
      </c>
      <c r="DX80" s="42" t="n">
        <f aca="false">IF(AND(AND(Tasks[[#This Row],[_IsLeaf]]=1,Tasks[[#This Row],[_LeafTotalWork]]&gt;0),Tasks[[#This Row],[_Res3Work]]&gt;0),Tasks[[#This Row],[_Res3Work]]/(Tasks[[#This Row],[_FinishWorkday]]-Tasks[[#This Row],[_StartWorkday]]+1),0)</f>
        <v>0</v>
      </c>
      <c r="DY80" s="42" t="n">
        <f aca="false">Tasks[[#This Row],[_Res3WorkPerWD]]*MAX(0,Tasks[[#This Row],[_StartWorkday]]-1)</f>
        <v>0</v>
      </c>
      <c r="DZ80" s="42" t="n">
        <f aca="false">Tasks[[#This Row],[_Res3Work]]*Tasks[[#This Row],[_LeafProgress]]</f>
        <v>0</v>
      </c>
      <c r="EA80" s="42" t="str">
        <f aca="false">IF(Tasks[[#This Row],[_Res4Text]]="","",IF(Tasks[[#This Row],[_Res4Row]]&gt;0,INDEX(res_Name,Tasks[[#This Row],[_Res4Row]]),TRIM(LEFT(Tasks[[#This Row],[_Res4Text]],FIND("[",Tasks[[#This Row],[_Res4Text]]&amp;"[")-1))))</f>
        <v/>
      </c>
      <c r="EB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0" s="42" t="n">
        <f aca="false">IF(OR(NOT(Tasks[[#This Row],[_IsLeaf]]=1),Tasks[[#This Row],[_Res4Row]]=0),0,N(Tasks[[#This Row],[_Days]])*HoursPerDay*IF(Tasks[[#This Row],[_Res4Units]]="",DefaultUnits,Tasks[[#This Row],[_Res4Units]]))</f>
        <v>0</v>
      </c>
      <c r="ED80" s="42" t="n">
        <f aca="false">IF(AND(AND(Tasks[[#This Row],[_IsLeaf]]=1,Tasks[[#This Row],[_LeafTotalWork]]&gt;0),Tasks[[#This Row],[_Res4Work]]&gt;0),Tasks[[#This Row],[_Res4Work]]/(Tasks[[#This Row],[_FinishWorkday]]-Tasks[[#This Row],[_StartWorkday]]+1),0)</f>
        <v>0</v>
      </c>
      <c r="EE80" s="42" t="n">
        <f aca="false">Tasks[[#This Row],[_Res4WorkPerWD]]*MAX(0,Tasks[[#This Row],[_StartWorkday]]-1)</f>
        <v>0</v>
      </c>
      <c r="EF80" s="42" t="n">
        <f aca="false">Tasks[[#This Row],[_Res4Work]]*Tasks[[#This Row],[_LeafProgress]]</f>
        <v>0</v>
      </c>
      <c r="EG80" s="42" t="n">
        <f aca="false">IF(ISNUMBER(Tasks[[#This Row],[% Complete]]),Tasks[[#This Row],[% Complete]],IF(Tasks[[#This Row],[Stage]]="",0,IFERROR(INDEX(stg_Pct,MATCH(Tasks[[#This Row],[Stage]],stg_Name,0)),0)))</f>
        <v>0</v>
      </c>
      <c r="EH80" s="42" t="n">
        <f aca="false">IF(NOT(Tasks[[#This Row],[_IsLeaf]]=1),0,IF(N(Tasks[[#This Row],[Actual Finish]])&gt;0,1,MIN(1,Tasks[[#This Row],[_Pct]])))</f>
        <v>0</v>
      </c>
      <c r="EI80" s="42" t="n">
        <f aca="false">IF(OR(NOT(Tasks[[#This Row],[_IsLeaf]]=1),Tasks[[#This Row],[_Res1Row]]=0),0,N(Tasks[[#This Row],[_Days]])*HoursPerDay*IF(Tasks[[#This Row],[_Units1]]="",DefaultUnits,Tasks[[#This Row],[_Units1]]))</f>
        <v>0</v>
      </c>
      <c r="EJ80" s="42" t="n">
        <f aca="false">Tasks[[#This Row],[_LeafWork]]+Tasks[[#This Row],[_Res2Work]]+Tasks[[#This Row],[_Res3Work]]+Tasks[[#This Row],[_Res4Work]]</f>
        <v>0</v>
      </c>
      <c r="EK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0" s="42" t="n">
        <f aca="false">IF(NOT(Tasks[[#This Row],[_IsLeaf]]=1),0,MAX(_xlfn.MAXIFS(Tasks[_Row],Tasks[_Pred1UID],Tasks[[#This Row],[UID]]),_xlfn.MAXIFS(Tasks[_Row],Tasks[_Pred2UID],Tasks[[#This Row],[UID]]),_xlfn.MAXIFS(Tasks[_Row],Tasks[_Pred3UID],Tasks[[#This Row],[UID]]),_xlfn.MAXIFS(Tasks[_Row],Tasks[_Pred4UID],Tasks[[#This Row],[UID]])))</f>
        <v>0</v>
      </c>
      <c r="ET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0" s="89" t="str">
        <f aca="false">IF(NOT(Tasks[[#This Row],[_IsLeaf]]=1),"",IF(N(Tasks[[#This Row],[_Days]])&lt;=0,Tasks[[#This Row],[_LeafLateFinish]],WORKDAY.INTL(Tasks[[#This Row],[_LeafLateFinish]],-(Tasks[[#This Row],[_Days]]-1),WorkWeek,Holidays)))</f>
        <v/>
      </c>
      <c r="EW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0" s="88" t="b">
        <f aca="false">AND(Tasks[[#This Row],[_IsLeaf]]=1,Tasks[[#This Row],[_LeafProgress]]&lt;1,N(Tasks[[#This Row],[_LeafTotalSlack]])&lt;=CriticalSlackDays)</f>
        <v>0</v>
      </c>
      <c r="EY80" s="42" t="n">
        <f aca="false">IF(AND(Tasks[[#This Row],[_IsLeaf]]=1,Tasks[[#This Row],[_ConstraintCode]]=1,Tasks[[#This Row],[Mode]]&lt;&gt;"Manual",N(Tasks[[#This Row],[Actual Start]])=0),MAX(0,N(Tasks[[#This Row],[Free Slack]])),0)</f>
        <v>0</v>
      </c>
      <c r="EZ80" s="89" t="str">
        <f aca="false">IF(NOT(Tasks[[#This Row],[_IsLeaf]]=1),"",IF(Tasks[[#This Row],[_AlapShift]]=0,Tasks[[#This Row],[_LeafCalcStart]],WORKDAY.INTL(Tasks[[#This Row],[_LeafCalcStart]],Tasks[[#This Row],[_AlapShift]],WorkWeek,Holidays)))</f>
        <v/>
      </c>
      <c r="FA80" s="89" t="str">
        <f aca="false">IF(NOT(Tasks[[#This Row],[_IsLeaf]]=1),"",IF(Tasks[[#This Row],[_AlapShift]]=0,Tasks[[#This Row],[_LeafCalcFinish]],WORKDAY.INTL(Tasks[[#This Row],[_LeafCalcFinish]],Tasks[[#This Row],[_AlapShift]],WorkWeek,Holidays)))</f>
        <v/>
      </c>
      <c r="FB80" s="89" t="str">
        <f aca="false">IF(NOT(Tasks[[#This Row],[_IsLeaf]]=1),"",IF(Tasks[[#This Row],[_AlapShift]]=0,Tasks[[#This Row],[_LeafFcstStart]],WORKDAY.INTL(Tasks[[#This Row],[_LeafFcstStart]],Tasks[[#This Row],[_AlapShift]],WorkWeek,Holidays)))</f>
        <v/>
      </c>
      <c r="FC80" s="89" t="str">
        <f aca="false">IF(NOT(Tasks[[#This Row],[_IsLeaf]]=1),"",IF(Tasks[[#This Row],[_AlapShift]]=0,Tasks[[#This Row],[_LeafFcstFinish]],WORKDAY.INTL(Tasks[[#This Row],[_LeafFcstFinish]],Tasks[[#This Row],[_AlapShift]],WorkWeek,Holidays)))</f>
        <v/>
      </c>
      <c r="FD80" s="89" t="str">
        <f aca="false">IF(Tasks[[#This Row],[Task Name]]="","",IF(Tasks[[#This Row],[_IsSummary]],MIN(INDEX(Tasks[_ShownCalcStart],Tasks[[#This Row],[_Row]]+1):INDEX(Tasks[_ShownCalcStart],Tasks[[#This Row],[_Row]]+Tasks[[#This Row],[_Descendants]])),Tasks[[#This Row],[_ShownCalcStart]]))</f>
        <v/>
      </c>
      <c r="FE80" s="89" t="str">
        <f aca="false">IF(Tasks[[#This Row],[Task Name]]="","",IF(Tasks[[#This Row],[_IsSummary]],MAX(INDEX(Tasks[_ShownCalcFinish],Tasks[[#This Row],[_Row]]+1):INDEX(Tasks[_ShownCalcFinish],Tasks[[#This Row],[_Row]]+Tasks[[#This Row],[_Descendants]])),Tasks[[#This Row],[_ShownCalcFinish]]))</f>
        <v/>
      </c>
      <c r="FF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0" s="42" t="n">
        <f aca="false">IF(AND(Tasks[[#This Row],[_IsLeaf]]=1,Tasks[[#This Row],[_LeafTotalWork]]&gt;0),NETWORKDAYS.INTL(ProjectStart,Tasks[[#This Row],[_ShownFcstStart]],WorkWeek,Holidays),0)</f>
        <v>0</v>
      </c>
      <c r="FS80" s="42" t="n">
        <f aca="false">IF(AND(Tasks[[#This Row],[_IsLeaf]]=1,Tasks[[#This Row],[_LeafTotalWork]]&gt;0),MAX(Tasks[[#This Row],[_StartWorkday]],NETWORKDAYS.INTL(ProjectStart,Tasks[[#This Row],[_ShownFcstFinish]],WorkWeek,Holidays)),0)</f>
        <v>0</v>
      </c>
      <c r="FT80" s="42" t="n">
        <f aca="false">IF(AND(Tasks[[#This Row],[_IsLeaf]]=1,Tasks[[#This Row],[_LeafTotalWork]]&gt;0),Tasks[[#This Row],[_LeafWork]]/(Tasks[[#This Row],[_FinishWorkday]]-Tasks[[#This Row],[_StartWorkday]]+1),0)</f>
        <v>0</v>
      </c>
      <c r="FU80" s="42" t="n">
        <f aca="false">Tasks[[#This Row],[_WorkPerWorkday]]*(Tasks[[#This Row],[_StartWorkday]]-1)</f>
        <v>-0</v>
      </c>
      <c r="FV80" s="42" t="n">
        <f aca="false">IF(Tasks[[#This Row],[_IsLeaf]]=1,MAX(N(Tasks[[#This Row],[_Days]]),0.1),0)</f>
        <v>0</v>
      </c>
      <c r="FW80" s="42" t="n">
        <f aca="false">Tasks[[#This Row],[_WeightDur]]*Tasks[[#This Row],[_LeafProgress]]</f>
        <v>0</v>
      </c>
      <c r="FX80" s="42" t="n">
        <f aca="false">Tasks[[#This Row],[_WeightDur]]*Tasks[[#This Row],[_PlannedPct]]</f>
        <v>0</v>
      </c>
      <c r="FY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0" s="42" t="str">
        <f aca="false">IF(AND(Tasks[[#This Row],[_IsLeaf]]=1,N(Tasks[[#This Row],[_Days]])=0,Tasks[[#This Row],[_LeafProgress]]&lt;1),Tasks[[#This Row],[_ShownFcstFinish]]+Tasks[[#This Row],[_Row]]/100000,"")</f>
        <v/>
      </c>
      <c r="GA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0" s="42" t="str">
        <f aca="false">IF(Tasks[[#This Row],[Task Name]]="","",LEFT(Tasks[[#This Row],[WBS]],FIND(".",Tasks[[#This Row],[WBS]]&amp;".")-1))</f>
        <v/>
      </c>
      <c r="GC80" s="42" t="str">
        <f aca="false">IF(AND(Tasks[[#This Row],[Task Name]]&lt;&gt;"",Tasks[[#This Row],[_Level]]=1),Tasks[[#This Row],[_Row]],"")</f>
        <v/>
      </c>
      <c r="GD80" s="42" t="str">
        <f aca="false">IF(AND(Tasks[[#This Row],[_IsLeaf]]=1,N(Tasks[[#This Row],[_Days]])=0),Tasks[[#This Row],[Planned Finish]]+Tasks[[#This Row],[_Row]]/100000,"")</f>
        <v/>
      </c>
      <c r="GE80" s="42" t="str">
        <f aca="false">IF(AND(Tasks[[#This Row],[_IsLeaf]]=1,Tasks[[#This Row],[_LeafProgress]]&lt;1,OR(N(Tasks[[#This Row],[Finish Var]])&gt;0,Tasks[[#This Row],[Status]]="Late Start")),MAX(0,Tasks[[#This Row],[Finish Var]])+1-Tasks[[#This Row],[_Row]]/1000000,"")</f>
        <v/>
      </c>
      <c r="GF80" s="42" t="str">
        <f aca="false">IF(AND(Tasks[[#This Row],[_IsLeaf]]=1,N(Tasks[[#This Row],[Actual Start]])=0,Tasks[[#This Row],[_ShownFcstStart]]&gt;=StatusDate,Tasks[[#This Row],[_ShownFcstStart]]&lt;=LookaheadEnd),Tasks[[#This Row],[_ShownFcstStart]]+Tasks[[#This Row],[_Row]]/100000,"")</f>
        <v/>
      </c>
      <c r="GG80" s="42" t="str">
        <f aca="false">IF(AND(Tasks[[#This Row],[_IsLeaf]]=1,Tasks[[#This Row],[_LeafProgress]]&lt;1,Tasks[[#This Row],[_ShownFcstFinish]]&gt;=StatusDate,Tasks[[#This Row],[_ShownFcstFinish]]&lt;=LookaheadEnd),Tasks[[#This Row],[_ShownFcstFinish]]+Tasks[[#This Row],[_Row]]/100000,"")</f>
        <v/>
      </c>
      <c r="GH80" s="42" t="str">
        <f aca="false">IF(Tasks[[#This Row],[_LeafCritical]],Tasks[[#This Row],[_ShownFcstStart]]+Tasks[[#This Row],[_Row]]/100000,"")</f>
        <v/>
      </c>
      <c r="GI80" s="42" t="n">
        <f aca="false">Tasks[[#This Row],[_LeafWork]]*Tasks[[#This Row],[_LeafProgress]]</f>
        <v>0</v>
      </c>
      <c r="GJ80" s="89" t="str">
        <f aca="false">IF(AND(Tasks[[#This Row],[_IsLeaf]]=1,Tasks[[#This Row],[_LeafProgress]]&gt;=1),IF(N(Tasks[[#This Row],[Actual Finish]])&gt;0,Tasks[[#This Row],[Actual Finish]],Tasks[[#This Row],[_ShownFcstFinish]]),"")</f>
        <v/>
      </c>
      <c r="GK80" s="42" t="n">
        <f aca="false">IF(Tasks[[#This Row],[_IsLeaf]]=1,N(Tasks[[#This Row],[Story Points]]),0)</f>
        <v>0</v>
      </c>
      <c r="GL80" s="42" t="str">
        <f aca="false">""</f>
        <v/>
      </c>
      <c r="GM80" s="88" t="b">
        <f aca="false">IF(Tasks[[#This Row],[Task Name]]="",FALSE(),AND(Tasks[[#This Row],[_IsLeaf]]=1,N(Tasks[[#This Row],[_Days]])=0))</f>
        <v>0</v>
      </c>
      <c r="GN80" s="89" t="n">
        <f aca="false">IF(Tasks[[#This Row],[Task Name]]="",0,IF(AND(Tasks[[#This Row],[_IsLeaf]]=1,NOT(Tasks[[#This Row],[_IsMilestone]]),N(Tasks[[#This Row],[Progress]])&gt;0),Tasks[[#This Row],[Start]],0))</f>
        <v>0</v>
      </c>
      <c r="GO80" s="89" t="n">
        <f aca="false">IF(Tasks[[#This Row],[_DoneFrom]]=0,0,IF(Tasks[[#This Row],[Progress]]&gt;=1,Tasks[[#This Row],[Finish]],MAX(Tasks[[#This Row],[_DoneFrom]],Tasks[[#This Row],[Start]]+ROUND((Tasks[[#This Row],[Finish]]-Tasks[[#This Row],[Start]]+1)*Tasks[[#This Row],[Progress]],0)-1)))</f>
        <v>0</v>
      </c>
      <c r="GP80" s="89" t="n">
        <f aca="false">IF(Tasks[[#This Row],[Task Name]]="",0,IF(OR(NOT(Tasks[[#This Row],[_IsLeaf]]=1),Tasks[[#This Row],[_IsMilestone]],N(Tasks[[#This Row],[Progress]])&gt;=1),0,IF(Tasks[[#This Row],[_DoneTo]]&gt;0,Tasks[[#This Row],[_DoneTo]]+1,Tasks[[#This Row],[Start]])))</f>
        <v>0</v>
      </c>
      <c r="GQ80" s="89" t="n">
        <f aca="false">IF(Tasks[[#This Row],[_RemFrom]]=0,0,Tasks[[#This Row],[Finish]])</f>
        <v>0</v>
      </c>
      <c r="GR80" s="88" t="b">
        <f aca="false">IF(Tasks[[#This Row],[Task Name]]="",FALSE(),OR(NOT(BaselineSet),N(Tasks[[#This Row],[Baseline Start]])&gt;0))</f>
        <v>0</v>
      </c>
      <c r="GS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0" s="90" t="str">
        <f aca="false">IF(Tasks[[#This Row],[_IsLeaf]]=1,Tasks[[#This Row],[_Row]],"")</f>
        <v/>
      </c>
      <c r="GW80" s="90" t="str">
        <f aca="false">IFERROR(INDEX(Tasks[UID],SMALL(Tasks[_PickKey],Tasks[[#This Row],[_Row]]))&amp;" "&amp;INDEX(Tasks[Task Name],SMALL(Tasks[_PickKey],Tasks[[#This Row],[_Row]])),"")</f>
        <v/>
      </c>
      <c r="GX80" s="42" t="str">
        <f aca="false">IF(Tasks[[#This Row],[Task Name]]="","",IF(Tasks[[#This Row],[_IsSummary]],NETWORKDAYS.INTL(Tasks[[#This Row],[Start]],Tasks[[#This Row],[Finish]],WorkWeek,Holidays),N(Tasks[[#This Row],[_Days]])))</f>
        <v/>
      </c>
    </row>
    <row r="81" customFormat="false" ht="15" hidden="false" customHeight="false" outlineLevel="0" collapsed="false">
      <c r="A81" s="21" t="str">
        <f aca="false">IF(Tasks[[#This Row],[Task Name]]="","",COUNTA(Tasks[[#Headers],[Task Name]]:Tasks[[#This Row],[Task Name]])-1)</f>
        <v/>
      </c>
      <c r="B81" s="22" t="n">
        <v>89</v>
      </c>
      <c r="C81" s="22"/>
      <c r="D81" s="23"/>
      <c r="E81" s="22"/>
      <c r="F81" s="23"/>
      <c r="G81" s="22"/>
      <c r="H81" s="22"/>
      <c r="I81" s="23"/>
      <c r="J81" s="22"/>
      <c r="K81" s="22"/>
      <c r="L81" s="23"/>
      <c r="M81" s="22"/>
      <c r="N81" s="22"/>
      <c r="O81" s="23"/>
      <c r="P81" s="22"/>
      <c r="Q81" s="22"/>
      <c r="R81" s="23"/>
      <c r="S81" s="23"/>
      <c r="T81" s="83"/>
      <c r="U81" s="23"/>
      <c r="V81" s="83"/>
      <c r="W81" s="23"/>
      <c r="X81" s="83"/>
      <c r="Y81" s="23"/>
      <c r="Z81" s="83"/>
      <c r="AA81" s="23"/>
      <c r="AB81" s="23"/>
      <c r="AC81" s="7"/>
      <c r="AD81" s="7"/>
      <c r="AE81" s="62" t="str">
        <f aca="false">IF(Tasks[[#This Row],[Task Name]]="","",IF(Tasks[[#This Row],[_IsSummary]],MIN(INDEX(Tasks[_ShownFcstStart],Tasks[[#This Row],[_Row]]+1):INDEX(Tasks[_ShownFcstStart],Tasks[[#This Row],[_Row]]+Tasks[[#This Row],[_Descendants]])),Tasks[[#This Row],[_ShownFcstStart]]))</f>
        <v/>
      </c>
      <c r="AF81" s="62" t="str">
        <f aca="false">IF(Tasks[[#This Row],[Task Name]]="","",IF(Tasks[[#This Row],[_IsSummary]],MAX(INDEX(Tasks[_ShownFcstFinish],Tasks[[#This Row],[_Row]]+1):INDEX(Tasks[_ShownFcstFinish],Tasks[[#This Row],[_Row]]+Tasks[[#This Row],[_Descendants]])),Tasks[[#This Row],[_ShownFcstFinish]]))</f>
        <v/>
      </c>
      <c r="AG81" s="21" t="str">
        <f aca="false">""</f>
        <v/>
      </c>
      <c r="AH81" s="23"/>
      <c r="AI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1" s="7"/>
      <c r="AK81" s="22"/>
      <c r="AL81" s="23"/>
      <c r="AM81" s="7"/>
      <c r="AN81" s="46" t="str">
        <f aca="false">IF(Tasks[[#This Row],[Task Name]]="","",IF(Tasks[[#This Row],[Finish]]&gt;=Tasks[[#This Row],[Planned Finish]],NETWORKDAYS.INTL(Tasks[[#This Row],[Planned Finish]],Tasks[[#This Row],[Finish]],WorkWeek,Holidays)-1,1-NETWORKDAYS.INTL(Tasks[[#This Row],[Finish]],Tasks[[#This Row],[Planned Finish]],WorkWeek,Holidays)))</f>
        <v/>
      </c>
      <c r="AO81" s="21" t="str">
        <f aca="false">IF(Tasks[[#This Row],[Task Name]]="","",IF(Tasks[[#This Row],[Progress]]&gt;=1,"Complete",IF(OR(N(Tasks[[#This Row],[Actual Start]])&gt;0,Tasks[[#This Row],[Progress]]&gt;0),IF(Tasks[[#This Row],[Finish Var]]&gt;0,"Behind","In Progress"),IF(Tasks[[#This Row],[Planned Start]]&lt;StatusDate,"Late Start","Not Started"))))</f>
        <v/>
      </c>
      <c r="AP81" s="21" t="str">
        <f aca="false">IF(Tasks[[#This Row],[Task Name]]="","",IF(IF(Tasks[[#This Row],[_IsSummary]],COUNTIF(INDEX(Tasks[_LeafCritical],Tasks[[#This Row],[_Row]]+1):INDEX(Tasks[_LeafCritical],Tasks[[#This Row],[_Row]]+Tasks[[#This Row],[_Descendants]]),TRUE())&gt;0,Tasks[[#This Row],[_LeafCritical]]),"Yes",""))</f>
        <v/>
      </c>
      <c r="AQ81" s="62" t="str">
        <f aca="false">IF(Tasks[[#This Row],[Task Name]]="","",IF(N(Tasks[[#This Row],[Baseline Start]])&gt;0,Tasks[[#This Row],[Baseline Start]],Tasks[[#This Row],[_CalcStart]]))</f>
        <v/>
      </c>
      <c r="AR81" s="62" t="str">
        <f aca="false">IF(Tasks[[#This Row],[Task Name]]="","",IF(N(Tasks[[#This Row],[Baseline Finish]])&gt;0,Tasks[[#This Row],[Baseline Finish]],Tasks[[#This Row],[_CalcFinish]]))</f>
        <v/>
      </c>
      <c r="AS81" s="46" t="str">
        <f aca="false">IF(Tasks[[#This Row],[Task Name]]="","",IF(Tasks[[#This Row],[Start]]&gt;=Tasks[[#This Row],[Planned Start]],NETWORKDAYS.INTL(Tasks[[#This Row],[Planned Start]],Tasks[[#This Row],[Start]],WorkWeek,Holidays)-1,1-NETWORKDAYS.INTL(Tasks[[#This Row],[Start]],Tasks[[#This Row],[Planned Start]],WorkWeek,Holidays)))</f>
        <v/>
      </c>
      <c r="AT81" s="62" t="str">
        <f aca="false">IF(Tasks[[#This Row],[Task Name]]="","",IF(Tasks[[#This Row],[_IsSummary]],MIN(INDEX(Tasks[_LeafLateStart],Tasks[[#This Row],[_Row]]+1):INDEX(Tasks[_LeafLateStart],Tasks[[#This Row],[_Row]]+Tasks[[#This Row],[_Descendants]])),Tasks[[#This Row],[_LeafLateStart]]))</f>
        <v/>
      </c>
      <c r="AU81" s="62" t="str">
        <f aca="false">IF(Tasks[[#This Row],[Task Name]]="","",IF(Tasks[[#This Row],[_IsSummary]],MAX(INDEX(Tasks[_LeafLateFinish],Tasks[[#This Row],[_Row]]+1):INDEX(Tasks[_LeafLateFinish],Tasks[[#This Row],[_Row]]+Tasks[[#This Row],[_Descendants]])),Tasks[[#This Row],[_LeafLateFinish]]))</f>
        <v/>
      </c>
      <c r="AV81" s="46" t="str">
        <f aca="false">IF(Tasks[[#This Row],[Task Name]]="","",IF(Tasks[[#This Row],[_IsSummary]],MIN(INDEX(Tasks[_LeafTotalSlack],Tasks[[#This Row],[_Row]]+1):INDEX(Tasks[_LeafTotalSlack],Tasks[[#This Row],[_Row]]+Tasks[[#This Row],[_Descendants]])),Tasks[[#This Row],[_LeafTotalSlack]]))</f>
        <v/>
      </c>
      <c r="AW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4"/>
      <c r="BA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t="str">
        <f aca="false">IF(Tasks[[#This Row],[Task Name]]="","",IF(Tasks[[#This Row],[_Level]]&lt;=OutlineShowLevel,"Yes","No"))</f>
        <v/>
      </c>
      <c r="BE81" s="85" t="str">
        <f aca="false">IF(Tasks[[#This Row],[Task Name]]="","",IF(Tasks[[#This Row],[_IsSummary]],SUM(INDEX(Tasks[_LeafTotalWork],Tasks[[#This Row],[_Row]]+1):INDEX(Tasks[_LeafTotalWork],Tasks[[#This Row],[_Row]]+Tasks[[#This Row],[_Descendants]])),Tasks[[#This Row],[_LeafTotalWork]]))</f>
        <v/>
      </c>
      <c r="BF81" s="23"/>
      <c r="BG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t="str">
        <f aca="false">""</f>
        <v/>
      </c>
      <c r="BI81" s="86"/>
      <c r="BJ81" s="22"/>
      <c r="BK81" s="46" t="str">
        <f aca="false">IF(OR(Tasks[[#This Row],[Task Name]]="",Tasks[[#This Row],[Baseline Duration]]=""),"",Tasks[[#This Row],[_SpanDays]]-N(Tasks[[#This Row],[Baseline Duration]]))</f>
        <v/>
      </c>
      <c r="BL81" s="85" t="str">
        <f aca="false">IF(OR(Tasks[[#This Row],[Task Name]]="",Tasks[[#This Row],[Baseline Work]]=""),"",Tasks[[#This Row],[Work]]-N(Tasks[[#This Row],[Baseline Work]]))</f>
        <v/>
      </c>
      <c r="BM81" s="62" t="str">
        <f aca="false">IF(Tasks[[#This Row],[Task Name]]="","",IF(OR(TakeBaseline="Yes",N(Tasks[[#This Row],[Baseline Start]])=0),Tasks[[#This Row],[Start]],Tasks[[#This Row],[Baseline Start]]))</f>
        <v/>
      </c>
      <c r="BN81" s="62" t="str">
        <f aca="false">IF(Tasks[[#This Row],[Task Name]]="","",IF(OR(TakeBaseline="Yes",N(Tasks[[#This Row],[Baseline Finish]])=0),Tasks[[#This Row],[Finish]],Tasks[[#This Row],[Baseline Finish]]))</f>
        <v/>
      </c>
      <c r="BO81" s="21" t="str">
        <f aca="false">IF(Tasks[[#This Row],[Task Name]]="","",IF(OR(TakeBaseline="Yes",N(Tasks[[#This Row],[Baseline Duration]])=0),Tasks[[#This Row],[_SpanDays]],Tasks[[#This Row],[Baseline Duration]]))</f>
        <v/>
      </c>
      <c r="BP81" s="85" t="str">
        <f aca="false">IF(Tasks[[#This Row],[Task Name]]="","",IF(OR(TakeBaseline="Yes",N(Tasks[[#This Row],[Baseline Work]])=0),Tasks[[#This Row],[Work]],Tasks[[#This Row],[Baseline Work]]))</f>
        <v/>
      </c>
      <c r="BQ81" s="7"/>
      <c r="BR81" s="7"/>
      <c r="BS81" s="22"/>
      <c r="BT81" s="87"/>
      <c r="BU81" s="42" t="str">
        <f aca="false">IF(Tasks[[#This Row],[Task Name]]="","",MAX(1,N(Tasks[[#This Row],[Level]])))</f>
        <v/>
      </c>
      <c r="BV81" s="42" t="n">
        <f aca="false">ROW()-ROW(Tasks[[#Headers],[ID]])</f>
        <v>76</v>
      </c>
      <c r="BW81" s="42" t="n">
        <f aca="false">IF(OR(Tasks[[#This Row],[Task Name]]="",Tasks[[#This Row],[_Level]]&lt;=1),0,IFERROR(LOOKUP(2,1/(Tasks[[#Headers],[_Level]]:Tasks[[#This Row],[_Level]]=Tasks[[#This Row],[_Level]]-1),ROW(Tasks[[#Headers],[_Level]]:Tasks[[#This Row],[_Level]])),0))</f>
        <v>0</v>
      </c>
      <c r="BX81" s="42" t="n">
        <f aca="false">IFERROR(N(INDEX(Tasks[_Level],Tasks[[#This Row],[_Row]]+1)),0)</f>
        <v>0</v>
      </c>
      <c r="BY81" s="88" t="b">
        <f aca="false">AND(Tasks[[#This Row],[Task Name]]&lt;&gt;"",Tasks[[#This Row],[_NextLevel]]&gt;Tasks[[#This Row],[_Level]])</f>
        <v>0</v>
      </c>
      <c r="BZ81" s="42" t="n">
        <f aca="false">IF(Tasks[[#This Row],[_IsSummary]],COUNTIF(Tasks[WBS],Tasks[[#This Row],[WBS]]&amp;".*"),0)</f>
        <v>0</v>
      </c>
      <c r="CA81" s="42" t="n">
        <f aca="false">IF(AND(Tasks[[#This Row],[Task Name]]&lt;&gt;"",NOT(Tasks[[#This Row],[_IsSummary]])),1,0)</f>
        <v>0</v>
      </c>
      <c r="CB81" s="42" t="n">
        <f aca="false">IF(N(Tasks[[#This Row],[_Pred1UID]])=0,0,IFERROR(MATCH(Tasks[[#This Row],[_Pred1UID]],Tasks[UID],0),-1))</f>
        <v>0</v>
      </c>
      <c r="CC81" s="42" t="n">
        <f aca="false">IF(N(Tasks[[#This Row],[_Pred2UID]])=0,0,IFERROR(MATCH(Tasks[[#This Row],[_Pred2UID]],Tasks[UID],0),-1))</f>
        <v>0</v>
      </c>
      <c r="CD81" s="42" t="n">
        <f aca="false">IF(N(Tasks[[#This Row],[_Pred3UID]])=0,0,IFERROR(MATCH(Tasks[[#This Row],[_Pred3UID]],Tasks[UID],0),-1))</f>
        <v>0</v>
      </c>
      <c r="CE81" s="42" t="n">
        <f aca="false">IF(N(Tasks[[#This Row],[_Pred4UID]])=0,0,IFERROR(MATCH(Tasks[[#This Row],[_Pred4UID]],Tasks[UID],0),-1))</f>
        <v>0</v>
      </c>
      <c r="CF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1" s="89" t="n">
        <f aca="false">IF(OR(Tasks[[#This Row],[_ConstraintCode]]=2,Tasks[[#This Row],[_ConstraintCode]]=3,Tasks[[#This Row],[_ConstraintCode]]=4,Tasks[[#This Row],[_ConstraintCode]]=6),Tasks[[#This Row],[_ConstraintStart]],0)</f>
        <v>0</v>
      </c>
      <c r="CI81" s="89" t="n">
        <f aca="false">IF(OR(Tasks[[#This Row],[_ConstraintCode]]=2,Tasks[[#This Row],[_ConstraintCode]]=3,Tasks[[#This Row],[_ConstraintCode]]=5,Tasks[[#This Row],[_ConstraintCode]]=7),Tasks[[#This Row],[_ConstraintStart]],2958465)</f>
        <v>2958465</v>
      </c>
      <c r="CJ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1" s="89" t="str">
        <f aca="false">IF(NOT(Tasks[[#This Row],[_IsLeaf]]=1),"",IF(N(Tasks[[#This Row],[_Days]])&lt;=0,Tasks[[#This Row],[_LeafCalcStart]],WORKDAY.INTL(Tasks[[#This Row],[_LeafCalcStart]],Tasks[[#This Row],[_Days]]-1,WorkWeek,Holidays)))</f>
        <v/>
      </c>
      <c r="CL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1" s="42" t="str">
        <f aca="false">IF(Tasks[[#This Row],[_Predecessors]]="","",TRIM(MID(SUBSTITUTE(SUBSTITUTE(SUBSTITUTE(UPPER(Tasks[[#This Row],[_Predecessors]]),";",",")," ",""),",",REPT(" ",99)),1,99)))</f>
        <v/>
      </c>
      <c r="CO81" s="42" t="str">
        <f aca="false">IF(Tasks[[#This Row],[_Pred1Text]]="","",IFERROR(VALUE(LEFT(Tasks[[#This Row],[_Pred1Text]],MIN(FIND("F",Tasks[[#This Row],[_Pred1Text]]&amp;"F"),FIND("S",Tasks[[#This Row],[_Pred1Text]]&amp;"S"),FIND("+",Tasks[[#This Row],[_Pred1Text]]&amp;"+"),FIND("-",Tasks[[#This Row],[_Pred1Text]]&amp;"-"))-1)),""))</f>
        <v/>
      </c>
      <c r="CP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1" s="42" t="str">
        <f aca="false">IF(Tasks[[#This Row],[_Pred1Text]]="","",TRIM(MID(SUBSTITUTE(SUBSTITUTE(SUBSTITUTE(UPPER(Tasks[[#This Row],[_Predecessors]]),";",",")," ",""),",",REPT(" ",99)),100,99)))</f>
        <v/>
      </c>
      <c r="CS81" s="42" t="str">
        <f aca="false">IF(Tasks[[#This Row],[_Pred2Text]]="","",IFERROR(VALUE(LEFT(Tasks[[#This Row],[_Pred2Text]],MIN(FIND("F",Tasks[[#This Row],[_Pred2Text]]&amp;"F"),FIND("S",Tasks[[#This Row],[_Pred2Text]]&amp;"S"),FIND("+",Tasks[[#This Row],[_Pred2Text]]&amp;"+"),FIND("-",Tasks[[#This Row],[_Pred2Text]]&amp;"-"))-1)),""))</f>
        <v/>
      </c>
      <c r="CT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1" s="42" t="str">
        <f aca="false">IF(Tasks[[#This Row],[_Pred2Text]]="","",TRIM(MID(SUBSTITUTE(SUBSTITUTE(SUBSTITUTE(UPPER(Tasks[[#This Row],[_Predecessors]]),";",",")," ",""),",",REPT(" ",99)),199,99)))</f>
        <v/>
      </c>
      <c r="CW81" s="42" t="str">
        <f aca="false">IF(Tasks[[#This Row],[_Pred3Text]]="","",IFERROR(VALUE(LEFT(Tasks[[#This Row],[_Pred3Text]],MIN(FIND("F",Tasks[[#This Row],[_Pred3Text]]&amp;"F"),FIND("S",Tasks[[#This Row],[_Pred3Text]]&amp;"S"),FIND("+",Tasks[[#This Row],[_Pred3Text]]&amp;"+"),FIND("-",Tasks[[#This Row],[_Pred3Text]]&amp;"-"))-1)),""))</f>
        <v/>
      </c>
      <c r="CX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1" s="42" t="str">
        <f aca="false">IF(Tasks[[#This Row],[_Pred3Text]]="","",TRIM(MID(SUBSTITUTE(SUBSTITUTE(SUBSTITUTE(UPPER(Tasks[[#This Row],[_Predecessors]]),";",",")," ",""),",",REPT(" ",99)),298,99)))</f>
        <v/>
      </c>
      <c r="DA81" s="42" t="str">
        <f aca="false">IF(Tasks[[#This Row],[_Pred4Text]]="","",IFERROR(VALUE(LEFT(Tasks[[#This Row],[_Pred4Text]],MIN(FIND("F",Tasks[[#This Row],[_Pred4Text]]&amp;"F"),FIND("S",Tasks[[#This Row],[_Pred4Text]]&amp;"S"),FIND("+",Tasks[[#This Row],[_Pred4Text]]&amp;"+"),FIND("-",Tasks[[#This Row],[_Pred4Text]]&amp;"-"))-1)),""))</f>
        <v/>
      </c>
      <c r="DB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1" s="42" t="str">
        <f aca="false">IF(OR(Tasks[[#This Row],[Task Name]]="",Tasks[[#This Row],[_Resources]]=""),"",TRIM(MID(SUBSTITUTE(Tasks[[#This Row],[_Resources]],",",REPT(" ",99)),1,99)))</f>
        <v/>
      </c>
      <c r="DE81" s="42" t="str">
        <f aca="false">IF(Tasks[[#This Row],[_Res1Text]]="","",TRIM(MID(SUBSTITUTE(Tasks[[#This Row],[_Resources]],",",REPT(" ",99)),100,99)))</f>
        <v/>
      </c>
      <c r="DF81" s="42" t="str">
        <f aca="false">IF(Tasks[[#This Row],[_Res2Text]]="","",TRIM(MID(SUBSTITUTE(Tasks[[#This Row],[_Resources]],",",REPT(" ",99)),199,99)))</f>
        <v/>
      </c>
      <c r="DG81" s="42" t="str">
        <f aca="false">IF(Tasks[[#This Row],[_Res3Text]]="","",TRIM(MID(SUBSTITUTE(Tasks[[#This Row],[_Resources]],",",REPT(" ",99)),298,99)))</f>
        <v/>
      </c>
      <c r="DH81" s="42" t="n">
        <f aca="false">IF(Tasks[[#This Row],[_Res1Text]]="",0,IFERROR(MATCH(TRIM(LEFT(Tasks[[#This Row],[_Res1Text]],FIND("[",Tasks[[#This Row],[_Res1Text]]&amp;"[")-1)),res_Name,0),IFERROR(MATCH(TRIM(LEFT(Tasks[[#This Row],[_Res1Text]],FIND("[",Tasks[[#This Row],[_Res1Text]]&amp;"[")-1)),res_Initials,0),0)))</f>
        <v>0</v>
      </c>
      <c r="DI81" s="42" t="n">
        <f aca="false">IF(Tasks[[#This Row],[_Res2Text]]="",0,IFERROR(MATCH(TRIM(LEFT(Tasks[[#This Row],[_Res2Text]],FIND("[",Tasks[[#This Row],[_Res2Text]]&amp;"[")-1)),res_Name,0),IFERROR(MATCH(TRIM(LEFT(Tasks[[#This Row],[_Res2Text]],FIND("[",Tasks[[#This Row],[_Res2Text]]&amp;"[")-1)),res_Initials,0),0)))</f>
        <v>0</v>
      </c>
      <c r="DJ81" s="42" t="n">
        <f aca="false">IF(Tasks[[#This Row],[_Res3Text]]="",0,IFERROR(MATCH(TRIM(LEFT(Tasks[[#This Row],[_Res3Text]],FIND("[",Tasks[[#This Row],[_Res3Text]]&amp;"[")-1)),res_Name,0),IFERROR(MATCH(TRIM(LEFT(Tasks[[#This Row],[_Res3Text]],FIND("[",Tasks[[#This Row],[_Res3Text]]&amp;"[")-1)),res_Initials,0),0)))</f>
        <v>0</v>
      </c>
      <c r="DK81" s="42" t="n">
        <f aca="false">IF(Tasks[[#This Row],[_Res4Text]]="",0,IFERROR(MATCH(TRIM(LEFT(Tasks[[#This Row],[_Res4Text]],FIND("[",Tasks[[#This Row],[_Res4Text]]&amp;"[")-1)),res_Name,0),IFERROR(MATCH(TRIM(LEFT(Tasks[[#This Row],[_Res4Text]],FIND("[",Tasks[[#This Row],[_Res4Text]]&amp;"[")-1)),res_Initials,0),0)))</f>
        <v>0</v>
      </c>
      <c r="DL81" s="42" t="str">
        <f aca="false">IF(Tasks[[#This Row],[_Res1Text]]="","",IF(Tasks[[#This Row],[_Res1Row]]&gt;0,INDEX(res_Name,Tasks[[#This Row],[_Res1Row]]),TRIM(LEFT(Tasks[[#This Row],[_Res1Text]],FIND("[",Tasks[[#This Row],[_Res1Text]]&amp;"[")-1))))</f>
        <v/>
      </c>
      <c r="DM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1" s="42" t="n">
        <f aca="false">IF(NOT(Tasks[[#This Row],[_IsLeaf]]=1),0,(Tasks[[#This Row],[_Resource1]]&lt;&gt;"")+(Tasks[[#This Row],[_Res2]]&lt;&gt;"")+(Tasks[[#This Row],[_Res3]]&lt;&gt;"")+(Tasks[[#This Row],[_Res4]]&lt;&gt;""))</f>
        <v>0</v>
      </c>
      <c r="DO81" s="42" t="str">
        <f aca="false">IF(Tasks[[#This Row],[_Res2Text]]="","",IF(Tasks[[#This Row],[_Res2Row]]&gt;0,INDEX(res_Name,Tasks[[#This Row],[_Res2Row]]),TRIM(LEFT(Tasks[[#This Row],[_Res2Text]],FIND("[",Tasks[[#This Row],[_Res2Text]]&amp;"[")-1))))</f>
        <v/>
      </c>
      <c r="DP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1" s="42" t="n">
        <f aca="false">IF(OR(NOT(Tasks[[#This Row],[_IsLeaf]]=1),Tasks[[#This Row],[_Res2Row]]=0),0,N(Tasks[[#This Row],[_Days]])*HoursPerDay*IF(Tasks[[#This Row],[_Res2Units]]="",DefaultUnits,Tasks[[#This Row],[_Res2Units]]))</f>
        <v>0</v>
      </c>
      <c r="DR81" s="42" t="n">
        <f aca="false">IF(AND(AND(Tasks[[#This Row],[_IsLeaf]]=1,Tasks[[#This Row],[_LeafTotalWork]]&gt;0),Tasks[[#This Row],[_Res2Work]]&gt;0),Tasks[[#This Row],[_Res2Work]]/(Tasks[[#This Row],[_FinishWorkday]]-Tasks[[#This Row],[_StartWorkday]]+1),0)</f>
        <v>0</v>
      </c>
      <c r="DS81" s="42" t="n">
        <f aca="false">Tasks[[#This Row],[_Res2WorkPerWD]]*MAX(0,Tasks[[#This Row],[_StartWorkday]]-1)</f>
        <v>0</v>
      </c>
      <c r="DT81" s="42" t="n">
        <f aca="false">Tasks[[#This Row],[_Res2Work]]*Tasks[[#This Row],[_LeafProgress]]</f>
        <v>0</v>
      </c>
      <c r="DU81" s="42" t="str">
        <f aca="false">IF(Tasks[[#This Row],[_Res3Text]]="","",IF(Tasks[[#This Row],[_Res3Row]]&gt;0,INDEX(res_Name,Tasks[[#This Row],[_Res3Row]]),TRIM(LEFT(Tasks[[#This Row],[_Res3Text]],FIND("[",Tasks[[#This Row],[_Res3Text]]&amp;"[")-1))))</f>
        <v/>
      </c>
      <c r="DV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1" s="42" t="n">
        <f aca="false">IF(OR(NOT(Tasks[[#This Row],[_IsLeaf]]=1),Tasks[[#This Row],[_Res3Row]]=0),0,N(Tasks[[#This Row],[_Days]])*HoursPerDay*IF(Tasks[[#This Row],[_Res3Units]]="",DefaultUnits,Tasks[[#This Row],[_Res3Units]]))</f>
        <v>0</v>
      </c>
      <c r="DX81" s="42" t="n">
        <f aca="false">IF(AND(AND(Tasks[[#This Row],[_IsLeaf]]=1,Tasks[[#This Row],[_LeafTotalWork]]&gt;0),Tasks[[#This Row],[_Res3Work]]&gt;0),Tasks[[#This Row],[_Res3Work]]/(Tasks[[#This Row],[_FinishWorkday]]-Tasks[[#This Row],[_StartWorkday]]+1),0)</f>
        <v>0</v>
      </c>
      <c r="DY81" s="42" t="n">
        <f aca="false">Tasks[[#This Row],[_Res3WorkPerWD]]*MAX(0,Tasks[[#This Row],[_StartWorkday]]-1)</f>
        <v>0</v>
      </c>
      <c r="DZ81" s="42" t="n">
        <f aca="false">Tasks[[#This Row],[_Res3Work]]*Tasks[[#This Row],[_LeafProgress]]</f>
        <v>0</v>
      </c>
      <c r="EA81" s="42" t="str">
        <f aca="false">IF(Tasks[[#This Row],[_Res4Text]]="","",IF(Tasks[[#This Row],[_Res4Row]]&gt;0,INDEX(res_Name,Tasks[[#This Row],[_Res4Row]]),TRIM(LEFT(Tasks[[#This Row],[_Res4Text]],FIND("[",Tasks[[#This Row],[_Res4Text]]&amp;"[")-1))))</f>
        <v/>
      </c>
      <c r="EB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1" s="42" t="n">
        <f aca="false">IF(OR(NOT(Tasks[[#This Row],[_IsLeaf]]=1),Tasks[[#This Row],[_Res4Row]]=0),0,N(Tasks[[#This Row],[_Days]])*HoursPerDay*IF(Tasks[[#This Row],[_Res4Units]]="",DefaultUnits,Tasks[[#This Row],[_Res4Units]]))</f>
        <v>0</v>
      </c>
      <c r="ED81" s="42" t="n">
        <f aca="false">IF(AND(AND(Tasks[[#This Row],[_IsLeaf]]=1,Tasks[[#This Row],[_LeafTotalWork]]&gt;0),Tasks[[#This Row],[_Res4Work]]&gt;0),Tasks[[#This Row],[_Res4Work]]/(Tasks[[#This Row],[_FinishWorkday]]-Tasks[[#This Row],[_StartWorkday]]+1),0)</f>
        <v>0</v>
      </c>
      <c r="EE81" s="42" t="n">
        <f aca="false">Tasks[[#This Row],[_Res4WorkPerWD]]*MAX(0,Tasks[[#This Row],[_StartWorkday]]-1)</f>
        <v>0</v>
      </c>
      <c r="EF81" s="42" t="n">
        <f aca="false">Tasks[[#This Row],[_Res4Work]]*Tasks[[#This Row],[_LeafProgress]]</f>
        <v>0</v>
      </c>
      <c r="EG81" s="42" t="n">
        <f aca="false">IF(ISNUMBER(Tasks[[#This Row],[% Complete]]),Tasks[[#This Row],[% Complete]],IF(Tasks[[#This Row],[Stage]]="",0,IFERROR(INDEX(stg_Pct,MATCH(Tasks[[#This Row],[Stage]],stg_Name,0)),0)))</f>
        <v>0</v>
      </c>
      <c r="EH81" s="42" t="n">
        <f aca="false">IF(NOT(Tasks[[#This Row],[_IsLeaf]]=1),0,IF(N(Tasks[[#This Row],[Actual Finish]])&gt;0,1,MIN(1,Tasks[[#This Row],[_Pct]])))</f>
        <v>0</v>
      </c>
      <c r="EI81" s="42" t="n">
        <f aca="false">IF(OR(NOT(Tasks[[#This Row],[_IsLeaf]]=1),Tasks[[#This Row],[_Res1Row]]=0),0,N(Tasks[[#This Row],[_Days]])*HoursPerDay*IF(Tasks[[#This Row],[_Units1]]="",DefaultUnits,Tasks[[#This Row],[_Units1]]))</f>
        <v>0</v>
      </c>
      <c r="EJ81" s="42" t="n">
        <f aca="false">Tasks[[#This Row],[_LeafWork]]+Tasks[[#This Row],[_Res2Work]]+Tasks[[#This Row],[_Res3Work]]+Tasks[[#This Row],[_Res4Work]]</f>
        <v>0</v>
      </c>
      <c r="EK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1" s="42" t="n">
        <f aca="false">IF(NOT(Tasks[[#This Row],[_IsLeaf]]=1),0,MAX(_xlfn.MAXIFS(Tasks[_Row],Tasks[_Pred1UID],Tasks[[#This Row],[UID]]),_xlfn.MAXIFS(Tasks[_Row],Tasks[_Pred2UID],Tasks[[#This Row],[UID]]),_xlfn.MAXIFS(Tasks[_Row],Tasks[_Pred3UID],Tasks[[#This Row],[UID]]),_xlfn.MAXIFS(Tasks[_Row],Tasks[_Pred4UID],Tasks[[#This Row],[UID]])))</f>
        <v>0</v>
      </c>
      <c r="ET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1" s="89" t="str">
        <f aca="false">IF(NOT(Tasks[[#This Row],[_IsLeaf]]=1),"",IF(N(Tasks[[#This Row],[_Days]])&lt;=0,Tasks[[#This Row],[_LeafLateFinish]],WORKDAY.INTL(Tasks[[#This Row],[_LeafLateFinish]],-(Tasks[[#This Row],[_Days]]-1),WorkWeek,Holidays)))</f>
        <v/>
      </c>
      <c r="EW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1" s="88" t="b">
        <f aca="false">AND(Tasks[[#This Row],[_IsLeaf]]=1,Tasks[[#This Row],[_LeafProgress]]&lt;1,N(Tasks[[#This Row],[_LeafTotalSlack]])&lt;=CriticalSlackDays)</f>
        <v>0</v>
      </c>
      <c r="EY81" s="42" t="n">
        <f aca="false">IF(AND(Tasks[[#This Row],[_IsLeaf]]=1,Tasks[[#This Row],[_ConstraintCode]]=1,Tasks[[#This Row],[Mode]]&lt;&gt;"Manual",N(Tasks[[#This Row],[Actual Start]])=0),MAX(0,N(Tasks[[#This Row],[Free Slack]])),0)</f>
        <v>0</v>
      </c>
      <c r="EZ81" s="89" t="str">
        <f aca="false">IF(NOT(Tasks[[#This Row],[_IsLeaf]]=1),"",IF(Tasks[[#This Row],[_AlapShift]]=0,Tasks[[#This Row],[_LeafCalcStart]],WORKDAY.INTL(Tasks[[#This Row],[_LeafCalcStart]],Tasks[[#This Row],[_AlapShift]],WorkWeek,Holidays)))</f>
        <v/>
      </c>
      <c r="FA81" s="89" t="str">
        <f aca="false">IF(NOT(Tasks[[#This Row],[_IsLeaf]]=1),"",IF(Tasks[[#This Row],[_AlapShift]]=0,Tasks[[#This Row],[_LeafCalcFinish]],WORKDAY.INTL(Tasks[[#This Row],[_LeafCalcFinish]],Tasks[[#This Row],[_AlapShift]],WorkWeek,Holidays)))</f>
        <v/>
      </c>
      <c r="FB81" s="89" t="str">
        <f aca="false">IF(NOT(Tasks[[#This Row],[_IsLeaf]]=1),"",IF(Tasks[[#This Row],[_AlapShift]]=0,Tasks[[#This Row],[_LeafFcstStart]],WORKDAY.INTL(Tasks[[#This Row],[_LeafFcstStart]],Tasks[[#This Row],[_AlapShift]],WorkWeek,Holidays)))</f>
        <v/>
      </c>
      <c r="FC81" s="89" t="str">
        <f aca="false">IF(NOT(Tasks[[#This Row],[_IsLeaf]]=1),"",IF(Tasks[[#This Row],[_AlapShift]]=0,Tasks[[#This Row],[_LeafFcstFinish]],WORKDAY.INTL(Tasks[[#This Row],[_LeafFcstFinish]],Tasks[[#This Row],[_AlapShift]],WorkWeek,Holidays)))</f>
        <v/>
      </c>
      <c r="FD81" s="89" t="str">
        <f aca="false">IF(Tasks[[#This Row],[Task Name]]="","",IF(Tasks[[#This Row],[_IsSummary]],MIN(INDEX(Tasks[_ShownCalcStart],Tasks[[#This Row],[_Row]]+1):INDEX(Tasks[_ShownCalcStart],Tasks[[#This Row],[_Row]]+Tasks[[#This Row],[_Descendants]])),Tasks[[#This Row],[_ShownCalcStart]]))</f>
        <v/>
      </c>
      <c r="FE81" s="89" t="str">
        <f aca="false">IF(Tasks[[#This Row],[Task Name]]="","",IF(Tasks[[#This Row],[_IsSummary]],MAX(INDEX(Tasks[_ShownCalcFinish],Tasks[[#This Row],[_Row]]+1):INDEX(Tasks[_ShownCalcFinish],Tasks[[#This Row],[_Row]]+Tasks[[#This Row],[_Descendants]])),Tasks[[#This Row],[_ShownCalcFinish]]))</f>
        <v/>
      </c>
      <c r="FF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1" s="42" t="n">
        <f aca="false">IF(AND(Tasks[[#This Row],[_IsLeaf]]=1,Tasks[[#This Row],[_LeafTotalWork]]&gt;0),NETWORKDAYS.INTL(ProjectStart,Tasks[[#This Row],[_ShownFcstStart]],WorkWeek,Holidays),0)</f>
        <v>0</v>
      </c>
      <c r="FS81" s="42" t="n">
        <f aca="false">IF(AND(Tasks[[#This Row],[_IsLeaf]]=1,Tasks[[#This Row],[_LeafTotalWork]]&gt;0),MAX(Tasks[[#This Row],[_StartWorkday]],NETWORKDAYS.INTL(ProjectStart,Tasks[[#This Row],[_ShownFcstFinish]],WorkWeek,Holidays)),0)</f>
        <v>0</v>
      </c>
      <c r="FT81" s="42" t="n">
        <f aca="false">IF(AND(Tasks[[#This Row],[_IsLeaf]]=1,Tasks[[#This Row],[_LeafTotalWork]]&gt;0),Tasks[[#This Row],[_LeafWork]]/(Tasks[[#This Row],[_FinishWorkday]]-Tasks[[#This Row],[_StartWorkday]]+1),0)</f>
        <v>0</v>
      </c>
      <c r="FU81" s="42" t="n">
        <f aca="false">Tasks[[#This Row],[_WorkPerWorkday]]*(Tasks[[#This Row],[_StartWorkday]]-1)</f>
        <v>-0</v>
      </c>
      <c r="FV81" s="42" t="n">
        <f aca="false">IF(Tasks[[#This Row],[_IsLeaf]]=1,MAX(N(Tasks[[#This Row],[_Days]]),0.1),0)</f>
        <v>0</v>
      </c>
      <c r="FW81" s="42" t="n">
        <f aca="false">Tasks[[#This Row],[_WeightDur]]*Tasks[[#This Row],[_LeafProgress]]</f>
        <v>0</v>
      </c>
      <c r="FX81" s="42" t="n">
        <f aca="false">Tasks[[#This Row],[_WeightDur]]*Tasks[[#This Row],[_PlannedPct]]</f>
        <v>0</v>
      </c>
      <c r="FY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1" s="42" t="str">
        <f aca="false">IF(AND(Tasks[[#This Row],[_IsLeaf]]=1,N(Tasks[[#This Row],[_Days]])=0,Tasks[[#This Row],[_LeafProgress]]&lt;1),Tasks[[#This Row],[_ShownFcstFinish]]+Tasks[[#This Row],[_Row]]/100000,"")</f>
        <v/>
      </c>
      <c r="GA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1" s="42" t="str">
        <f aca="false">IF(Tasks[[#This Row],[Task Name]]="","",LEFT(Tasks[[#This Row],[WBS]],FIND(".",Tasks[[#This Row],[WBS]]&amp;".")-1))</f>
        <v/>
      </c>
      <c r="GC81" s="42" t="str">
        <f aca="false">IF(AND(Tasks[[#This Row],[Task Name]]&lt;&gt;"",Tasks[[#This Row],[_Level]]=1),Tasks[[#This Row],[_Row]],"")</f>
        <v/>
      </c>
      <c r="GD81" s="42" t="str">
        <f aca="false">IF(AND(Tasks[[#This Row],[_IsLeaf]]=1,N(Tasks[[#This Row],[_Days]])=0),Tasks[[#This Row],[Planned Finish]]+Tasks[[#This Row],[_Row]]/100000,"")</f>
        <v/>
      </c>
      <c r="GE81" s="42" t="str">
        <f aca="false">IF(AND(Tasks[[#This Row],[_IsLeaf]]=1,Tasks[[#This Row],[_LeafProgress]]&lt;1,OR(N(Tasks[[#This Row],[Finish Var]])&gt;0,Tasks[[#This Row],[Status]]="Late Start")),MAX(0,Tasks[[#This Row],[Finish Var]])+1-Tasks[[#This Row],[_Row]]/1000000,"")</f>
        <v/>
      </c>
      <c r="GF81" s="42" t="str">
        <f aca="false">IF(AND(Tasks[[#This Row],[_IsLeaf]]=1,N(Tasks[[#This Row],[Actual Start]])=0,Tasks[[#This Row],[_ShownFcstStart]]&gt;=StatusDate,Tasks[[#This Row],[_ShownFcstStart]]&lt;=LookaheadEnd),Tasks[[#This Row],[_ShownFcstStart]]+Tasks[[#This Row],[_Row]]/100000,"")</f>
        <v/>
      </c>
      <c r="GG81" s="42" t="str">
        <f aca="false">IF(AND(Tasks[[#This Row],[_IsLeaf]]=1,Tasks[[#This Row],[_LeafProgress]]&lt;1,Tasks[[#This Row],[_ShownFcstFinish]]&gt;=StatusDate,Tasks[[#This Row],[_ShownFcstFinish]]&lt;=LookaheadEnd),Tasks[[#This Row],[_ShownFcstFinish]]+Tasks[[#This Row],[_Row]]/100000,"")</f>
        <v/>
      </c>
      <c r="GH81" s="42" t="str">
        <f aca="false">IF(Tasks[[#This Row],[_LeafCritical]],Tasks[[#This Row],[_ShownFcstStart]]+Tasks[[#This Row],[_Row]]/100000,"")</f>
        <v/>
      </c>
      <c r="GI81" s="42" t="n">
        <f aca="false">Tasks[[#This Row],[_LeafWork]]*Tasks[[#This Row],[_LeafProgress]]</f>
        <v>0</v>
      </c>
      <c r="GJ81" s="89" t="str">
        <f aca="false">IF(AND(Tasks[[#This Row],[_IsLeaf]]=1,Tasks[[#This Row],[_LeafProgress]]&gt;=1),IF(N(Tasks[[#This Row],[Actual Finish]])&gt;0,Tasks[[#This Row],[Actual Finish]],Tasks[[#This Row],[_ShownFcstFinish]]),"")</f>
        <v/>
      </c>
      <c r="GK81" s="42" t="n">
        <f aca="false">IF(Tasks[[#This Row],[_IsLeaf]]=1,N(Tasks[[#This Row],[Story Points]]),0)</f>
        <v>0</v>
      </c>
      <c r="GL81" s="42" t="str">
        <f aca="false">""</f>
        <v/>
      </c>
      <c r="GM81" s="88" t="b">
        <f aca="false">IF(Tasks[[#This Row],[Task Name]]="",FALSE(),AND(Tasks[[#This Row],[_IsLeaf]]=1,N(Tasks[[#This Row],[_Days]])=0))</f>
        <v>0</v>
      </c>
      <c r="GN81" s="89" t="n">
        <f aca="false">IF(Tasks[[#This Row],[Task Name]]="",0,IF(AND(Tasks[[#This Row],[_IsLeaf]]=1,NOT(Tasks[[#This Row],[_IsMilestone]]),N(Tasks[[#This Row],[Progress]])&gt;0),Tasks[[#This Row],[Start]],0))</f>
        <v>0</v>
      </c>
      <c r="GO81" s="89" t="n">
        <f aca="false">IF(Tasks[[#This Row],[_DoneFrom]]=0,0,IF(Tasks[[#This Row],[Progress]]&gt;=1,Tasks[[#This Row],[Finish]],MAX(Tasks[[#This Row],[_DoneFrom]],Tasks[[#This Row],[Start]]+ROUND((Tasks[[#This Row],[Finish]]-Tasks[[#This Row],[Start]]+1)*Tasks[[#This Row],[Progress]],0)-1)))</f>
        <v>0</v>
      </c>
      <c r="GP81" s="89" t="n">
        <f aca="false">IF(Tasks[[#This Row],[Task Name]]="",0,IF(OR(NOT(Tasks[[#This Row],[_IsLeaf]]=1),Tasks[[#This Row],[_IsMilestone]],N(Tasks[[#This Row],[Progress]])&gt;=1),0,IF(Tasks[[#This Row],[_DoneTo]]&gt;0,Tasks[[#This Row],[_DoneTo]]+1,Tasks[[#This Row],[Start]])))</f>
        <v>0</v>
      </c>
      <c r="GQ81" s="89" t="n">
        <f aca="false">IF(Tasks[[#This Row],[_RemFrom]]=0,0,Tasks[[#This Row],[Finish]])</f>
        <v>0</v>
      </c>
      <c r="GR81" s="88" t="b">
        <f aca="false">IF(Tasks[[#This Row],[Task Name]]="",FALSE(),OR(NOT(BaselineSet),N(Tasks[[#This Row],[Baseline Start]])&gt;0))</f>
        <v>0</v>
      </c>
      <c r="GS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1" s="90" t="str">
        <f aca="false">IF(Tasks[[#This Row],[_IsLeaf]]=1,Tasks[[#This Row],[_Row]],"")</f>
        <v/>
      </c>
      <c r="GW81" s="90" t="str">
        <f aca="false">IFERROR(INDEX(Tasks[UID],SMALL(Tasks[_PickKey],Tasks[[#This Row],[_Row]]))&amp;" "&amp;INDEX(Tasks[Task Name],SMALL(Tasks[_PickKey],Tasks[[#This Row],[_Row]])),"")</f>
        <v/>
      </c>
      <c r="GX81" s="42" t="str">
        <f aca="false">IF(Tasks[[#This Row],[Task Name]]="","",IF(Tasks[[#This Row],[_IsSummary]],NETWORKDAYS.INTL(Tasks[[#This Row],[Start]],Tasks[[#This Row],[Finish]],WorkWeek,Holidays),N(Tasks[[#This Row],[_Days]])))</f>
        <v/>
      </c>
    </row>
    <row r="82" customFormat="false" ht="15" hidden="false" customHeight="false" outlineLevel="0" collapsed="false">
      <c r="A82" s="21" t="str">
        <f aca="false">IF(Tasks[[#This Row],[Task Name]]="","",COUNTA(Tasks[[#Headers],[Task Name]]:Tasks[[#This Row],[Task Name]])-1)</f>
        <v/>
      </c>
      <c r="B82" s="22" t="n">
        <v>90</v>
      </c>
      <c r="C82" s="22"/>
      <c r="D82" s="23"/>
      <c r="E82" s="22"/>
      <c r="F82" s="23"/>
      <c r="G82" s="22"/>
      <c r="H82" s="22"/>
      <c r="I82" s="23"/>
      <c r="J82" s="22"/>
      <c r="K82" s="22"/>
      <c r="L82" s="23"/>
      <c r="M82" s="22"/>
      <c r="N82" s="22"/>
      <c r="O82" s="23"/>
      <c r="P82" s="22"/>
      <c r="Q82" s="22"/>
      <c r="R82" s="23"/>
      <c r="S82" s="23"/>
      <c r="T82" s="83"/>
      <c r="U82" s="23"/>
      <c r="V82" s="83"/>
      <c r="W82" s="23"/>
      <c r="X82" s="83"/>
      <c r="Y82" s="23"/>
      <c r="Z82" s="83"/>
      <c r="AA82" s="23"/>
      <c r="AB82" s="23"/>
      <c r="AC82" s="7"/>
      <c r="AD82" s="7"/>
      <c r="AE82" s="62" t="str">
        <f aca="false">IF(Tasks[[#This Row],[Task Name]]="","",IF(Tasks[[#This Row],[_IsSummary]],MIN(INDEX(Tasks[_ShownFcstStart],Tasks[[#This Row],[_Row]]+1):INDEX(Tasks[_ShownFcstStart],Tasks[[#This Row],[_Row]]+Tasks[[#This Row],[_Descendants]])),Tasks[[#This Row],[_ShownFcstStart]]))</f>
        <v/>
      </c>
      <c r="AF82" s="62" t="str">
        <f aca="false">IF(Tasks[[#This Row],[Task Name]]="","",IF(Tasks[[#This Row],[_IsSummary]],MAX(INDEX(Tasks[_ShownFcstFinish],Tasks[[#This Row],[_Row]]+1):INDEX(Tasks[_ShownFcstFinish],Tasks[[#This Row],[_Row]]+Tasks[[#This Row],[_Descendants]])),Tasks[[#This Row],[_ShownFcstFinish]]))</f>
        <v/>
      </c>
      <c r="AG82" s="21" t="str">
        <f aca="false">""</f>
        <v/>
      </c>
      <c r="AH82" s="23"/>
      <c r="AI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2" s="7"/>
      <c r="AK82" s="22"/>
      <c r="AL82" s="23"/>
      <c r="AM82" s="7"/>
      <c r="AN82" s="46" t="str">
        <f aca="false">IF(Tasks[[#This Row],[Task Name]]="","",IF(Tasks[[#This Row],[Finish]]&gt;=Tasks[[#This Row],[Planned Finish]],NETWORKDAYS.INTL(Tasks[[#This Row],[Planned Finish]],Tasks[[#This Row],[Finish]],WorkWeek,Holidays)-1,1-NETWORKDAYS.INTL(Tasks[[#This Row],[Finish]],Tasks[[#This Row],[Planned Finish]],WorkWeek,Holidays)))</f>
        <v/>
      </c>
      <c r="AO82" s="21" t="str">
        <f aca="false">IF(Tasks[[#This Row],[Task Name]]="","",IF(Tasks[[#This Row],[Progress]]&gt;=1,"Complete",IF(OR(N(Tasks[[#This Row],[Actual Start]])&gt;0,Tasks[[#This Row],[Progress]]&gt;0),IF(Tasks[[#This Row],[Finish Var]]&gt;0,"Behind","In Progress"),IF(Tasks[[#This Row],[Planned Start]]&lt;StatusDate,"Late Start","Not Started"))))</f>
        <v/>
      </c>
      <c r="AP82" s="21" t="str">
        <f aca="false">IF(Tasks[[#This Row],[Task Name]]="","",IF(IF(Tasks[[#This Row],[_IsSummary]],COUNTIF(INDEX(Tasks[_LeafCritical],Tasks[[#This Row],[_Row]]+1):INDEX(Tasks[_LeafCritical],Tasks[[#This Row],[_Row]]+Tasks[[#This Row],[_Descendants]]),TRUE())&gt;0,Tasks[[#This Row],[_LeafCritical]]),"Yes",""))</f>
        <v/>
      </c>
      <c r="AQ82" s="62" t="str">
        <f aca="false">IF(Tasks[[#This Row],[Task Name]]="","",IF(N(Tasks[[#This Row],[Baseline Start]])&gt;0,Tasks[[#This Row],[Baseline Start]],Tasks[[#This Row],[_CalcStart]]))</f>
        <v/>
      </c>
      <c r="AR82" s="62" t="str">
        <f aca="false">IF(Tasks[[#This Row],[Task Name]]="","",IF(N(Tasks[[#This Row],[Baseline Finish]])&gt;0,Tasks[[#This Row],[Baseline Finish]],Tasks[[#This Row],[_CalcFinish]]))</f>
        <v/>
      </c>
      <c r="AS82" s="46" t="str">
        <f aca="false">IF(Tasks[[#This Row],[Task Name]]="","",IF(Tasks[[#This Row],[Start]]&gt;=Tasks[[#This Row],[Planned Start]],NETWORKDAYS.INTL(Tasks[[#This Row],[Planned Start]],Tasks[[#This Row],[Start]],WorkWeek,Holidays)-1,1-NETWORKDAYS.INTL(Tasks[[#This Row],[Start]],Tasks[[#This Row],[Planned Start]],WorkWeek,Holidays)))</f>
        <v/>
      </c>
      <c r="AT82" s="62" t="str">
        <f aca="false">IF(Tasks[[#This Row],[Task Name]]="","",IF(Tasks[[#This Row],[_IsSummary]],MIN(INDEX(Tasks[_LeafLateStart],Tasks[[#This Row],[_Row]]+1):INDEX(Tasks[_LeafLateStart],Tasks[[#This Row],[_Row]]+Tasks[[#This Row],[_Descendants]])),Tasks[[#This Row],[_LeafLateStart]]))</f>
        <v/>
      </c>
      <c r="AU82" s="62" t="str">
        <f aca="false">IF(Tasks[[#This Row],[Task Name]]="","",IF(Tasks[[#This Row],[_IsSummary]],MAX(INDEX(Tasks[_LeafLateFinish],Tasks[[#This Row],[_Row]]+1):INDEX(Tasks[_LeafLateFinish],Tasks[[#This Row],[_Row]]+Tasks[[#This Row],[_Descendants]])),Tasks[[#This Row],[_LeafLateFinish]]))</f>
        <v/>
      </c>
      <c r="AV82" s="46" t="str">
        <f aca="false">IF(Tasks[[#This Row],[Task Name]]="","",IF(Tasks[[#This Row],[_IsSummary]],MIN(INDEX(Tasks[_LeafTotalSlack],Tasks[[#This Row],[_Row]]+1):INDEX(Tasks[_LeafTotalSlack],Tasks[[#This Row],[_Row]]+Tasks[[#This Row],[_Descendants]])),Tasks[[#This Row],[_LeafTotalSlack]]))</f>
        <v/>
      </c>
      <c r="AW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4"/>
      <c r="BA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t="str">
        <f aca="false">IF(Tasks[[#This Row],[Task Name]]="","",IF(Tasks[[#This Row],[_Level]]&lt;=OutlineShowLevel,"Yes","No"))</f>
        <v/>
      </c>
      <c r="BE82" s="85" t="str">
        <f aca="false">IF(Tasks[[#This Row],[Task Name]]="","",IF(Tasks[[#This Row],[_IsSummary]],SUM(INDEX(Tasks[_LeafTotalWork],Tasks[[#This Row],[_Row]]+1):INDEX(Tasks[_LeafTotalWork],Tasks[[#This Row],[_Row]]+Tasks[[#This Row],[_Descendants]])),Tasks[[#This Row],[_LeafTotalWork]]))</f>
        <v/>
      </c>
      <c r="BF82" s="23"/>
      <c r="BG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t="str">
        <f aca="false">""</f>
        <v/>
      </c>
      <c r="BI82" s="86"/>
      <c r="BJ82" s="22"/>
      <c r="BK82" s="46" t="str">
        <f aca="false">IF(OR(Tasks[[#This Row],[Task Name]]="",Tasks[[#This Row],[Baseline Duration]]=""),"",Tasks[[#This Row],[_SpanDays]]-N(Tasks[[#This Row],[Baseline Duration]]))</f>
        <v/>
      </c>
      <c r="BL82" s="85" t="str">
        <f aca="false">IF(OR(Tasks[[#This Row],[Task Name]]="",Tasks[[#This Row],[Baseline Work]]=""),"",Tasks[[#This Row],[Work]]-N(Tasks[[#This Row],[Baseline Work]]))</f>
        <v/>
      </c>
      <c r="BM82" s="62" t="str">
        <f aca="false">IF(Tasks[[#This Row],[Task Name]]="","",IF(OR(TakeBaseline="Yes",N(Tasks[[#This Row],[Baseline Start]])=0),Tasks[[#This Row],[Start]],Tasks[[#This Row],[Baseline Start]]))</f>
        <v/>
      </c>
      <c r="BN82" s="62" t="str">
        <f aca="false">IF(Tasks[[#This Row],[Task Name]]="","",IF(OR(TakeBaseline="Yes",N(Tasks[[#This Row],[Baseline Finish]])=0),Tasks[[#This Row],[Finish]],Tasks[[#This Row],[Baseline Finish]]))</f>
        <v/>
      </c>
      <c r="BO82" s="21" t="str">
        <f aca="false">IF(Tasks[[#This Row],[Task Name]]="","",IF(OR(TakeBaseline="Yes",N(Tasks[[#This Row],[Baseline Duration]])=0),Tasks[[#This Row],[_SpanDays]],Tasks[[#This Row],[Baseline Duration]]))</f>
        <v/>
      </c>
      <c r="BP82" s="85" t="str">
        <f aca="false">IF(Tasks[[#This Row],[Task Name]]="","",IF(OR(TakeBaseline="Yes",N(Tasks[[#This Row],[Baseline Work]])=0),Tasks[[#This Row],[Work]],Tasks[[#This Row],[Baseline Work]]))</f>
        <v/>
      </c>
      <c r="BQ82" s="7"/>
      <c r="BR82" s="7"/>
      <c r="BS82" s="22"/>
      <c r="BT82" s="87"/>
      <c r="BU82" s="42" t="str">
        <f aca="false">IF(Tasks[[#This Row],[Task Name]]="","",MAX(1,N(Tasks[[#This Row],[Level]])))</f>
        <v/>
      </c>
      <c r="BV82" s="42" t="n">
        <f aca="false">ROW()-ROW(Tasks[[#Headers],[ID]])</f>
        <v>77</v>
      </c>
      <c r="BW82" s="42" t="n">
        <f aca="false">IF(OR(Tasks[[#This Row],[Task Name]]="",Tasks[[#This Row],[_Level]]&lt;=1),0,IFERROR(LOOKUP(2,1/(Tasks[[#Headers],[_Level]]:Tasks[[#This Row],[_Level]]=Tasks[[#This Row],[_Level]]-1),ROW(Tasks[[#Headers],[_Level]]:Tasks[[#This Row],[_Level]])),0))</f>
        <v>0</v>
      </c>
      <c r="BX82" s="42" t="n">
        <f aca="false">IFERROR(N(INDEX(Tasks[_Level],Tasks[[#This Row],[_Row]]+1)),0)</f>
        <v>0</v>
      </c>
      <c r="BY82" s="88" t="b">
        <f aca="false">AND(Tasks[[#This Row],[Task Name]]&lt;&gt;"",Tasks[[#This Row],[_NextLevel]]&gt;Tasks[[#This Row],[_Level]])</f>
        <v>0</v>
      </c>
      <c r="BZ82" s="42" t="n">
        <f aca="false">IF(Tasks[[#This Row],[_IsSummary]],COUNTIF(Tasks[WBS],Tasks[[#This Row],[WBS]]&amp;".*"),0)</f>
        <v>0</v>
      </c>
      <c r="CA82" s="42" t="n">
        <f aca="false">IF(AND(Tasks[[#This Row],[Task Name]]&lt;&gt;"",NOT(Tasks[[#This Row],[_IsSummary]])),1,0)</f>
        <v>0</v>
      </c>
      <c r="CB82" s="42" t="n">
        <f aca="false">IF(N(Tasks[[#This Row],[_Pred1UID]])=0,0,IFERROR(MATCH(Tasks[[#This Row],[_Pred1UID]],Tasks[UID],0),-1))</f>
        <v>0</v>
      </c>
      <c r="CC82" s="42" t="n">
        <f aca="false">IF(N(Tasks[[#This Row],[_Pred2UID]])=0,0,IFERROR(MATCH(Tasks[[#This Row],[_Pred2UID]],Tasks[UID],0),-1))</f>
        <v>0</v>
      </c>
      <c r="CD82" s="42" t="n">
        <f aca="false">IF(N(Tasks[[#This Row],[_Pred3UID]])=0,0,IFERROR(MATCH(Tasks[[#This Row],[_Pred3UID]],Tasks[UID],0),-1))</f>
        <v>0</v>
      </c>
      <c r="CE82" s="42" t="n">
        <f aca="false">IF(N(Tasks[[#This Row],[_Pred4UID]])=0,0,IFERROR(MATCH(Tasks[[#This Row],[_Pred4UID]],Tasks[UID],0),-1))</f>
        <v>0</v>
      </c>
      <c r="CF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2" s="89" t="n">
        <f aca="false">IF(OR(Tasks[[#This Row],[_ConstraintCode]]=2,Tasks[[#This Row],[_ConstraintCode]]=3,Tasks[[#This Row],[_ConstraintCode]]=4,Tasks[[#This Row],[_ConstraintCode]]=6),Tasks[[#This Row],[_ConstraintStart]],0)</f>
        <v>0</v>
      </c>
      <c r="CI82" s="89" t="n">
        <f aca="false">IF(OR(Tasks[[#This Row],[_ConstraintCode]]=2,Tasks[[#This Row],[_ConstraintCode]]=3,Tasks[[#This Row],[_ConstraintCode]]=5,Tasks[[#This Row],[_ConstraintCode]]=7),Tasks[[#This Row],[_ConstraintStart]],2958465)</f>
        <v>2958465</v>
      </c>
      <c r="CJ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2" s="89" t="str">
        <f aca="false">IF(NOT(Tasks[[#This Row],[_IsLeaf]]=1),"",IF(N(Tasks[[#This Row],[_Days]])&lt;=0,Tasks[[#This Row],[_LeafCalcStart]],WORKDAY.INTL(Tasks[[#This Row],[_LeafCalcStart]],Tasks[[#This Row],[_Days]]-1,WorkWeek,Holidays)))</f>
        <v/>
      </c>
      <c r="CL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2" s="42" t="str">
        <f aca="false">IF(Tasks[[#This Row],[_Predecessors]]="","",TRIM(MID(SUBSTITUTE(SUBSTITUTE(SUBSTITUTE(UPPER(Tasks[[#This Row],[_Predecessors]]),";",",")," ",""),",",REPT(" ",99)),1,99)))</f>
        <v/>
      </c>
      <c r="CO82" s="42" t="str">
        <f aca="false">IF(Tasks[[#This Row],[_Pred1Text]]="","",IFERROR(VALUE(LEFT(Tasks[[#This Row],[_Pred1Text]],MIN(FIND("F",Tasks[[#This Row],[_Pred1Text]]&amp;"F"),FIND("S",Tasks[[#This Row],[_Pred1Text]]&amp;"S"),FIND("+",Tasks[[#This Row],[_Pred1Text]]&amp;"+"),FIND("-",Tasks[[#This Row],[_Pred1Text]]&amp;"-"))-1)),""))</f>
        <v/>
      </c>
      <c r="CP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2" s="42" t="str">
        <f aca="false">IF(Tasks[[#This Row],[_Pred1Text]]="","",TRIM(MID(SUBSTITUTE(SUBSTITUTE(SUBSTITUTE(UPPER(Tasks[[#This Row],[_Predecessors]]),";",",")," ",""),",",REPT(" ",99)),100,99)))</f>
        <v/>
      </c>
      <c r="CS82" s="42" t="str">
        <f aca="false">IF(Tasks[[#This Row],[_Pred2Text]]="","",IFERROR(VALUE(LEFT(Tasks[[#This Row],[_Pred2Text]],MIN(FIND("F",Tasks[[#This Row],[_Pred2Text]]&amp;"F"),FIND("S",Tasks[[#This Row],[_Pred2Text]]&amp;"S"),FIND("+",Tasks[[#This Row],[_Pred2Text]]&amp;"+"),FIND("-",Tasks[[#This Row],[_Pred2Text]]&amp;"-"))-1)),""))</f>
        <v/>
      </c>
      <c r="CT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2" s="42" t="str">
        <f aca="false">IF(Tasks[[#This Row],[_Pred2Text]]="","",TRIM(MID(SUBSTITUTE(SUBSTITUTE(SUBSTITUTE(UPPER(Tasks[[#This Row],[_Predecessors]]),";",",")," ",""),",",REPT(" ",99)),199,99)))</f>
        <v/>
      </c>
      <c r="CW82" s="42" t="str">
        <f aca="false">IF(Tasks[[#This Row],[_Pred3Text]]="","",IFERROR(VALUE(LEFT(Tasks[[#This Row],[_Pred3Text]],MIN(FIND("F",Tasks[[#This Row],[_Pred3Text]]&amp;"F"),FIND("S",Tasks[[#This Row],[_Pred3Text]]&amp;"S"),FIND("+",Tasks[[#This Row],[_Pred3Text]]&amp;"+"),FIND("-",Tasks[[#This Row],[_Pred3Text]]&amp;"-"))-1)),""))</f>
        <v/>
      </c>
      <c r="CX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2" s="42" t="str">
        <f aca="false">IF(Tasks[[#This Row],[_Pred3Text]]="","",TRIM(MID(SUBSTITUTE(SUBSTITUTE(SUBSTITUTE(UPPER(Tasks[[#This Row],[_Predecessors]]),";",",")," ",""),",",REPT(" ",99)),298,99)))</f>
        <v/>
      </c>
      <c r="DA82" s="42" t="str">
        <f aca="false">IF(Tasks[[#This Row],[_Pred4Text]]="","",IFERROR(VALUE(LEFT(Tasks[[#This Row],[_Pred4Text]],MIN(FIND("F",Tasks[[#This Row],[_Pred4Text]]&amp;"F"),FIND("S",Tasks[[#This Row],[_Pred4Text]]&amp;"S"),FIND("+",Tasks[[#This Row],[_Pred4Text]]&amp;"+"),FIND("-",Tasks[[#This Row],[_Pred4Text]]&amp;"-"))-1)),""))</f>
        <v/>
      </c>
      <c r="DB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2" s="42" t="str">
        <f aca="false">IF(OR(Tasks[[#This Row],[Task Name]]="",Tasks[[#This Row],[_Resources]]=""),"",TRIM(MID(SUBSTITUTE(Tasks[[#This Row],[_Resources]],",",REPT(" ",99)),1,99)))</f>
        <v/>
      </c>
      <c r="DE82" s="42" t="str">
        <f aca="false">IF(Tasks[[#This Row],[_Res1Text]]="","",TRIM(MID(SUBSTITUTE(Tasks[[#This Row],[_Resources]],",",REPT(" ",99)),100,99)))</f>
        <v/>
      </c>
      <c r="DF82" s="42" t="str">
        <f aca="false">IF(Tasks[[#This Row],[_Res2Text]]="","",TRIM(MID(SUBSTITUTE(Tasks[[#This Row],[_Resources]],",",REPT(" ",99)),199,99)))</f>
        <v/>
      </c>
      <c r="DG82" s="42" t="str">
        <f aca="false">IF(Tasks[[#This Row],[_Res3Text]]="","",TRIM(MID(SUBSTITUTE(Tasks[[#This Row],[_Resources]],",",REPT(" ",99)),298,99)))</f>
        <v/>
      </c>
      <c r="DH82" s="42" t="n">
        <f aca="false">IF(Tasks[[#This Row],[_Res1Text]]="",0,IFERROR(MATCH(TRIM(LEFT(Tasks[[#This Row],[_Res1Text]],FIND("[",Tasks[[#This Row],[_Res1Text]]&amp;"[")-1)),res_Name,0),IFERROR(MATCH(TRIM(LEFT(Tasks[[#This Row],[_Res1Text]],FIND("[",Tasks[[#This Row],[_Res1Text]]&amp;"[")-1)),res_Initials,0),0)))</f>
        <v>0</v>
      </c>
      <c r="DI82" s="42" t="n">
        <f aca="false">IF(Tasks[[#This Row],[_Res2Text]]="",0,IFERROR(MATCH(TRIM(LEFT(Tasks[[#This Row],[_Res2Text]],FIND("[",Tasks[[#This Row],[_Res2Text]]&amp;"[")-1)),res_Name,0),IFERROR(MATCH(TRIM(LEFT(Tasks[[#This Row],[_Res2Text]],FIND("[",Tasks[[#This Row],[_Res2Text]]&amp;"[")-1)),res_Initials,0),0)))</f>
        <v>0</v>
      </c>
      <c r="DJ82" s="42" t="n">
        <f aca="false">IF(Tasks[[#This Row],[_Res3Text]]="",0,IFERROR(MATCH(TRIM(LEFT(Tasks[[#This Row],[_Res3Text]],FIND("[",Tasks[[#This Row],[_Res3Text]]&amp;"[")-1)),res_Name,0),IFERROR(MATCH(TRIM(LEFT(Tasks[[#This Row],[_Res3Text]],FIND("[",Tasks[[#This Row],[_Res3Text]]&amp;"[")-1)),res_Initials,0),0)))</f>
        <v>0</v>
      </c>
      <c r="DK82" s="42" t="n">
        <f aca="false">IF(Tasks[[#This Row],[_Res4Text]]="",0,IFERROR(MATCH(TRIM(LEFT(Tasks[[#This Row],[_Res4Text]],FIND("[",Tasks[[#This Row],[_Res4Text]]&amp;"[")-1)),res_Name,0),IFERROR(MATCH(TRIM(LEFT(Tasks[[#This Row],[_Res4Text]],FIND("[",Tasks[[#This Row],[_Res4Text]]&amp;"[")-1)),res_Initials,0),0)))</f>
        <v>0</v>
      </c>
      <c r="DL82" s="42" t="str">
        <f aca="false">IF(Tasks[[#This Row],[_Res1Text]]="","",IF(Tasks[[#This Row],[_Res1Row]]&gt;0,INDEX(res_Name,Tasks[[#This Row],[_Res1Row]]),TRIM(LEFT(Tasks[[#This Row],[_Res1Text]],FIND("[",Tasks[[#This Row],[_Res1Text]]&amp;"[")-1))))</f>
        <v/>
      </c>
      <c r="DM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2" s="42" t="n">
        <f aca="false">IF(NOT(Tasks[[#This Row],[_IsLeaf]]=1),0,(Tasks[[#This Row],[_Resource1]]&lt;&gt;"")+(Tasks[[#This Row],[_Res2]]&lt;&gt;"")+(Tasks[[#This Row],[_Res3]]&lt;&gt;"")+(Tasks[[#This Row],[_Res4]]&lt;&gt;""))</f>
        <v>0</v>
      </c>
      <c r="DO82" s="42" t="str">
        <f aca="false">IF(Tasks[[#This Row],[_Res2Text]]="","",IF(Tasks[[#This Row],[_Res2Row]]&gt;0,INDEX(res_Name,Tasks[[#This Row],[_Res2Row]]),TRIM(LEFT(Tasks[[#This Row],[_Res2Text]],FIND("[",Tasks[[#This Row],[_Res2Text]]&amp;"[")-1))))</f>
        <v/>
      </c>
      <c r="DP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2" s="42" t="n">
        <f aca="false">IF(OR(NOT(Tasks[[#This Row],[_IsLeaf]]=1),Tasks[[#This Row],[_Res2Row]]=0),0,N(Tasks[[#This Row],[_Days]])*HoursPerDay*IF(Tasks[[#This Row],[_Res2Units]]="",DefaultUnits,Tasks[[#This Row],[_Res2Units]]))</f>
        <v>0</v>
      </c>
      <c r="DR82" s="42" t="n">
        <f aca="false">IF(AND(AND(Tasks[[#This Row],[_IsLeaf]]=1,Tasks[[#This Row],[_LeafTotalWork]]&gt;0),Tasks[[#This Row],[_Res2Work]]&gt;0),Tasks[[#This Row],[_Res2Work]]/(Tasks[[#This Row],[_FinishWorkday]]-Tasks[[#This Row],[_StartWorkday]]+1),0)</f>
        <v>0</v>
      </c>
      <c r="DS82" s="42" t="n">
        <f aca="false">Tasks[[#This Row],[_Res2WorkPerWD]]*MAX(0,Tasks[[#This Row],[_StartWorkday]]-1)</f>
        <v>0</v>
      </c>
      <c r="DT82" s="42" t="n">
        <f aca="false">Tasks[[#This Row],[_Res2Work]]*Tasks[[#This Row],[_LeafProgress]]</f>
        <v>0</v>
      </c>
      <c r="DU82" s="42" t="str">
        <f aca="false">IF(Tasks[[#This Row],[_Res3Text]]="","",IF(Tasks[[#This Row],[_Res3Row]]&gt;0,INDEX(res_Name,Tasks[[#This Row],[_Res3Row]]),TRIM(LEFT(Tasks[[#This Row],[_Res3Text]],FIND("[",Tasks[[#This Row],[_Res3Text]]&amp;"[")-1))))</f>
        <v/>
      </c>
      <c r="DV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2" s="42" t="n">
        <f aca="false">IF(OR(NOT(Tasks[[#This Row],[_IsLeaf]]=1),Tasks[[#This Row],[_Res3Row]]=0),0,N(Tasks[[#This Row],[_Days]])*HoursPerDay*IF(Tasks[[#This Row],[_Res3Units]]="",DefaultUnits,Tasks[[#This Row],[_Res3Units]]))</f>
        <v>0</v>
      </c>
      <c r="DX82" s="42" t="n">
        <f aca="false">IF(AND(AND(Tasks[[#This Row],[_IsLeaf]]=1,Tasks[[#This Row],[_LeafTotalWork]]&gt;0),Tasks[[#This Row],[_Res3Work]]&gt;0),Tasks[[#This Row],[_Res3Work]]/(Tasks[[#This Row],[_FinishWorkday]]-Tasks[[#This Row],[_StartWorkday]]+1),0)</f>
        <v>0</v>
      </c>
      <c r="DY82" s="42" t="n">
        <f aca="false">Tasks[[#This Row],[_Res3WorkPerWD]]*MAX(0,Tasks[[#This Row],[_StartWorkday]]-1)</f>
        <v>0</v>
      </c>
      <c r="DZ82" s="42" t="n">
        <f aca="false">Tasks[[#This Row],[_Res3Work]]*Tasks[[#This Row],[_LeafProgress]]</f>
        <v>0</v>
      </c>
      <c r="EA82" s="42" t="str">
        <f aca="false">IF(Tasks[[#This Row],[_Res4Text]]="","",IF(Tasks[[#This Row],[_Res4Row]]&gt;0,INDEX(res_Name,Tasks[[#This Row],[_Res4Row]]),TRIM(LEFT(Tasks[[#This Row],[_Res4Text]],FIND("[",Tasks[[#This Row],[_Res4Text]]&amp;"[")-1))))</f>
        <v/>
      </c>
      <c r="EB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2" s="42" t="n">
        <f aca="false">IF(OR(NOT(Tasks[[#This Row],[_IsLeaf]]=1),Tasks[[#This Row],[_Res4Row]]=0),0,N(Tasks[[#This Row],[_Days]])*HoursPerDay*IF(Tasks[[#This Row],[_Res4Units]]="",DefaultUnits,Tasks[[#This Row],[_Res4Units]]))</f>
        <v>0</v>
      </c>
      <c r="ED82" s="42" t="n">
        <f aca="false">IF(AND(AND(Tasks[[#This Row],[_IsLeaf]]=1,Tasks[[#This Row],[_LeafTotalWork]]&gt;0),Tasks[[#This Row],[_Res4Work]]&gt;0),Tasks[[#This Row],[_Res4Work]]/(Tasks[[#This Row],[_FinishWorkday]]-Tasks[[#This Row],[_StartWorkday]]+1),0)</f>
        <v>0</v>
      </c>
      <c r="EE82" s="42" t="n">
        <f aca="false">Tasks[[#This Row],[_Res4WorkPerWD]]*MAX(0,Tasks[[#This Row],[_StartWorkday]]-1)</f>
        <v>0</v>
      </c>
      <c r="EF82" s="42" t="n">
        <f aca="false">Tasks[[#This Row],[_Res4Work]]*Tasks[[#This Row],[_LeafProgress]]</f>
        <v>0</v>
      </c>
      <c r="EG82" s="42" t="n">
        <f aca="false">IF(ISNUMBER(Tasks[[#This Row],[% Complete]]),Tasks[[#This Row],[% Complete]],IF(Tasks[[#This Row],[Stage]]="",0,IFERROR(INDEX(stg_Pct,MATCH(Tasks[[#This Row],[Stage]],stg_Name,0)),0)))</f>
        <v>0</v>
      </c>
      <c r="EH82" s="42" t="n">
        <f aca="false">IF(NOT(Tasks[[#This Row],[_IsLeaf]]=1),0,IF(N(Tasks[[#This Row],[Actual Finish]])&gt;0,1,MIN(1,Tasks[[#This Row],[_Pct]])))</f>
        <v>0</v>
      </c>
      <c r="EI82" s="42" t="n">
        <f aca="false">IF(OR(NOT(Tasks[[#This Row],[_IsLeaf]]=1),Tasks[[#This Row],[_Res1Row]]=0),0,N(Tasks[[#This Row],[_Days]])*HoursPerDay*IF(Tasks[[#This Row],[_Units1]]="",DefaultUnits,Tasks[[#This Row],[_Units1]]))</f>
        <v>0</v>
      </c>
      <c r="EJ82" s="42" t="n">
        <f aca="false">Tasks[[#This Row],[_LeafWork]]+Tasks[[#This Row],[_Res2Work]]+Tasks[[#This Row],[_Res3Work]]+Tasks[[#This Row],[_Res4Work]]</f>
        <v>0</v>
      </c>
      <c r="EK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2" s="42" t="n">
        <f aca="false">IF(NOT(Tasks[[#This Row],[_IsLeaf]]=1),0,MAX(_xlfn.MAXIFS(Tasks[_Row],Tasks[_Pred1UID],Tasks[[#This Row],[UID]]),_xlfn.MAXIFS(Tasks[_Row],Tasks[_Pred2UID],Tasks[[#This Row],[UID]]),_xlfn.MAXIFS(Tasks[_Row],Tasks[_Pred3UID],Tasks[[#This Row],[UID]]),_xlfn.MAXIFS(Tasks[_Row],Tasks[_Pred4UID],Tasks[[#This Row],[UID]])))</f>
        <v>0</v>
      </c>
      <c r="ET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2" s="89" t="str">
        <f aca="false">IF(NOT(Tasks[[#This Row],[_IsLeaf]]=1),"",IF(N(Tasks[[#This Row],[_Days]])&lt;=0,Tasks[[#This Row],[_LeafLateFinish]],WORKDAY.INTL(Tasks[[#This Row],[_LeafLateFinish]],-(Tasks[[#This Row],[_Days]]-1),WorkWeek,Holidays)))</f>
        <v/>
      </c>
      <c r="EW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2" s="88" t="b">
        <f aca="false">AND(Tasks[[#This Row],[_IsLeaf]]=1,Tasks[[#This Row],[_LeafProgress]]&lt;1,N(Tasks[[#This Row],[_LeafTotalSlack]])&lt;=CriticalSlackDays)</f>
        <v>0</v>
      </c>
      <c r="EY82" s="42" t="n">
        <f aca="false">IF(AND(Tasks[[#This Row],[_IsLeaf]]=1,Tasks[[#This Row],[_ConstraintCode]]=1,Tasks[[#This Row],[Mode]]&lt;&gt;"Manual",N(Tasks[[#This Row],[Actual Start]])=0),MAX(0,N(Tasks[[#This Row],[Free Slack]])),0)</f>
        <v>0</v>
      </c>
      <c r="EZ82" s="89" t="str">
        <f aca="false">IF(NOT(Tasks[[#This Row],[_IsLeaf]]=1),"",IF(Tasks[[#This Row],[_AlapShift]]=0,Tasks[[#This Row],[_LeafCalcStart]],WORKDAY.INTL(Tasks[[#This Row],[_LeafCalcStart]],Tasks[[#This Row],[_AlapShift]],WorkWeek,Holidays)))</f>
        <v/>
      </c>
      <c r="FA82" s="89" t="str">
        <f aca="false">IF(NOT(Tasks[[#This Row],[_IsLeaf]]=1),"",IF(Tasks[[#This Row],[_AlapShift]]=0,Tasks[[#This Row],[_LeafCalcFinish]],WORKDAY.INTL(Tasks[[#This Row],[_LeafCalcFinish]],Tasks[[#This Row],[_AlapShift]],WorkWeek,Holidays)))</f>
        <v/>
      </c>
      <c r="FB82" s="89" t="str">
        <f aca="false">IF(NOT(Tasks[[#This Row],[_IsLeaf]]=1),"",IF(Tasks[[#This Row],[_AlapShift]]=0,Tasks[[#This Row],[_LeafFcstStart]],WORKDAY.INTL(Tasks[[#This Row],[_LeafFcstStart]],Tasks[[#This Row],[_AlapShift]],WorkWeek,Holidays)))</f>
        <v/>
      </c>
      <c r="FC82" s="89" t="str">
        <f aca="false">IF(NOT(Tasks[[#This Row],[_IsLeaf]]=1),"",IF(Tasks[[#This Row],[_AlapShift]]=0,Tasks[[#This Row],[_LeafFcstFinish]],WORKDAY.INTL(Tasks[[#This Row],[_LeafFcstFinish]],Tasks[[#This Row],[_AlapShift]],WorkWeek,Holidays)))</f>
        <v/>
      </c>
      <c r="FD82" s="89" t="str">
        <f aca="false">IF(Tasks[[#This Row],[Task Name]]="","",IF(Tasks[[#This Row],[_IsSummary]],MIN(INDEX(Tasks[_ShownCalcStart],Tasks[[#This Row],[_Row]]+1):INDEX(Tasks[_ShownCalcStart],Tasks[[#This Row],[_Row]]+Tasks[[#This Row],[_Descendants]])),Tasks[[#This Row],[_ShownCalcStart]]))</f>
        <v/>
      </c>
      <c r="FE82" s="89" t="str">
        <f aca="false">IF(Tasks[[#This Row],[Task Name]]="","",IF(Tasks[[#This Row],[_IsSummary]],MAX(INDEX(Tasks[_ShownCalcFinish],Tasks[[#This Row],[_Row]]+1):INDEX(Tasks[_ShownCalcFinish],Tasks[[#This Row],[_Row]]+Tasks[[#This Row],[_Descendants]])),Tasks[[#This Row],[_ShownCalcFinish]]))</f>
        <v/>
      </c>
      <c r="FF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2" s="42" t="n">
        <f aca="false">IF(AND(Tasks[[#This Row],[_IsLeaf]]=1,Tasks[[#This Row],[_LeafTotalWork]]&gt;0),NETWORKDAYS.INTL(ProjectStart,Tasks[[#This Row],[_ShownFcstStart]],WorkWeek,Holidays),0)</f>
        <v>0</v>
      </c>
      <c r="FS82" s="42" t="n">
        <f aca="false">IF(AND(Tasks[[#This Row],[_IsLeaf]]=1,Tasks[[#This Row],[_LeafTotalWork]]&gt;0),MAX(Tasks[[#This Row],[_StartWorkday]],NETWORKDAYS.INTL(ProjectStart,Tasks[[#This Row],[_ShownFcstFinish]],WorkWeek,Holidays)),0)</f>
        <v>0</v>
      </c>
      <c r="FT82" s="42" t="n">
        <f aca="false">IF(AND(Tasks[[#This Row],[_IsLeaf]]=1,Tasks[[#This Row],[_LeafTotalWork]]&gt;0),Tasks[[#This Row],[_LeafWork]]/(Tasks[[#This Row],[_FinishWorkday]]-Tasks[[#This Row],[_StartWorkday]]+1),0)</f>
        <v>0</v>
      </c>
      <c r="FU82" s="42" t="n">
        <f aca="false">Tasks[[#This Row],[_WorkPerWorkday]]*(Tasks[[#This Row],[_StartWorkday]]-1)</f>
        <v>-0</v>
      </c>
      <c r="FV82" s="42" t="n">
        <f aca="false">IF(Tasks[[#This Row],[_IsLeaf]]=1,MAX(N(Tasks[[#This Row],[_Days]]),0.1),0)</f>
        <v>0</v>
      </c>
      <c r="FW82" s="42" t="n">
        <f aca="false">Tasks[[#This Row],[_WeightDur]]*Tasks[[#This Row],[_LeafProgress]]</f>
        <v>0</v>
      </c>
      <c r="FX82" s="42" t="n">
        <f aca="false">Tasks[[#This Row],[_WeightDur]]*Tasks[[#This Row],[_PlannedPct]]</f>
        <v>0</v>
      </c>
      <c r="FY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2" s="42" t="str">
        <f aca="false">IF(AND(Tasks[[#This Row],[_IsLeaf]]=1,N(Tasks[[#This Row],[_Days]])=0,Tasks[[#This Row],[_LeafProgress]]&lt;1),Tasks[[#This Row],[_ShownFcstFinish]]+Tasks[[#This Row],[_Row]]/100000,"")</f>
        <v/>
      </c>
      <c r="GA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2" s="42" t="str">
        <f aca="false">IF(Tasks[[#This Row],[Task Name]]="","",LEFT(Tasks[[#This Row],[WBS]],FIND(".",Tasks[[#This Row],[WBS]]&amp;".")-1))</f>
        <v/>
      </c>
      <c r="GC82" s="42" t="str">
        <f aca="false">IF(AND(Tasks[[#This Row],[Task Name]]&lt;&gt;"",Tasks[[#This Row],[_Level]]=1),Tasks[[#This Row],[_Row]],"")</f>
        <v/>
      </c>
      <c r="GD82" s="42" t="str">
        <f aca="false">IF(AND(Tasks[[#This Row],[_IsLeaf]]=1,N(Tasks[[#This Row],[_Days]])=0),Tasks[[#This Row],[Planned Finish]]+Tasks[[#This Row],[_Row]]/100000,"")</f>
        <v/>
      </c>
      <c r="GE82" s="42" t="str">
        <f aca="false">IF(AND(Tasks[[#This Row],[_IsLeaf]]=1,Tasks[[#This Row],[_LeafProgress]]&lt;1,OR(N(Tasks[[#This Row],[Finish Var]])&gt;0,Tasks[[#This Row],[Status]]="Late Start")),MAX(0,Tasks[[#This Row],[Finish Var]])+1-Tasks[[#This Row],[_Row]]/1000000,"")</f>
        <v/>
      </c>
      <c r="GF82" s="42" t="str">
        <f aca="false">IF(AND(Tasks[[#This Row],[_IsLeaf]]=1,N(Tasks[[#This Row],[Actual Start]])=0,Tasks[[#This Row],[_ShownFcstStart]]&gt;=StatusDate,Tasks[[#This Row],[_ShownFcstStart]]&lt;=LookaheadEnd),Tasks[[#This Row],[_ShownFcstStart]]+Tasks[[#This Row],[_Row]]/100000,"")</f>
        <v/>
      </c>
      <c r="GG82" s="42" t="str">
        <f aca="false">IF(AND(Tasks[[#This Row],[_IsLeaf]]=1,Tasks[[#This Row],[_LeafProgress]]&lt;1,Tasks[[#This Row],[_ShownFcstFinish]]&gt;=StatusDate,Tasks[[#This Row],[_ShownFcstFinish]]&lt;=LookaheadEnd),Tasks[[#This Row],[_ShownFcstFinish]]+Tasks[[#This Row],[_Row]]/100000,"")</f>
        <v/>
      </c>
      <c r="GH82" s="42" t="str">
        <f aca="false">IF(Tasks[[#This Row],[_LeafCritical]],Tasks[[#This Row],[_ShownFcstStart]]+Tasks[[#This Row],[_Row]]/100000,"")</f>
        <v/>
      </c>
      <c r="GI82" s="42" t="n">
        <f aca="false">Tasks[[#This Row],[_LeafWork]]*Tasks[[#This Row],[_LeafProgress]]</f>
        <v>0</v>
      </c>
      <c r="GJ82" s="89" t="str">
        <f aca="false">IF(AND(Tasks[[#This Row],[_IsLeaf]]=1,Tasks[[#This Row],[_LeafProgress]]&gt;=1),IF(N(Tasks[[#This Row],[Actual Finish]])&gt;0,Tasks[[#This Row],[Actual Finish]],Tasks[[#This Row],[_ShownFcstFinish]]),"")</f>
        <v/>
      </c>
      <c r="GK82" s="42" t="n">
        <f aca="false">IF(Tasks[[#This Row],[_IsLeaf]]=1,N(Tasks[[#This Row],[Story Points]]),0)</f>
        <v>0</v>
      </c>
      <c r="GL82" s="42" t="str">
        <f aca="false">""</f>
        <v/>
      </c>
      <c r="GM82" s="88" t="b">
        <f aca="false">IF(Tasks[[#This Row],[Task Name]]="",FALSE(),AND(Tasks[[#This Row],[_IsLeaf]]=1,N(Tasks[[#This Row],[_Days]])=0))</f>
        <v>0</v>
      </c>
      <c r="GN82" s="89" t="n">
        <f aca="false">IF(Tasks[[#This Row],[Task Name]]="",0,IF(AND(Tasks[[#This Row],[_IsLeaf]]=1,NOT(Tasks[[#This Row],[_IsMilestone]]),N(Tasks[[#This Row],[Progress]])&gt;0),Tasks[[#This Row],[Start]],0))</f>
        <v>0</v>
      </c>
      <c r="GO82" s="89" t="n">
        <f aca="false">IF(Tasks[[#This Row],[_DoneFrom]]=0,0,IF(Tasks[[#This Row],[Progress]]&gt;=1,Tasks[[#This Row],[Finish]],MAX(Tasks[[#This Row],[_DoneFrom]],Tasks[[#This Row],[Start]]+ROUND((Tasks[[#This Row],[Finish]]-Tasks[[#This Row],[Start]]+1)*Tasks[[#This Row],[Progress]],0)-1)))</f>
        <v>0</v>
      </c>
      <c r="GP82" s="89" t="n">
        <f aca="false">IF(Tasks[[#This Row],[Task Name]]="",0,IF(OR(NOT(Tasks[[#This Row],[_IsLeaf]]=1),Tasks[[#This Row],[_IsMilestone]],N(Tasks[[#This Row],[Progress]])&gt;=1),0,IF(Tasks[[#This Row],[_DoneTo]]&gt;0,Tasks[[#This Row],[_DoneTo]]+1,Tasks[[#This Row],[Start]])))</f>
        <v>0</v>
      </c>
      <c r="GQ82" s="89" t="n">
        <f aca="false">IF(Tasks[[#This Row],[_RemFrom]]=0,0,Tasks[[#This Row],[Finish]])</f>
        <v>0</v>
      </c>
      <c r="GR82" s="88" t="b">
        <f aca="false">IF(Tasks[[#This Row],[Task Name]]="",FALSE(),OR(NOT(BaselineSet),N(Tasks[[#This Row],[Baseline Start]])&gt;0))</f>
        <v>0</v>
      </c>
      <c r="GS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2" s="90" t="str">
        <f aca="false">IF(Tasks[[#This Row],[_IsLeaf]]=1,Tasks[[#This Row],[_Row]],"")</f>
        <v/>
      </c>
      <c r="GW82" s="90" t="str">
        <f aca="false">IFERROR(INDEX(Tasks[UID],SMALL(Tasks[_PickKey],Tasks[[#This Row],[_Row]]))&amp;" "&amp;INDEX(Tasks[Task Name],SMALL(Tasks[_PickKey],Tasks[[#This Row],[_Row]])),"")</f>
        <v/>
      </c>
      <c r="GX82" s="42" t="str">
        <f aca="false">IF(Tasks[[#This Row],[Task Name]]="","",IF(Tasks[[#This Row],[_IsSummary]],NETWORKDAYS.INTL(Tasks[[#This Row],[Start]],Tasks[[#This Row],[Finish]],WorkWeek,Holidays),N(Tasks[[#This Row],[_Days]])))</f>
        <v/>
      </c>
    </row>
    <row r="83" customFormat="false" ht="15" hidden="false" customHeight="false" outlineLevel="0" collapsed="false">
      <c r="A83" s="21" t="str">
        <f aca="false">IF(Tasks[[#This Row],[Task Name]]="","",COUNTA(Tasks[[#Headers],[Task Name]]:Tasks[[#This Row],[Task Name]])-1)</f>
        <v/>
      </c>
      <c r="B83" s="22" t="n">
        <v>91</v>
      </c>
      <c r="C83" s="22"/>
      <c r="D83" s="23"/>
      <c r="E83" s="22"/>
      <c r="F83" s="23"/>
      <c r="G83" s="22"/>
      <c r="H83" s="22"/>
      <c r="I83" s="23"/>
      <c r="J83" s="22"/>
      <c r="K83" s="22"/>
      <c r="L83" s="23"/>
      <c r="M83" s="22"/>
      <c r="N83" s="22"/>
      <c r="O83" s="23"/>
      <c r="P83" s="22"/>
      <c r="Q83" s="22"/>
      <c r="R83" s="23"/>
      <c r="S83" s="23"/>
      <c r="T83" s="83"/>
      <c r="U83" s="23"/>
      <c r="V83" s="83"/>
      <c r="W83" s="23"/>
      <c r="X83" s="83"/>
      <c r="Y83" s="23"/>
      <c r="Z83" s="83"/>
      <c r="AA83" s="23"/>
      <c r="AB83" s="23"/>
      <c r="AC83" s="7"/>
      <c r="AD83" s="7"/>
      <c r="AE83" s="62" t="str">
        <f aca="false">IF(Tasks[[#This Row],[Task Name]]="","",IF(Tasks[[#This Row],[_IsSummary]],MIN(INDEX(Tasks[_ShownFcstStart],Tasks[[#This Row],[_Row]]+1):INDEX(Tasks[_ShownFcstStart],Tasks[[#This Row],[_Row]]+Tasks[[#This Row],[_Descendants]])),Tasks[[#This Row],[_ShownFcstStart]]))</f>
        <v/>
      </c>
      <c r="AF83" s="62" t="str">
        <f aca="false">IF(Tasks[[#This Row],[Task Name]]="","",IF(Tasks[[#This Row],[_IsSummary]],MAX(INDEX(Tasks[_ShownFcstFinish],Tasks[[#This Row],[_Row]]+1):INDEX(Tasks[_ShownFcstFinish],Tasks[[#This Row],[_Row]]+Tasks[[#This Row],[_Descendants]])),Tasks[[#This Row],[_ShownFcstFinish]]))</f>
        <v/>
      </c>
      <c r="AG83" s="21" t="str">
        <f aca="false">""</f>
        <v/>
      </c>
      <c r="AH83" s="23"/>
      <c r="AI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3" s="7"/>
      <c r="AK83" s="22"/>
      <c r="AL83" s="23"/>
      <c r="AM83" s="7"/>
      <c r="AN83" s="46" t="str">
        <f aca="false">IF(Tasks[[#This Row],[Task Name]]="","",IF(Tasks[[#This Row],[Finish]]&gt;=Tasks[[#This Row],[Planned Finish]],NETWORKDAYS.INTL(Tasks[[#This Row],[Planned Finish]],Tasks[[#This Row],[Finish]],WorkWeek,Holidays)-1,1-NETWORKDAYS.INTL(Tasks[[#This Row],[Finish]],Tasks[[#This Row],[Planned Finish]],WorkWeek,Holidays)))</f>
        <v/>
      </c>
      <c r="AO83" s="21" t="str">
        <f aca="false">IF(Tasks[[#This Row],[Task Name]]="","",IF(Tasks[[#This Row],[Progress]]&gt;=1,"Complete",IF(OR(N(Tasks[[#This Row],[Actual Start]])&gt;0,Tasks[[#This Row],[Progress]]&gt;0),IF(Tasks[[#This Row],[Finish Var]]&gt;0,"Behind","In Progress"),IF(Tasks[[#This Row],[Planned Start]]&lt;StatusDate,"Late Start","Not Started"))))</f>
        <v/>
      </c>
      <c r="AP83" s="21" t="str">
        <f aca="false">IF(Tasks[[#This Row],[Task Name]]="","",IF(IF(Tasks[[#This Row],[_IsSummary]],COUNTIF(INDEX(Tasks[_LeafCritical],Tasks[[#This Row],[_Row]]+1):INDEX(Tasks[_LeafCritical],Tasks[[#This Row],[_Row]]+Tasks[[#This Row],[_Descendants]]),TRUE())&gt;0,Tasks[[#This Row],[_LeafCritical]]),"Yes",""))</f>
        <v/>
      </c>
      <c r="AQ83" s="62" t="str">
        <f aca="false">IF(Tasks[[#This Row],[Task Name]]="","",IF(N(Tasks[[#This Row],[Baseline Start]])&gt;0,Tasks[[#This Row],[Baseline Start]],Tasks[[#This Row],[_CalcStart]]))</f>
        <v/>
      </c>
      <c r="AR83" s="62" t="str">
        <f aca="false">IF(Tasks[[#This Row],[Task Name]]="","",IF(N(Tasks[[#This Row],[Baseline Finish]])&gt;0,Tasks[[#This Row],[Baseline Finish]],Tasks[[#This Row],[_CalcFinish]]))</f>
        <v/>
      </c>
      <c r="AS83" s="46" t="str">
        <f aca="false">IF(Tasks[[#This Row],[Task Name]]="","",IF(Tasks[[#This Row],[Start]]&gt;=Tasks[[#This Row],[Planned Start]],NETWORKDAYS.INTL(Tasks[[#This Row],[Planned Start]],Tasks[[#This Row],[Start]],WorkWeek,Holidays)-1,1-NETWORKDAYS.INTL(Tasks[[#This Row],[Start]],Tasks[[#This Row],[Planned Start]],WorkWeek,Holidays)))</f>
        <v/>
      </c>
      <c r="AT83" s="62" t="str">
        <f aca="false">IF(Tasks[[#This Row],[Task Name]]="","",IF(Tasks[[#This Row],[_IsSummary]],MIN(INDEX(Tasks[_LeafLateStart],Tasks[[#This Row],[_Row]]+1):INDEX(Tasks[_LeafLateStart],Tasks[[#This Row],[_Row]]+Tasks[[#This Row],[_Descendants]])),Tasks[[#This Row],[_LeafLateStart]]))</f>
        <v/>
      </c>
      <c r="AU83" s="62" t="str">
        <f aca="false">IF(Tasks[[#This Row],[Task Name]]="","",IF(Tasks[[#This Row],[_IsSummary]],MAX(INDEX(Tasks[_LeafLateFinish],Tasks[[#This Row],[_Row]]+1):INDEX(Tasks[_LeafLateFinish],Tasks[[#This Row],[_Row]]+Tasks[[#This Row],[_Descendants]])),Tasks[[#This Row],[_LeafLateFinish]]))</f>
        <v/>
      </c>
      <c r="AV83" s="46" t="str">
        <f aca="false">IF(Tasks[[#This Row],[Task Name]]="","",IF(Tasks[[#This Row],[_IsSummary]],MIN(INDEX(Tasks[_LeafTotalSlack],Tasks[[#This Row],[_Row]]+1):INDEX(Tasks[_LeafTotalSlack],Tasks[[#This Row],[_Row]]+Tasks[[#This Row],[_Descendants]])),Tasks[[#This Row],[_LeafTotalSlack]]))</f>
        <v/>
      </c>
      <c r="AW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4"/>
      <c r="BA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t="str">
        <f aca="false">IF(Tasks[[#This Row],[Task Name]]="","",IF(Tasks[[#This Row],[_Level]]&lt;=OutlineShowLevel,"Yes","No"))</f>
        <v/>
      </c>
      <c r="BE83" s="85" t="str">
        <f aca="false">IF(Tasks[[#This Row],[Task Name]]="","",IF(Tasks[[#This Row],[_IsSummary]],SUM(INDEX(Tasks[_LeafTotalWork],Tasks[[#This Row],[_Row]]+1):INDEX(Tasks[_LeafTotalWork],Tasks[[#This Row],[_Row]]+Tasks[[#This Row],[_Descendants]])),Tasks[[#This Row],[_LeafTotalWork]]))</f>
        <v/>
      </c>
      <c r="BF83" s="23"/>
      <c r="BG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t="str">
        <f aca="false">""</f>
        <v/>
      </c>
      <c r="BI83" s="86"/>
      <c r="BJ83" s="22"/>
      <c r="BK83" s="46" t="str">
        <f aca="false">IF(OR(Tasks[[#This Row],[Task Name]]="",Tasks[[#This Row],[Baseline Duration]]=""),"",Tasks[[#This Row],[_SpanDays]]-N(Tasks[[#This Row],[Baseline Duration]]))</f>
        <v/>
      </c>
      <c r="BL83" s="85" t="str">
        <f aca="false">IF(OR(Tasks[[#This Row],[Task Name]]="",Tasks[[#This Row],[Baseline Work]]=""),"",Tasks[[#This Row],[Work]]-N(Tasks[[#This Row],[Baseline Work]]))</f>
        <v/>
      </c>
      <c r="BM83" s="62" t="str">
        <f aca="false">IF(Tasks[[#This Row],[Task Name]]="","",IF(OR(TakeBaseline="Yes",N(Tasks[[#This Row],[Baseline Start]])=0),Tasks[[#This Row],[Start]],Tasks[[#This Row],[Baseline Start]]))</f>
        <v/>
      </c>
      <c r="BN83" s="62" t="str">
        <f aca="false">IF(Tasks[[#This Row],[Task Name]]="","",IF(OR(TakeBaseline="Yes",N(Tasks[[#This Row],[Baseline Finish]])=0),Tasks[[#This Row],[Finish]],Tasks[[#This Row],[Baseline Finish]]))</f>
        <v/>
      </c>
      <c r="BO83" s="21" t="str">
        <f aca="false">IF(Tasks[[#This Row],[Task Name]]="","",IF(OR(TakeBaseline="Yes",N(Tasks[[#This Row],[Baseline Duration]])=0),Tasks[[#This Row],[_SpanDays]],Tasks[[#This Row],[Baseline Duration]]))</f>
        <v/>
      </c>
      <c r="BP83" s="85" t="str">
        <f aca="false">IF(Tasks[[#This Row],[Task Name]]="","",IF(OR(TakeBaseline="Yes",N(Tasks[[#This Row],[Baseline Work]])=0),Tasks[[#This Row],[Work]],Tasks[[#This Row],[Baseline Work]]))</f>
        <v/>
      </c>
      <c r="BQ83" s="7"/>
      <c r="BR83" s="7"/>
      <c r="BS83" s="22"/>
      <c r="BT83" s="87"/>
      <c r="BU83" s="42" t="str">
        <f aca="false">IF(Tasks[[#This Row],[Task Name]]="","",MAX(1,N(Tasks[[#This Row],[Level]])))</f>
        <v/>
      </c>
      <c r="BV83" s="42" t="n">
        <f aca="false">ROW()-ROW(Tasks[[#Headers],[ID]])</f>
        <v>78</v>
      </c>
      <c r="BW83" s="42" t="n">
        <f aca="false">IF(OR(Tasks[[#This Row],[Task Name]]="",Tasks[[#This Row],[_Level]]&lt;=1),0,IFERROR(LOOKUP(2,1/(Tasks[[#Headers],[_Level]]:Tasks[[#This Row],[_Level]]=Tasks[[#This Row],[_Level]]-1),ROW(Tasks[[#Headers],[_Level]]:Tasks[[#This Row],[_Level]])),0))</f>
        <v>0</v>
      </c>
      <c r="BX83" s="42" t="n">
        <f aca="false">IFERROR(N(INDEX(Tasks[_Level],Tasks[[#This Row],[_Row]]+1)),0)</f>
        <v>0</v>
      </c>
      <c r="BY83" s="88" t="b">
        <f aca="false">AND(Tasks[[#This Row],[Task Name]]&lt;&gt;"",Tasks[[#This Row],[_NextLevel]]&gt;Tasks[[#This Row],[_Level]])</f>
        <v>0</v>
      </c>
      <c r="BZ83" s="42" t="n">
        <f aca="false">IF(Tasks[[#This Row],[_IsSummary]],COUNTIF(Tasks[WBS],Tasks[[#This Row],[WBS]]&amp;".*"),0)</f>
        <v>0</v>
      </c>
      <c r="CA83" s="42" t="n">
        <f aca="false">IF(AND(Tasks[[#This Row],[Task Name]]&lt;&gt;"",NOT(Tasks[[#This Row],[_IsSummary]])),1,0)</f>
        <v>0</v>
      </c>
      <c r="CB83" s="42" t="n">
        <f aca="false">IF(N(Tasks[[#This Row],[_Pred1UID]])=0,0,IFERROR(MATCH(Tasks[[#This Row],[_Pred1UID]],Tasks[UID],0),-1))</f>
        <v>0</v>
      </c>
      <c r="CC83" s="42" t="n">
        <f aca="false">IF(N(Tasks[[#This Row],[_Pred2UID]])=0,0,IFERROR(MATCH(Tasks[[#This Row],[_Pred2UID]],Tasks[UID],0),-1))</f>
        <v>0</v>
      </c>
      <c r="CD83" s="42" t="n">
        <f aca="false">IF(N(Tasks[[#This Row],[_Pred3UID]])=0,0,IFERROR(MATCH(Tasks[[#This Row],[_Pred3UID]],Tasks[UID],0),-1))</f>
        <v>0</v>
      </c>
      <c r="CE83" s="42" t="n">
        <f aca="false">IF(N(Tasks[[#This Row],[_Pred4UID]])=0,0,IFERROR(MATCH(Tasks[[#This Row],[_Pred4UID]],Tasks[UID],0),-1))</f>
        <v>0</v>
      </c>
      <c r="CF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3" s="89" t="n">
        <f aca="false">IF(OR(Tasks[[#This Row],[_ConstraintCode]]=2,Tasks[[#This Row],[_ConstraintCode]]=3,Tasks[[#This Row],[_ConstraintCode]]=4,Tasks[[#This Row],[_ConstraintCode]]=6),Tasks[[#This Row],[_ConstraintStart]],0)</f>
        <v>0</v>
      </c>
      <c r="CI83" s="89" t="n">
        <f aca="false">IF(OR(Tasks[[#This Row],[_ConstraintCode]]=2,Tasks[[#This Row],[_ConstraintCode]]=3,Tasks[[#This Row],[_ConstraintCode]]=5,Tasks[[#This Row],[_ConstraintCode]]=7),Tasks[[#This Row],[_ConstraintStart]],2958465)</f>
        <v>2958465</v>
      </c>
      <c r="CJ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3" s="89" t="str">
        <f aca="false">IF(NOT(Tasks[[#This Row],[_IsLeaf]]=1),"",IF(N(Tasks[[#This Row],[_Days]])&lt;=0,Tasks[[#This Row],[_LeafCalcStart]],WORKDAY.INTL(Tasks[[#This Row],[_LeafCalcStart]],Tasks[[#This Row],[_Days]]-1,WorkWeek,Holidays)))</f>
        <v/>
      </c>
      <c r="CL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3" s="42" t="str">
        <f aca="false">IF(Tasks[[#This Row],[_Predecessors]]="","",TRIM(MID(SUBSTITUTE(SUBSTITUTE(SUBSTITUTE(UPPER(Tasks[[#This Row],[_Predecessors]]),";",",")," ",""),",",REPT(" ",99)),1,99)))</f>
        <v/>
      </c>
      <c r="CO83" s="42" t="str">
        <f aca="false">IF(Tasks[[#This Row],[_Pred1Text]]="","",IFERROR(VALUE(LEFT(Tasks[[#This Row],[_Pred1Text]],MIN(FIND("F",Tasks[[#This Row],[_Pred1Text]]&amp;"F"),FIND("S",Tasks[[#This Row],[_Pred1Text]]&amp;"S"),FIND("+",Tasks[[#This Row],[_Pred1Text]]&amp;"+"),FIND("-",Tasks[[#This Row],[_Pred1Text]]&amp;"-"))-1)),""))</f>
        <v/>
      </c>
      <c r="CP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3" s="42" t="str">
        <f aca="false">IF(Tasks[[#This Row],[_Pred1Text]]="","",TRIM(MID(SUBSTITUTE(SUBSTITUTE(SUBSTITUTE(UPPER(Tasks[[#This Row],[_Predecessors]]),";",",")," ",""),",",REPT(" ",99)),100,99)))</f>
        <v/>
      </c>
      <c r="CS83" s="42" t="str">
        <f aca="false">IF(Tasks[[#This Row],[_Pred2Text]]="","",IFERROR(VALUE(LEFT(Tasks[[#This Row],[_Pred2Text]],MIN(FIND("F",Tasks[[#This Row],[_Pred2Text]]&amp;"F"),FIND("S",Tasks[[#This Row],[_Pred2Text]]&amp;"S"),FIND("+",Tasks[[#This Row],[_Pred2Text]]&amp;"+"),FIND("-",Tasks[[#This Row],[_Pred2Text]]&amp;"-"))-1)),""))</f>
        <v/>
      </c>
      <c r="CT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3" s="42" t="str">
        <f aca="false">IF(Tasks[[#This Row],[_Pred2Text]]="","",TRIM(MID(SUBSTITUTE(SUBSTITUTE(SUBSTITUTE(UPPER(Tasks[[#This Row],[_Predecessors]]),";",",")," ",""),",",REPT(" ",99)),199,99)))</f>
        <v/>
      </c>
      <c r="CW83" s="42" t="str">
        <f aca="false">IF(Tasks[[#This Row],[_Pred3Text]]="","",IFERROR(VALUE(LEFT(Tasks[[#This Row],[_Pred3Text]],MIN(FIND("F",Tasks[[#This Row],[_Pred3Text]]&amp;"F"),FIND("S",Tasks[[#This Row],[_Pred3Text]]&amp;"S"),FIND("+",Tasks[[#This Row],[_Pred3Text]]&amp;"+"),FIND("-",Tasks[[#This Row],[_Pred3Text]]&amp;"-"))-1)),""))</f>
        <v/>
      </c>
      <c r="CX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3" s="42" t="str">
        <f aca="false">IF(Tasks[[#This Row],[_Pred3Text]]="","",TRIM(MID(SUBSTITUTE(SUBSTITUTE(SUBSTITUTE(UPPER(Tasks[[#This Row],[_Predecessors]]),";",",")," ",""),",",REPT(" ",99)),298,99)))</f>
        <v/>
      </c>
      <c r="DA83" s="42" t="str">
        <f aca="false">IF(Tasks[[#This Row],[_Pred4Text]]="","",IFERROR(VALUE(LEFT(Tasks[[#This Row],[_Pred4Text]],MIN(FIND("F",Tasks[[#This Row],[_Pred4Text]]&amp;"F"),FIND("S",Tasks[[#This Row],[_Pred4Text]]&amp;"S"),FIND("+",Tasks[[#This Row],[_Pred4Text]]&amp;"+"),FIND("-",Tasks[[#This Row],[_Pred4Text]]&amp;"-"))-1)),""))</f>
        <v/>
      </c>
      <c r="DB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3" s="42" t="str">
        <f aca="false">IF(OR(Tasks[[#This Row],[Task Name]]="",Tasks[[#This Row],[_Resources]]=""),"",TRIM(MID(SUBSTITUTE(Tasks[[#This Row],[_Resources]],",",REPT(" ",99)),1,99)))</f>
        <v/>
      </c>
      <c r="DE83" s="42" t="str">
        <f aca="false">IF(Tasks[[#This Row],[_Res1Text]]="","",TRIM(MID(SUBSTITUTE(Tasks[[#This Row],[_Resources]],",",REPT(" ",99)),100,99)))</f>
        <v/>
      </c>
      <c r="DF83" s="42" t="str">
        <f aca="false">IF(Tasks[[#This Row],[_Res2Text]]="","",TRIM(MID(SUBSTITUTE(Tasks[[#This Row],[_Resources]],",",REPT(" ",99)),199,99)))</f>
        <v/>
      </c>
      <c r="DG83" s="42" t="str">
        <f aca="false">IF(Tasks[[#This Row],[_Res3Text]]="","",TRIM(MID(SUBSTITUTE(Tasks[[#This Row],[_Resources]],",",REPT(" ",99)),298,99)))</f>
        <v/>
      </c>
      <c r="DH83" s="42" t="n">
        <f aca="false">IF(Tasks[[#This Row],[_Res1Text]]="",0,IFERROR(MATCH(TRIM(LEFT(Tasks[[#This Row],[_Res1Text]],FIND("[",Tasks[[#This Row],[_Res1Text]]&amp;"[")-1)),res_Name,0),IFERROR(MATCH(TRIM(LEFT(Tasks[[#This Row],[_Res1Text]],FIND("[",Tasks[[#This Row],[_Res1Text]]&amp;"[")-1)),res_Initials,0),0)))</f>
        <v>0</v>
      </c>
      <c r="DI83" s="42" t="n">
        <f aca="false">IF(Tasks[[#This Row],[_Res2Text]]="",0,IFERROR(MATCH(TRIM(LEFT(Tasks[[#This Row],[_Res2Text]],FIND("[",Tasks[[#This Row],[_Res2Text]]&amp;"[")-1)),res_Name,0),IFERROR(MATCH(TRIM(LEFT(Tasks[[#This Row],[_Res2Text]],FIND("[",Tasks[[#This Row],[_Res2Text]]&amp;"[")-1)),res_Initials,0),0)))</f>
        <v>0</v>
      </c>
      <c r="DJ83" s="42" t="n">
        <f aca="false">IF(Tasks[[#This Row],[_Res3Text]]="",0,IFERROR(MATCH(TRIM(LEFT(Tasks[[#This Row],[_Res3Text]],FIND("[",Tasks[[#This Row],[_Res3Text]]&amp;"[")-1)),res_Name,0),IFERROR(MATCH(TRIM(LEFT(Tasks[[#This Row],[_Res3Text]],FIND("[",Tasks[[#This Row],[_Res3Text]]&amp;"[")-1)),res_Initials,0),0)))</f>
        <v>0</v>
      </c>
      <c r="DK83" s="42" t="n">
        <f aca="false">IF(Tasks[[#This Row],[_Res4Text]]="",0,IFERROR(MATCH(TRIM(LEFT(Tasks[[#This Row],[_Res4Text]],FIND("[",Tasks[[#This Row],[_Res4Text]]&amp;"[")-1)),res_Name,0),IFERROR(MATCH(TRIM(LEFT(Tasks[[#This Row],[_Res4Text]],FIND("[",Tasks[[#This Row],[_Res4Text]]&amp;"[")-1)),res_Initials,0),0)))</f>
        <v>0</v>
      </c>
      <c r="DL83" s="42" t="str">
        <f aca="false">IF(Tasks[[#This Row],[_Res1Text]]="","",IF(Tasks[[#This Row],[_Res1Row]]&gt;0,INDEX(res_Name,Tasks[[#This Row],[_Res1Row]]),TRIM(LEFT(Tasks[[#This Row],[_Res1Text]],FIND("[",Tasks[[#This Row],[_Res1Text]]&amp;"[")-1))))</f>
        <v/>
      </c>
      <c r="DM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3" s="42" t="n">
        <f aca="false">IF(NOT(Tasks[[#This Row],[_IsLeaf]]=1),0,(Tasks[[#This Row],[_Resource1]]&lt;&gt;"")+(Tasks[[#This Row],[_Res2]]&lt;&gt;"")+(Tasks[[#This Row],[_Res3]]&lt;&gt;"")+(Tasks[[#This Row],[_Res4]]&lt;&gt;""))</f>
        <v>0</v>
      </c>
      <c r="DO83" s="42" t="str">
        <f aca="false">IF(Tasks[[#This Row],[_Res2Text]]="","",IF(Tasks[[#This Row],[_Res2Row]]&gt;0,INDEX(res_Name,Tasks[[#This Row],[_Res2Row]]),TRIM(LEFT(Tasks[[#This Row],[_Res2Text]],FIND("[",Tasks[[#This Row],[_Res2Text]]&amp;"[")-1))))</f>
        <v/>
      </c>
      <c r="DP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3" s="42" t="n">
        <f aca="false">IF(OR(NOT(Tasks[[#This Row],[_IsLeaf]]=1),Tasks[[#This Row],[_Res2Row]]=0),0,N(Tasks[[#This Row],[_Days]])*HoursPerDay*IF(Tasks[[#This Row],[_Res2Units]]="",DefaultUnits,Tasks[[#This Row],[_Res2Units]]))</f>
        <v>0</v>
      </c>
      <c r="DR83" s="42" t="n">
        <f aca="false">IF(AND(AND(Tasks[[#This Row],[_IsLeaf]]=1,Tasks[[#This Row],[_LeafTotalWork]]&gt;0),Tasks[[#This Row],[_Res2Work]]&gt;0),Tasks[[#This Row],[_Res2Work]]/(Tasks[[#This Row],[_FinishWorkday]]-Tasks[[#This Row],[_StartWorkday]]+1),0)</f>
        <v>0</v>
      </c>
      <c r="DS83" s="42" t="n">
        <f aca="false">Tasks[[#This Row],[_Res2WorkPerWD]]*MAX(0,Tasks[[#This Row],[_StartWorkday]]-1)</f>
        <v>0</v>
      </c>
      <c r="DT83" s="42" t="n">
        <f aca="false">Tasks[[#This Row],[_Res2Work]]*Tasks[[#This Row],[_LeafProgress]]</f>
        <v>0</v>
      </c>
      <c r="DU83" s="42" t="str">
        <f aca="false">IF(Tasks[[#This Row],[_Res3Text]]="","",IF(Tasks[[#This Row],[_Res3Row]]&gt;0,INDEX(res_Name,Tasks[[#This Row],[_Res3Row]]),TRIM(LEFT(Tasks[[#This Row],[_Res3Text]],FIND("[",Tasks[[#This Row],[_Res3Text]]&amp;"[")-1))))</f>
        <v/>
      </c>
      <c r="DV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3" s="42" t="n">
        <f aca="false">IF(OR(NOT(Tasks[[#This Row],[_IsLeaf]]=1),Tasks[[#This Row],[_Res3Row]]=0),0,N(Tasks[[#This Row],[_Days]])*HoursPerDay*IF(Tasks[[#This Row],[_Res3Units]]="",DefaultUnits,Tasks[[#This Row],[_Res3Units]]))</f>
        <v>0</v>
      </c>
      <c r="DX83" s="42" t="n">
        <f aca="false">IF(AND(AND(Tasks[[#This Row],[_IsLeaf]]=1,Tasks[[#This Row],[_LeafTotalWork]]&gt;0),Tasks[[#This Row],[_Res3Work]]&gt;0),Tasks[[#This Row],[_Res3Work]]/(Tasks[[#This Row],[_FinishWorkday]]-Tasks[[#This Row],[_StartWorkday]]+1),0)</f>
        <v>0</v>
      </c>
      <c r="DY83" s="42" t="n">
        <f aca="false">Tasks[[#This Row],[_Res3WorkPerWD]]*MAX(0,Tasks[[#This Row],[_StartWorkday]]-1)</f>
        <v>0</v>
      </c>
      <c r="DZ83" s="42" t="n">
        <f aca="false">Tasks[[#This Row],[_Res3Work]]*Tasks[[#This Row],[_LeafProgress]]</f>
        <v>0</v>
      </c>
      <c r="EA83" s="42" t="str">
        <f aca="false">IF(Tasks[[#This Row],[_Res4Text]]="","",IF(Tasks[[#This Row],[_Res4Row]]&gt;0,INDEX(res_Name,Tasks[[#This Row],[_Res4Row]]),TRIM(LEFT(Tasks[[#This Row],[_Res4Text]],FIND("[",Tasks[[#This Row],[_Res4Text]]&amp;"[")-1))))</f>
        <v/>
      </c>
      <c r="EB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3" s="42" t="n">
        <f aca="false">IF(OR(NOT(Tasks[[#This Row],[_IsLeaf]]=1),Tasks[[#This Row],[_Res4Row]]=0),0,N(Tasks[[#This Row],[_Days]])*HoursPerDay*IF(Tasks[[#This Row],[_Res4Units]]="",DefaultUnits,Tasks[[#This Row],[_Res4Units]]))</f>
        <v>0</v>
      </c>
      <c r="ED83" s="42" t="n">
        <f aca="false">IF(AND(AND(Tasks[[#This Row],[_IsLeaf]]=1,Tasks[[#This Row],[_LeafTotalWork]]&gt;0),Tasks[[#This Row],[_Res4Work]]&gt;0),Tasks[[#This Row],[_Res4Work]]/(Tasks[[#This Row],[_FinishWorkday]]-Tasks[[#This Row],[_StartWorkday]]+1),0)</f>
        <v>0</v>
      </c>
      <c r="EE83" s="42" t="n">
        <f aca="false">Tasks[[#This Row],[_Res4WorkPerWD]]*MAX(0,Tasks[[#This Row],[_StartWorkday]]-1)</f>
        <v>0</v>
      </c>
      <c r="EF83" s="42" t="n">
        <f aca="false">Tasks[[#This Row],[_Res4Work]]*Tasks[[#This Row],[_LeafProgress]]</f>
        <v>0</v>
      </c>
      <c r="EG83" s="42" t="n">
        <f aca="false">IF(ISNUMBER(Tasks[[#This Row],[% Complete]]),Tasks[[#This Row],[% Complete]],IF(Tasks[[#This Row],[Stage]]="",0,IFERROR(INDEX(stg_Pct,MATCH(Tasks[[#This Row],[Stage]],stg_Name,0)),0)))</f>
        <v>0</v>
      </c>
      <c r="EH83" s="42" t="n">
        <f aca="false">IF(NOT(Tasks[[#This Row],[_IsLeaf]]=1),0,IF(N(Tasks[[#This Row],[Actual Finish]])&gt;0,1,MIN(1,Tasks[[#This Row],[_Pct]])))</f>
        <v>0</v>
      </c>
      <c r="EI83" s="42" t="n">
        <f aca="false">IF(OR(NOT(Tasks[[#This Row],[_IsLeaf]]=1),Tasks[[#This Row],[_Res1Row]]=0),0,N(Tasks[[#This Row],[_Days]])*HoursPerDay*IF(Tasks[[#This Row],[_Units1]]="",DefaultUnits,Tasks[[#This Row],[_Units1]]))</f>
        <v>0</v>
      </c>
      <c r="EJ83" s="42" t="n">
        <f aca="false">Tasks[[#This Row],[_LeafWork]]+Tasks[[#This Row],[_Res2Work]]+Tasks[[#This Row],[_Res3Work]]+Tasks[[#This Row],[_Res4Work]]</f>
        <v>0</v>
      </c>
      <c r="EK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3" s="42" t="n">
        <f aca="false">IF(NOT(Tasks[[#This Row],[_IsLeaf]]=1),0,MAX(_xlfn.MAXIFS(Tasks[_Row],Tasks[_Pred1UID],Tasks[[#This Row],[UID]]),_xlfn.MAXIFS(Tasks[_Row],Tasks[_Pred2UID],Tasks[[#This Row],[UID]]),_xlfn.MAXIFS(Tasks[_Row],Tasks[_Pred3UID],Tasks[[#This Row],[UID]]),_xlfn.MAXIFS(Tasks[_Row],Tasks[_Pred4UID],Tasks[[#This Row],[UID]])))</f>
        <v>0</v>
      </c>
      <c r="ET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3" s="89" t="str">
        <f aca="false">IF(NOT(Tasks[[#This Row],[_IsLeaf]]=1),"",IF(N(Tasks[[#This Row],[_Days]])&lt;=0,Tasks[[#This Row],[_LeafLateFinish]],WORKDAY.INTL(Tasks[[#This Row],[_LeafLateFinish]],-(Tasks[[#This Row],[_Days]]-1),WorkWeek,Holidays)))</f>
        <v/>
      </c>
      <c r="EW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3" s="88" t="b">
        <f aca="false">AND(Tasks[[#This Row],[_IsLeaf]]=1,Tasks[[#This Row],[_LeafProgress]]&lt;1,N(Tasks[[#This Row],[_LeafTotalSlack]])&lt;=CriticalSlackDays)</f>
        <v>0</v>
      </c>
      <c r="EY83" s="42" t="n">
        <f aca="false">IF(AND(Tasks[[#This Row],[_IsLeaf]]=1,Tasks[[#This Row],[_ConstraintCode]]=1,Tasks[[#This Row],[Mode]]&lt;&gt;"Manual",N(Tasks[[#This Row],[Actual Start]])=0),MAX(0,N(Tasks[[#This Row],[Free Slack]])),0)</f>
        <v>0</v>
      </c>
      <c r="EZ83" s="89" t="str">
        <f aca="false">IF(NOT(Tasks[[#This Row],[_IsLeaf]]=1),"",IF(Tasks[[#This Row],[_AlapShift]]=0,Tasks[[#This Row],[_LeafCalcStart]],WORKDAY.INTL(Tasks[[#This Row],[_LeafCalcStart]],Tasks[[#This Row],[_AlapShift]],WorkWeek,Holidays)))</f>
        <v/>
      </c>
      <c r="FA83" s="89" t="str">
        <f aca="false">IF(NOT(Tasks[[#This Row],[_IsLeaf]]=1),"",IF(Tasks[[#This Row],[_AlapShift]]=0,Tasks[[#This Row],[_LeafCalcFinish]],WORKDAY.INTL(Tasks[[#This Row],[_LeafCalcFinish]],Tasks[[#This Row],[_AlapShift]],WorkWeek,Holidays)))</f>
        <v/>
      </c>
      <c r="FB83" s="89" t="str">
        <f aca="false">IF(NOT(Tasks[[#This Row],[_IsLeaf]]=1),"",IF(Tasks[[#This Row],[_AlapShift]]=0,Tasks[[#This Row],[_LeafFcstStart]],WORKDAY.INTL(Tasks[[#This Row],[_LeafFcstStart]],Tasks[[#This Row],[_AlapShift]],WorkWeek,Holidays)))</f>
        <v/>
      </c>
      <c r="FC83" s="89" t="str">
        <f aca="false">IF(NOT(Tasks[[#This Row],[_IsLeaf]]=1),"",IF(Tasks[[#This Row],[_AlapShift]]=0,Tasks[[#This Row],[_LeafFcstFinish]],WORKDAY.INTL(Tasks[[#This Row],[_LeafFcstFinish]],Tasks[[#This Row],[_AlapShift]],WorkWeek,Holidays)))</f>
        <v/>
      </c>
      <c r="FD83" s="89" t="str">
        <f aca="false">IF(Tasks[[#This Row],[Task Name]]="","",IF(Tasks[[#This Row],[_IsSummary]],MIN(INDEX(Tasks[_ShownCalcStart],Tasks[[#This Row],[_Row]]+1):INDEX(Tasks[_ShownCalcStart],Tasks[[#This Row],[_Row]]+Tasks[[#This Row],[_Descendants]])),Tasks[[#This Row],[_ShownCalcStart]]))</f>
        <v/>
      </c>
      <c r="FE83" s="89" t="str">
        <f aca="false">IF(Tasks[[#This Row],[Task Name]]="","",IF(Tasks[[#This Row],[_IsSummary]],MAX(INDEX(Tasks[_ShownCalcFinish],Tasks[[#This Row],[_Row]]+1):INDEX(Tasks[_ShownCalcFinish],Tasks[[#This Row],[_Row]]+Tasks[[#This Row],[_Descendants]])),Tasks[[#This Row],[_ShownCalcFinish]]))</f>
        <v/>
      </c>
      <c r="FF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3" s="42" t="n">
        <f aca="false">IF(AND(Tasks[[#This Row],[_IsLeaf]]=1,Tasks[[#This Row],[_LeafTotalWork]]&gt;0),NETWORKDAYS.INTL(ProjectStart,Tasks[[#This Row],[_ShownFcstStart]],WorkWeek,Holidays),0)</f>
        <v>0</v>
      </c>
      <c r="FS83" s="42" t="n">
        <f aca="false">IF(AND(Tasks[[#This Row],[_IsLeaf]]=1,Tasks[[#This Row],[_LeafTotalWork]]&gt;0),MAX(Tasks[[#This Row],[_StartWorkday]],NETWORKDAYS.INTL(ProjectStart,Tasks[[#This Row],[_ShownFcstFinish]],WorkWeek,Holidays)),0)</f>
        <v>0</v>
      </c>
      <c r="FT83" s="42" t="n">
        <f aca="false">IF(AND(Tasks[[#This Row],[_IsLeaf]]=1,Tasks[[#This Row],[_LeafTotalWork]]&gt;0),Tasks[[#This Row],[_LeafWork]]/(Tasks[[#This Row],[_FinishWorkday]]-Tasks[[#This Row],[_StartWorkday]]+1),0)</f>
        <v>0</v>
      </c>
      <c r="FU83" s="42" t="n">
        <f aca="false">Tasks[[#This Row],[_WorkPerWorkday]]*(Tasks[[#This Row],[_StartWorkday]]-1)</f>
        <v>-0</v>
      </c>
      <c r="FV83" s="42" t="n">
        <f aca="false">IF(Tasks[[#This Row],[_IsLeaf]]=1,MAX(N(Tasks[[#This Row],[_Days]]),0.1),0)</f>
        <v>0</v>
      </c>
      <c r="FW83" s="42" t="n">
        <f aca="false">Tasks[[#This Row],[_WeightDur]]*Tasks[[#This Row],[_LeafProgress]]</f>
        <v>0</v>
      </c>
      <c r="FX83" s="42" t="n">
        <f aca="false">Tasks[[#This Row],[_WeightDur]]*Tasks[[#This Row],[_PlannedPct]]</f>
        <v>0</v>
      </c>
      <c r="FY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3" s="42" t="str">
        <f aca="false">IF(AND(Tasks[[#This Row],[_IsLeaf]]=1,N(Tasks[[#This Row],[_Days]])=0,Tasks[[#This Row],[_LeafProgress]]&lt;1),Tasks[[#This Row],[_ShownFcstFinish]]+Tasks[[#This Row],[_Row]]/100000,"")</f>
        <v/>
      </c>
      <c r="GA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3" s="42" t="str">
        <f aca="false">IF(Tasks[[#This Row],[Task Name]]="","",LEFT(Tasks[[#This Row],[WBS]],FIND(".",Tasks[[#This Row],[WBS]]&amp;".")-1))</f>
        <v/>
      </c>
      <c r="GC83" s="42" t="str">
        <f aca="false">IF(AND(Tasks[[#This Row],[Task Name]]&lt;&gt;"",Tasks[[#This Row],[_Level]]=1),Tasks[[#This Row],[_Row]],"")</f>
        <v/>
      </c>
      <c r="GD83" s="42" t="str">
        <f aca="false">IF(AND(Tasks[[#This Row],[_IsLeaf]]=1,N(Tasks[[#This Row],[_Days]])=0),Tasks[[#This Row],[Planned Finish]]+Tasks[[#This Row],[_Row]]/100000,"")</f>
        <v/>
      </c>
      <c r="GE83" s="42" t="str">
        <f aca="false">IF(AND(Tasks[[#This Row],[_IsLeaf]]=1,Tasks[[#This Row],[_LeafProgress]]&lt;1,OR(N(Tasks[[#This Row],[Finish Var]])&gt;0,Tasks[[#This Row],[Status]]="Late Start")),MAX(0,Tasks[[#This Row],[Finish Var]])+1-Tasks[[#This Row],[_Row]]/1000000,"")</f>
        <v/>
      </c>
      <c r="GF83" s="42" t="str">
        <f aca="false">IF(AND(Tasks[[#This Row],[_IsLeaf]]=1,N(Tasks[[#This Row],[Actual Start]])=0,Tasks[[#This Row],[_ShownFcstStart]]&gt;=StatusDate,Tasks[[#This Row],[_ShownFcstStart]]&lt;=LookaheadEnd),Tasks[[#This Row],[_ShownFcstStart]]+Tasks[[#This Row],[_Row]]/100000,"")</f>
        <v/>
      </c>
      <c r="GG83" s="42" t="str">
        <f aca="false">IF(AND(Tasks[[#This Row],[_IsLeaf]]=1,Tasks[[#This Row],[_LeafProgress]]&lt;1,Tasks[[#This Row],[_ShownFcstFinish]]&gt;=StatusDate,Tasks[[#This Row],[_ShownFcstFinish]]&lt;=LookaheadEnd),Tasks[[#This Row],[_ShownFcstFinish]]+Tasks[[#This Row],[_Row]]/100000,"")</f>
        <v/>
      </c>
      <c r="GH83" s="42" t="str">
        <f aca="false">IF(Tasks[[#This Row],[_LeafCritical]],Tasks[[#This Row],[_ShownFcstStart]]+Tasks[[#This Row],[_Row]]/100000,"")</f>
        <v/>
      </c>
      <c r="GI83" s="42" t="n">
        <f aca="false">Tasks[[#This Row],[_LeafWork]]*Tasks[[#This Row],[_LeafProgress]]</f>
        <v>0</v>
      </c>
      <c r="GJ83" s="89" t="str">
        <f aca="false">IF(AND(Tasks[[#This Row],[_IsLeaf]]=1,Tasks[[#This Row],[_LeafProgress]]&gt;=1),IF(N(Tasks[[#This Row],[Actual Finish]])&gt;0,Tasks[[#This Row],[Actual Finish]],Tasks[[#This Row],[_ShownFcstFinish]]),"")</f>
        <v/>
      </c>
      <c r="GK83" s="42" t="n">
        <f aca="false">IF(Tasks[[#This Row],[_IsLeaf]]=1,N(Tasks[[#This Row],[Story Points]]),0)</f>
        <v>0</v>
      </c>
      <c r="GL83" s="42" t="str">
        <f aca="false">""</f>
        <v/>
      </c>
      <c r="GM83" s="88" t="b">
        <f aca="false">IF(Tasks[[#This Row],[Task Name]]="",FALSE(),AND(Tasks[[#This Row],[_IsLeaf]]=1,N(Tasks[[#This Row],[_Days]])=0))</f>
        <v>0</v>
      </c>
      <c r="GN83" s="89" t="n">
        <f aca="false">IF(Tasks[[#This Row],[Task Name]]="",0,IF(AND(Tasks[[#This Row],[_IsLeaf]]=1,NOT(Tasks[[#This Row],[_IsMilestone]]),N(Tasks[[#This Row],[Progress]])&gt;0),Tasks[[#This Row],[Start]],0))</f>
        <v>0</v>
      </c>
      <c r="GO83" s="89" t="n">
        <f aca="false">IF(Tasks[[#This Row],[_DoneFrom]]=0,0,IF(Tasks[[#This Row],[Progress]]&gt;=1,Tasks[[#This Row],[Finish]],MAX(Tasks[[#This Row],[_DoneFrom]],Tasks[[#This Row],[Start]]+ROUND((Tasks[[#This Row],[Finish]]-Tasks[[#This Row],[Start]]+1)*Tasks[[#This Row],[Progress]],0)-1)))</f>
        <v>0</v>
      </c>
      <c r="GP83" s="89" t="n">
        <f aca="false">IF(Tasks[[#This Row],[Task Name]]="",0,IF(OR(NOT(Tasks[[#This Row],[_IsLeaf]]=1),Tasks[[#This Row],[_IsMilestone]],N(Tasks[[#This Row],[Progress]])&gt;=1),0,IF(Tasks[[#This Row],[_DoneTo]]&gt;0,Tasks[[#This Row],[_DoneTo]]+1,Tasks[[#This Row],[Start]])))</f>
        <v>0</v>
      </c>
      <c r="GQ83" s="89" t="n">
        <f aca="false">IF(Tasks[[#This Row],[_RemFrom]]=0,0,Tasks[[#This Row],[Finish]])</f>
        <v>0</v>
      </c>
      <c r="GR83" s="88" t="b">
        <f aca="false">IF(Tasks[[#This Row],[Task Name]]="",FALSE(),OR(NOT(BaselineSet),N(Tasks[[#This Row],[Baseline Start]])&gt;0))</f>
        <v>0</v>
      </c>
      <c r="GS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3" s="90" t="str">
        <f aca="false">IF(Tasks[[#This Row],[_IsLeaf]]=1,Tasks[[#This Row],[_Row]],"")</f>
        <v/>
      </c>
      <c r="GW83" s="90" t="str">
        <f aca="false">IFERROR(INDEX(Tasks[UID],SMALL(Tasks[_PickKey],Tasks[[#This Row],[_Row]]))&amp;" "&amp;INDEX(Tasks[Task Name],SMALL(Tasks[_PickKey],Tasks[[#This Row],[_Row]])),"")</f>
        <v/>
      </c>
      <c r="GX83" s="42" t="str">
        <f aca="false">IF(Tasks[[#This Row],[Task Name]]="","",IF(Tasks[[#This Row],[_IsSummary]],NETWORKDAYS.INTL(Tasks[[#This Row],[Start]],Tasks[[#This Row],[Finish]],WorkWeek,Holidays),N(Tasks[[#This Row],[_Days]])))</f>
        <v/>
      </c>
    </row>
    <row r="84" customFormat="false" ht="15" hidden="false" customHeight="false" outlineLevel="0" collapsed="false">
      <c r="A84" s="21" t="str">
        <f aca="false">IF(Tasks[[#This Row],[Task Name]]="","",COUNTA(Tasks[[#Headers],[Task Name]]:Tasks[[#This Row],[Task Name]])-1)</f>
        <v/>
      </c>
      <c r="B84" s="22" t="n">
        <v>92</v>
      </c>
      <c r="C84" s="22"/>
      <c r="D84" s="23"/>
      <c r="E84" s="22"/>
      <c r="F84" s="23"/>
      <c r="G84" s="22"/>
      <c r="H84" s="22"/>
      <c r="I84" s="23"/>
      <c r="J84" s="22"/>
      <c r="K84" s="22"/>
      <c r="L84" s="23"/>
      <c r="M84" s="22"/>
      <c r="N84" s="22"/>
      <c r="O84" s="23"/>
      <c r="P84" s="22"/>
      <c r="Q84" s="22"/>
      <c r="R84" s="23"/>
      <c r="S84" s="23"/>
      <c r="T84" s="83"/>
      <c r="U84" s="23"/>
      <c r="V84" s="83"/>
      <c r="W84" s="23"/>
      <c r="X84" s="83"/>
      <c r="Y84" s="23"/>
      <c r="Z84" s="83"/>
      <c r="AA84" s="23"/>
      <c r="AB84" s="23"/>
      <c r="AC84" s="7"/>
      <c r="AD84" s="7"/>
      <c r="AE84" s="62" t="str">
        <f aca="false">IF(Tasks[[#This Row],[Task Name]]="","",IF(Tasks[[#This Row],[_IsSummary]],MIN(INDEX(Tasks[_ShownFcstStart],Tasks[[#This Row],[_Row]]+1):INDEX(Tasks[_ShownFcstStart],Tasks[[#This Row],[_Row]]+Tasks[[#This Row],[_Descendants]])),Tasks[[#This Row],[_ShownFcstStart]]))</f>
        <v/>
      </c>
      <c r="AF84" s="62" t="str">
        <f aca="false">IF(Tasks[[#This Row],[Task Name]]="","",IF(Tasks[[#This Row],[_IsSummary]],MAX(INDEX(Tasks[_ShownFcstFinish],Tasks[[#This Row],[_Row]]+1):INDEX(Tasks[_ShownFcstFinish],Tasks[[#This Row],[_Row]]+Tasks[[#This Row],[_Descendants]])),Tasks[[#This Row],[_ShownFcstFinish]]))</f>
        <v/>
      </c>
      <c r="AG84" s="21" t="str">
        <f aca="false">""</f>
        <v/>
      </c>
      <c r="AH84" s="23"/>
      <c r="AI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4" s="7"/>
      <c r="AK84" s="22"/>
      <c r="AL84" s="23"/>
      <c r="AM84" s="7"/>
      <c r="AN84" s="46" t="str">
        <f aca="false">IF(Tasks[[#This Row],[Task Name]]="","",IF(Tasks[[#This Row],[Finish]]&gt;=Tasks[[#This Row],[Planned Finish]],NETWORKDAYS.INTL(Tasks[[#This Row],[Planned Finish]],Tasks[[#This Row],[Finish]],WorkWeek,Holidays)-1,1-NETWORKDAYS.INTL(Tasks[[#This Row],[Finish]],Tasks[[#This Row],[Planned Finish]],WorkWeek,Holidays)))</f>
        <v/>
      </c>
      <c r="AO84" s="21" t="str">
        <f aca="false">IF(Tasks[[#This Row],[Task Name]]="","",IF(Tasks[[#This Row],[Progress]]&gt;=1,"Complete",IF(OR(N(Tasks[[#This Row],[Actual Start]])&gt;0,Tasks[[#This Row],[Progress]]&gt;0),IF(Tasks[[#This Row],[Finish Var]]&gt;0,"Behind","In Progress"),IF(Tasks[[#This Row],[Planned Start]]&lt;StatusDate,"Late Start","Not Started"))))</f>
        <v/>
      </c>
      <c r="AP84" s="21" t="str">
        <f aca="false">IF(Tasks[[#This Row],[Task Name]]="","",IF(IF(Tasks[[#This Row],[_IsSummary]],COUNTIF(INDEX(Tasks[_LeafCritical],Tasks[[#This Row],[_Row]]+1):INDEX(Tasks[_LeafCritical],Tasks[[#This Row],[_Row]]+Tasks[[#This Row],[_Descendants]]),TRUE())&gt;0,Tasks[[#This Row],[_LeafCritical]]),"Yes",""))</f>
        <v/>
      </c>
      <c r="AQ84" s="62" t="str">
        <f aca="false">IF(Tasks[[#This Row],[Task Name]]="","",IF(N(Tasks[[#This Row],[Baseline Start]])&gt;0,Tasks[[#This Row],[Baseline Start]],Tasks[[#This Row],[_CalcStart]]))</f>
        <v/>
      </c>
      <c r="AR84" s="62" t="str">
        <f aca="false">IF(Tasks[[#This Row],[Task Name]]="","",IF(N(Tasks[[#This Row],[Baseline Finish]])&gt;0,Tasks[[#This Row],[Baseline Finish]],Tasks[[#This Row],[_CalcFinish]]))</f>
        <v/>
      </c>
      <c r="AS84" s="46" t="str">
        <f aca="false">IF(Tasks[[#This Row],[Task Name]]="","",IF(Tasks[[#This Row],[Start]]&gt;=Tasks[[#This Row],[Planned Start]],NETWORKDAYS.INTL(Tasks[[#This Row],[Planned Start]],Tasks[[#This Row],[Start]],WorkWeek,Holidays)-1,1-NETWORKDAYS.INTL(Tasks[[#This Row],[Start]],Tasks[[#This Row],[Planned Start]],WorkWeek,Holidays)))</f>
        <v/>
      </c>
      <c r="AT84" s="62" t="str">
        <f aca="false">IF(Tasks[[#This Row],[Task Name]]="","",IF(Tasks[[#This Row],[_IsSummary]],MIN(INDEX(Tasks[_LeafLateStart],Tasks[[#This Row],[_Row]]+1):INDEX(Tasks[_LeafLateStart],Tasks[[#This Row],[_Row]]+Tasks[[#This Row],[_Descendants]])),Tasks[[#This Row],[_LeafLateStart]]))</f>
        <v/>
      </c>
      <c r="AU84" s="62" t="str">
        <f aca="false">IF(Tasks[[#This Row],[Task Name]]="","",IF(Tasks[[#This Row],[_IsSummary]],MAX(INDEX(Tasks[_LeafLateFinish],Tasks[[#This Row],[_Row]]+1):INDEX(Tasks[_LeafLateFinish],Tasks[[#This Row],[_Row]]+Tasks[[#This Row],[_Descendants]])),Tasks[[#This Row],[_LeafLateFinish]]))</f>
        <v/>
      </c>
      <c r="AV84" s="46" t="str">
        <f aca="false">IF(Tasks[[#This Row],[Task Name]]="","",IF(Tasks[[#This Row],[_IsSummary]],MIN(INDEX(Tasks[_LeafTotalSlack],Tasks[[#This Row],[_Row]]+1):INDEX(Tasks[_LeafTotalSlack],Tasks[[#This Row],[_Row]]+Tasks[[#This Row],[_Descendants]])),Tasks[[#This Row],[_LeafTotalSlack]]))</f>
        <v/>
      </c>
      <c r="AW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4"/>
      <c r="BA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t="str">
        <f aca="false">IF(Tasks[[#This Row],[Task Name]]="","",IF(Tasks[[#This Row],[_Level]]&lt;=OutlineShowLevel,"Yes","No"))</f>
        <v/>
      </c>
      <c r="BE84" s="85" t="str">
        <f aca="false">IF(Tasks[[#This Row],[Task Name]]="","",IF(Tasks[[#This Row],[_IsSummary]],SUM(INDEX(Tasks[_LeafTotalWork],Tasks[[#This Row],[_Row]]+1):INDEX(Tasks[_LeafTotalWork],Tasks[[#This Row],[_Row]]+Tasks[[#This Row],[_Descendants]])),Tasks[[#This Row],[_LeafTotalWork]]))</f>
        <v/>
      </c>
      <c r="BF84" s="23"/>
      <c r="BG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t="str">
        <f aca="false">""</f>
        <v/>
      </c>
      <c r="BI84" s="86"/>
      <c r="BJ84" s="22"/>
      <c r="BK84" s="46" t="str">
        <f aca="false">IF(OR(Tasks[[#This Row],[Task Name]]="",Tasks[[#This Row],[Baseline Duration]]=""),"",Tasks[[#This Row],[_SpanDays]]-N(Tasks[[#This Row],[Baseline Duration]]))</f>
        <v/>
      </c>
      <c r="BL84" s="85" t="str">
        <f aca="false">IF(OR(Tasks[[#This Row],[Task Name]]="",Tasks[[#This Row],[Baseline Work]]=""),"",Tasks[[#This Row],[Work]]-N(Tasks[[#This Row],[Baseline Work]]))</f>
        <v/>
      </c>
      <c r="BM84" s="62" t="str">
        <f aca="false">IF(Tasks[[#This Row],[Task Name]]="","",IF(OR(TakeBaseline="Yes",N(Tasks[[#This Row],[Baseline Start]])=0),Tasks[[#This Row],[Start]],Tasks[[#This Row],[Baseline Start]]))</f>
        <v/>
      </c>
      <c r="BN84" s="62" t="str">
        <f aca="false">IF(Tasks[[#This Row],[Task Name]]="","",IF(OR(TakeBaseline="Yes",N(Tasks[[#This Row],[Baseline Finish]])=0),Tasks[[#This Row],[Finish]],Tasks[[#This Row],[Baseline Finish]]))</f>
        <v/>
      </c>
      <c r="BO84" s="21" t="str">
        <f aca="false">IF(Tasks[[#This Row],[Task Name]]="","",IF(OR(TakeBaseline="Yes",N(Tasks[[#This Row],[Baseline Duration]])=0),Tasks[[#This Row],[_SpanDays]],Tasks[[#This Row],[Baseline Duration]]))</f>
        <v/>
      </c>
      <c r="BP84" s="85" t="str">
        <f aca="false">IF(Tasks[[#This Row],[Task Name]]="","",IF(OR(TakeBaseline="Yes",N(Tasks[[#This Row],[Baseline Work]])=0),Tasks[[#This Row],[Work]],Tasks[[#This Row],[Baseline Work]]))</f>
        <v/>
      </c>
      <c r="BQ84" s="7"/>
      <c r="BR84" s="7"/>
      <c r="BS84" s="22"/>
      <c r="BT84" s="87"/>
      <c r="BU84" s="42" t="str">
        <f aca="false">IF(Tasks[[#This Row],[Task Name]]="","",MAX(1,N(Tasks[[#This Row],[Level]])))</f>
        <v/>
      </c>
      <c r="BV84" s="42" t="n">
        <f aca="false">ROW()-ROW(Tasks[[#Headers],[ID]])</f>
        <v>79</v>
      </c>
      <c r="BW84" s="42" t="n">
        <f aca="false">IF(OR(Tasks[[#This Row],[Task Name]]="",Tasks[[#This Row],[_Level]]&lt;=1),0,IFERROR(LOOKUP(2,1/(Tasks[[#Headers],[_Level]]:Tasks[[#This Row],[_Level]]=Tasks[[#This Row],[_Level]]-1),ROW(Tasks[[#Headers],[_Level]]:Tasks[[#This Row],[_Level]])),0))</f>
        <v>0</v>
      </c>
      <c r="BX84" s="42" t="n">
        <f aca="false">IFERROR(N(INDEX(Tasks[_Level],Tasks[[#This Row],[_Row]]+1)),0)</f>
        <v>0</v>
      </c>
      <c r="BY84" s="88" t="b">
        <f aca="false">AND(Tasks[[#This Row],[Task Name]]&lt;&gt;"",Tasks[[#This Row],[_NextLevel]]&gt;Tasks[[#This Row],[_Level]])</f>
        <v>0</v>
      </c>
      <c r="BZ84" s="42" t="n">
        <f aca="false">IF(Tasks[[#This Row],[_IsSummary]],COUNTIF(Tasks[WBS],Tasks[[#This Row],[WBS]]&amp;".*"),0)</f>
        <v>0</v>
      </c>
      <c r="CA84" s="42" t="n">
        <f aca="false">IF(AND(Tasks[[#This Row],[Task Name]]&lt;&gt;"",NOT(Tasks[[#This Row],[_IsSummary]])),1,0)</f>
        <v>0</v>
      </c>
      <c r="CB84" s="42" t="n">
        <f aca="false">IF(N(Tasks[[#This Row],[_Pred1UID]])=0,0,IFERROR(MATCH(Tasks[[#This Row],[_Pred1UID]],Tasks[UID],0),-1))</f>
        <v>0</v>
      </c>
      <c r="CC84" s="42" t="n">
        <f aca="false">IF(N(Tasks[[#This Row],[_Pred2UID]])=0,0,IFERROR(MATCH(Tasks[[#This Row],[_Pred2UID]],Tasks[UID],0),-1))</f>
        <v>0</v>
      </c>
      <c r="CD84" s="42" t="n">
        <f aca="false">IF(N(Tasks[[#This Row],[_Pred3UID]])=0,0,IFERROR(MATCH(Tasks[[#This Row],[_Pred3UID]],Tasks[UID],0),-1))</f>
        <v>0</v>
      </c>
      <c r="CE84" s="42" t="n">
        <f aca="false">IF(N(Tasks[[#This Row],[_Pred4UID]])=0,0,IFERROR(MATCH(Tasks[[#This Row],[_Pred4UID]],Tasks[UID],0),-1))</f>
        <v>0</v>
      </c>
      <c r="CF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4" s="89" t="n">
        <f aca="false">IF(OR(Tasks[[#This Row],[_ConstraintCode]]=2,Tasks[[#This Row],[_ConstraintCode]]=3,Tasks[[#This Row],[_ConstraintCode]]=4,Tasks[[#This Row],[_ConstraintCode]]=6),Tasks[[#This Row],[_ConstraintStart]],0)</f>
        <v>0</v>
      </c>
      <c r="CI84" s="89" t="n">
        <f aca="false">IF(OR(Tasks[[#This Row],[_ConstraintCode]]=2,Tasks[[#This Row],[_ConstraintCode]]=3,Tasks[[#This Row],[_ConstraintCode]]=5,Tasks[[#This Row],[_ConstraintCode]]=7),Tasks[[#This Row],[_ConstraintStart]],2958465)</f>
        <v>2958465</v>
      </c>
      <c r="CJ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4" s="89" t="str">
        <f aca="false">IF(NOT(Tasks[[#This Row],[_IsLeaf]]=1),"",IF(N(Tasks[[#This Row],[_Days]])&lt;=0,Tasks[[#This Row],[_LeafCalcStart]],WORKDAY.INTL(Tasks[[#This Row],[_LeafCalcStart]],Tasks[[#This Row],[_Days]]-1,WorkWeek,Holidays)))</f>
        <v/>
      </c>
      <c r="CL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4" s="42" t="str">
        <f aca="false">IF(Tasks[[#This Row],[_Predecessors]]="","",TRIM(MID(SUBSTITUTE(SUBSTITUTE(SUBSTITUTE(UPPER(Tasks[[#This Row],[_Predecessors]]),";",",")," ",""),",",REPT(" ",99)),1,99)))</f>
        <v/>
      </c>
      <c r="CO84" s="42" t="str">
        <f aca="false">IF(Tasks[[#This Row],[_Pred1Text]]="","",IFERROR(VALUE(LEFT(Tasks[[#This Row],[_Pred1Text]],MIN(FIND("F",Tasks[[#This Row],[_Pred1Text]]&amp;"F"),FIND("S",Tasks[[#This Row],[_Pred1Text]]&amp;"S"),FIND("+",Tasks[[#This Row],[_Pred1Text]]&amp;"+"),FIND("-",Tasks[[#This Row],[_Pred1Text]]&amp;"-"))-1)),""))</f>
        <v/>
      </c>
      <c r="CP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4" s="42" t="str">
        <f aca="false">IF(Tasks[[#This Row],[_Pred1Text]]="","",TRIM(MID(SUBSTITUTE(SUBSTITUTE(SUBSTITUTE(UPPER(Tasks[[#This Row],[_Predecessors]]),";",",")," ",""),",",REPT(" ",99)),100,99)))</f>
        <v/>
      </c>
      <c r="CS84" s="42" t="str">
        <f aca="false">IF(Tasks[[#This Row],[_Pred2Text]]="","",IFERROR(VALUE(LEFT(Tasks[[#This Row],[_Pred2Text]],MIN(FIND("F",Tasks[[#This Row],[_Pred2Text]]&amp;"F"),FIND("S",Tasks[[#This Row],[_Pred2Text]]&amp;"S"),FIND("+",Tasks[[#This Row],[_Pred2Text]]&amp;"+"),FIND("-",Tasks[[#This Row],[_Pred2Text]]&amp;"-"))-1)),""))</f>
        <v/>
      </c>
      <c r="CT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4" s="42" t="str">
        <f aca="false">IF(Tasks[[#This Row],[_Pred2Text]]="","",TRIM(MID(SUBSTITUTE(SUBSTITUTE(SUBSTITUTE(UPPER(Tasks[[#This Row],[_Predecessors]]),";",",")," ",""),",",REPT(" ",99)),199,99)))</f>
        <v/>
      </c>
      <c r="CW84" s="42" t="str">
        <f aca="false">IF(Tasks[[#This Row],[_Pred3Text]]="","",IFERROR(VALUE(LEFT(Tasks[[#This Row],[_Pred3Text]],MIN(FIND("F",Tasks[[#This Row],[_Pred3Text]]&amp;"F"),FIND("S",Tasks[[#This Row],[_Pred3Text]]&amp;"S"),FIND("+",Tasks[[#This Row],[_Pred3Text]]&amp;"+"),FIND("-",Tasks[[#This Row],[_Pred3Text]]&amp;"-"))-1)),""))</f>
        <v/>
      </c>
      <c r="CX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4" s="42" t="str">
        <f aca="false">IF(Tasks[[#This Row],[_Pred3Text]]="","",TRIM(MID(SUBSTITUTE(SUBSTITUTE(SUBSTITUTE(UPPER(Tasks[[#This Row],[_Predecessors]]),";",",")," ",""),",",REPT(" ",99)),298,99)))</f>
        <v/>
      </c>
      <c r="DA84" s="42" t="str">
        <f aca="false">IF(Tasks[[#This Row],[_Pred4Text]]="","",IFERROR(VALUE(LEFT(Tasks[[#This Row],[_Pred4Text]],MIN(FIND("F",Tasks[[#This Row],[_Pred4Text]]&amp;"F"),FIND("S",Tasks[[#This Row],[_Pred4Text]]&amp;"S"),FIND("+",Tasks[[#This Row],[_Pred4Text]]&amp;"+"),FIND("-",Tasks[[#This Row],[_Pred4Text]]&amp;"-"))-1)),""))</f>
        <v/>
      </c>
      <c r="DB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4" s="42" t="str">
        <f aca="false">IF(OR(Tasks[[#This Row],[Task Name]]="",Tasks[[#This Row],[_Resources]]=""),"",TRIM(MID(SUBSTITUTE(Tasks[[#This Row],[_Resources]],",",REPT(" ",99)),1,99)))</f>
        <v/>
      </c>
      <c r="DE84" s="42" t="str">
        <f aca="false">IF(Tasks[[#This Row],[_Res1Text]]="","",TRIM(MID(SUBSTITUTE(Tasks[[#This Row],[_Resources]],",",REPT(" ",99)),100,99)))</f>
        <v/>
      </c>
      <c r="DF84" s="42" t="str">
        <f aca="false">IF(Tasks[[#This Row],[_Res2Text]]="","",TRIM(MID(SUBSTITUTE(Tasks[[#This Row],[_Resources]],",",REPT(" ",99)),199,99)))</f>
        <v/>
      </c>
      <c r="DG84" s="42" t="str">
        <f aca="false">IF(Tasks[[#This Row],[_Res3Text]]="","",TRIM(MID(SUBSTITUTE(Tasks[[#This Row],[_Resources]],",",REPT(" ",99)),298,99)))</f>
        <v/>
      </c>
      <c r="DH84" s="42" t="n">
        <f aca="false">IF(Tasks[[#This Row],[_Res1Text]]="",0,IFERROR(MATCH(TRIM(LEFT(Tasks[[#This Row],[_Res1Text]],FIND("[",Tasks[[#This Row],[_Res1Text]]&amp;"[")-1)),res_Name,0),IFERROR(MATCH(TRIM(LEFT(Tasks[[#This Row],[_Res1Text]],FIND("[",Tasks[[#This Row],[_Res1Text]]&amp;"[")-1)),res_Initials,0),0)))</f>
        <v>0</v>
      </c>
      <c r="DI84" s="42" t="n">
        <f aca="false">IF(Tasks[[#This Row],[_Res2Text]]="",0,IFERROR(MATCH(TRIM(LEFT(Tasks[[#This Row],[_Res2Text]],FIND("[",Tasks[[#This Row],[_Res2Text]]&amp;"[")-1)),res_Name,0),IFERROR(MATCH(TRIM(LEFT(Tasks[[#This Row],[_Res2Text]],FIND("[",Tasks[[#This Row],[_Res2Text]]&amp;"[")-1)),res_Initials,0),0)))</f>
        <v>0</v>
      </c>
      <c r="DJ84" s="42" t="n">
        <f aca="false">IF(Tasks[[#This Row],[_Res3Text]]="",0,IFERROR(MATCH(TRIM(LEFT(Tasks[[#This Row],[_Res3Text]],FIND("[",Tasks[[#This Row],[_Res3Text]]&amp;"[")-1)),res_Name,0),IFERROR(MATCH(TRIM(LEFT(Tasks[[#This Row],[_Res3Text]],FIND("[",Tasks[[#This Row],[_Res3Text]]&amp;"[")-1)),res_Initials,0),0)))</f>
        <v>0</v>
      </c>
      <c r="DK84" s="42" t="n">
        <f aca="false">IF(Tasks[[#This Row],[_Res4Text]]="",0,IFERROR(MATCH(TRIM(LEFT(Tasks[[#This Row],[_Res4Text]],FIND("[",Tasks[[#This Row],[_Res4Text]]&amp;"[")-1)),res_Name,0),IFERROR(MATCH(TRIM(LEFT(Tasks[[#This Row],[_Res4Text]],FIND("[",Tasks[[#This Row],[_Res4Text]]&amp;"[")-1)),res_Initials,0),0)))</f>
        <v>0</v>
      </c>
      <c r="DL84" s="42" t="str">
        <f aca="false">IF(Tasks[[#This Row],[_Res1Text]]="","",IF(Tasks[[#This Row],[_Res1Row]]&gt;0,INDEX(res_Name,Tasks[[#This Row],[_Res1Row]]),TRIM(LEFT(Tasks[[#This Row],[_Res1Text]],FIND("[",Tasks[[#This Row],[_Res1Text]]&amp;"[")-1))))</f>
        <v/>
      </c>
      <c r="DM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4" s="42" t="n">
        <f aca="false">IF(NOT(Tasks[[#This Row],[_IsLeaf]]=1),0,(Tasks[[#This Row],[_Resource1]]&lt;&gt;"")+(Tasks[[#This Row],[_Res2]]&lt;&gt;"")+(Tasks[[#This Row],[_Res3]]&lt;&gt;"")+(Tasks[[#This Row],[_Res4]]&lt;&gt;""))</f>
        <v>0</v>
      </c>
      <c r="DO84" s="42" t="str">
        <f aca="false">IF(Tasks[[#This Row],[_Res2Text]]="","",IF(Tasks[[#This Row],[_Res2Row]]&gt;0,INDEX(res_Name,Tasks[[#This Row],[_Res2Row]]),TRIM(LEFT(Tasks[[#This Row],[_Res2Text]],FIND("[",Tasks[[#This Row],[_Res2Text]]&amp;"[")-1))))</f>
        <v/>
      </c>
      <c r="DP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4" s="42" t="n">
        <f aca="false">IF(OR(NOT(Tasks[[#This Row],[_IsLeaf]]=1),Tasks[[#This Row],[_Res2Row]]=0),0,N(Tasks[[#This Row],[_Days]])*HoursPerDay*IF(Tasks[[#This Row],[_Res2Units]]="",DefaultUnits,Tasks[[#This Row],[_Res2Units]]))</f>
        <v>0</v>
      </c>
      <c r="DR84" s="42" t="n">
        <f aca="false">IF(AND(AND(Tasks[[#This Row],[_IsLeaf]]=1,Tasks[[#This Row],[_LeafTotalWork]]&gt;0),Tasks[[#This Row],[_Res2Work]]&gt;0),Tasks[[#This Row],[_Res2Work]]/(Tasks[[#This Row],[_FinishWorkday]]-Tasks[[#This Row],[_StartWorkday]]+1),0)</f>
        <v>0</v>
      </c>
      <c r="DS84" s="42" t="n">
        <f aca="false">Tasks[[#This Row],[_Res2WorkPerWD]]*MAX(0,Tasks[[#This Row],[_StartWorkday]]-1)</f>
        <v>0</v>
      </c>
      <c r="DT84" s="42" t="n">
        <f aca="false">Tasks[[#This Row],[_Res2Work]]*Tasks[[#This Row],[_LeafProgress]]</f>
        <v>0</v>
      </c>
      <c r="DU84" s="42" t="str">
        <f aca="false">IF(Tasks[[#This Row],[_Res3Text]]="","",IF(Tasks[[#This Row],[_Res3Row]]&gt;0,INDEX(res_Name,Tasks[[#This Row],[_Res3Row]]),TRIM(LEFT(Tasks[[#This Row],[_Res3Text]],FIND("[",Tasks[[#This Row],[_Res3Text]]&amp;"[")-1))))</f>
        <v/>
      </c>
      <c r="DV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4" s="42" t="n">
        <f aca="false">IF(OR(NOT(Tasks[[#This Row],[_IsLeaf]]=1),Tasks[[#This Row],[_Res3Row]]=0),0,N(Tasks[[#This Row],[_Days]])*HoursPerDay*IF(Tasks[[#This Row],[_Res3Units]]="",DefaultUnits,Tasks[[#This Row],[_Res3Units]]))</f>
        <v>0</v>
      </c>
      <c r="DX84" s="42" t="n">
        <f aca="false">IF(AND(AND(Tasks[[#This Row],[_IsLeaf]]=1,Tasks[[#This Row],[_LeafTotalWork]]&gt;0),Tasks[[#This Row],[_Res3Work]]&gt;0),Tasks[[#This Row],[_Res3Work]]/(Tasks[[#This Row],[_FinishWorkday]]-Tasks[[#This Row],[_StartWorkday]]+1),0)</f>
        <v>0</v>
      </c>
      <c r="DY84" s="42" t="n">
        <f aca="false">Tasks[[#This Row],[_Res3WorkPerWD]]*MAX(0,Tasks[[#This Row],[_StartWorkday]]-1)</f>
        <v>0</v>
      </c>
      <c r="DZ84" s="42" t="n">
        <f aca="false">Tasks[[#This Row],[_Res3Work]]*Tasks[[#This Row],[_LeafProgress]]</f>
        <v>0</v>
      </c>
      <c r="EA84" s="42" t="str">
        <f aca="false">IF(Tasks[[#This Row],[_Res4Text]]="","",IF(Tasks[[#This Row],[_Res4Row]]&gt;0,INDEX(res_Name,Tasks[[#This Row],[_Res4Row]]),TRIM(LEFT(Tasks[[#This Row],[_Res4Text]],FIND("[",Tasks[[#This Row],[_Res4Text]]&amp;"[")-1))))</f>
        <v/>
      </c>
      <c r="EB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4" s="42" t="n">
        <f aca="false">IF(OR(NOT(Tasks[[#This Row],[_IsLeaf]]=1),Tasks[[#This Row],[_Res4Row]]=0),0,N(Tasks[[#This Row],[_Days]])*HoursPerDay*IF(Tasks[[#This Row],[_Res4Units]]="",DefaultUnits,Tasks[[#This Row],[_Res4Units]]))</f>
        <v>0</v>
      </c>
      <c r="ED84" s="42" t="n">
        <f aca="false">IF(AND(AND(Tasks[[#This Row],[_IsLeaf]]=1,Tasks[[#This Row],[_LeafTotalWork]]&gt;0),Tasks[[#This Row],[_Res4Work]]&gt;0),Tasks[[#This Row],[_Res4Work]]/(Tasks[[#This Row],[_FinishWorkday]]-Tasks[[#This Row],[_StartWorkday]]+1),0)</f>
        <v>0</v>
      </c>
      <c r="EE84" s="42" t="n">
        <f aca="false">Tasks[[#This Row],[_Res4WorkPerWD]]*MAX(0,Tasks[[#This Row],[_StartWorkday]]-1)</f>
        <v>0</v>
      </c>
      <c r="EF84" s="42" t="n">
        <f aca="false">Tasks[[#This Row],[_Res4Work]]*Tasks[[#This Row],[_LeafProgress]]</f>
        <v>0</v>
      </c>
      <c r="EG84" s="42" t="n">
        <f aca="false">IF(ISNUMBER(Tasks[[#This Row],[% Complete]]),Tasks[[#This Row],[% Complete]],IF(Tasks[[#This Row],[Stage]]="",0,IFERROR(INDEX(stg_Pct,MATCH(Tasks[[#This Row],[Stage]],stg_Name,0)),0)))</f>
        <v>0</v>
      </c>
      <c r="EH84" s="42" t="n">
        <f aca="false">IF(NOT(Tasks[[#This Row],[_IsLeaf]]=1),0,IF(N(Tasks[[#This Row],[Actual Finish]])&gt;0,1,MIN(1,Tasks[[#This Row],[_Pct]])))</f>
        <v>0</v>
      </c>
      <c r="EI84" s="42" t="n">
        <f aca="false">IF(OR(NOT(Tasks[[#This Row],[_IsLeaf]]=1),Tasks[[#This Row],[_Res1Row]]=0),0,N(Tasks[[#This Row],[_Days]])*HoursPerDay*IF(Tasks[[#This Row],[_Units1]]="",DefaultUnits,Tasks[[#This Row],[_Units1]]))</f>
        <v>0</v>
      </c>
      <c r="EJ84" s="42" t="n">
        <f aca="false">Tasks[[#This Row],[_LeafWork]]+Tasks[[#This Row],[_Res2Work]]+Tasks[[#This Row],[_Res3Work]]+Tasks[[#This Row],[_Res4Work]]</f>
        <v>0</v>
      </c>
      <c r="EK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4" s="42" t="n">
        <f aca="false">IF(NOT(Tasks[[#This Row],[_IsLeaf]]=1),0,MAX(_xlfn.MAXIFS(Tasks[_Row],Tasks[_Pred1UID],Tasks[[#This Row],[UID]]),_xlfn.MAXIFS(Tasks[_Row],Tasks[_Pred2UID],Tasks[[#This Row],[UID]]),_xlfn.MAXIFS(Tasks[_Row],Tasks[_Pred3UID],Tasks[[#This Row],[UID]]),_xlfn.MAXIFS(Tasks[_Row],Tasks[_Pred4UID],Tasks[[#This Row],[UID]])))</f>
        <v>0</v>
      </c>
      <c r="ET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4" s="89" t="str">
        <f aca="false">IF(NOT(Tasks[[#This Row],[_IsLeaf]]=1),"",IF(N(Tasks[[#This Row],[_Days]])&lt;=0,Tasks[[#This Row],[_LeafLateFinish]],WORKDAY.INTL(Tasks[[#This Row],[_LeafLateFinish]],-(Tasks[[#This Row],[_Days]]-1),WorkWeek,Holidays)))</f>
        <v/>
      </c>
      <c r="EW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4" s="88" t="b">
        <f aca="false">AND(Tasks[[#This Row],[_IsLeaf]]=1,Tasks[[#This Row],[_LeafProgress]]&lt;1,N(Tasks[[#This Row],[_LeafTotalSlack]])&lt;=CriticalSlackDays)</f>
        <v>0</v>
      </c>
      <c r="EY84" s="42" t="n">
        <f aca="false">IF(AND(Tasks[[#This Row],[_IsLeaf]]=1,Tasks[[#This Row],[_ConstraintCode]]=1,Tasks[[#This Row],[Mode]]&lt;&gt;"Manual",N(Tasks[[#This Row],[Actual Start]])=0),MAX(0,N(Tasks[[#This Row],[Free Slack]])),0)</f>
        <v>0</v>
      </c>
      <c r="EZ84" s="89" t="str">
        <f aca="false">IF(NOT(Tasks[[#This Row],[_IsLeaf]]=1),"",IF(Tasks[[#This Row],[_AlapShift]]=0,Tasks[[#This Row],[_LeafCalcStart]],WORKDAY.INTL(Tasks[[#This Row],[_LeafCalcStart]],Tasks[[#This Row],[_AlapShift]],WorkWeek,Holidays)))</f>
        <v/>
      </c>
      <c r="FA84" s="89" t="str">
        <f aca="false">IF(NOT(Tasks[[#This Row],[_IsLeaf]]=1),"",IF(Tasks[[#This Row],[_AlapShift]]=0,Tasks[[#This Row],[_LeafCalcFinish]],WORKDAY.INTL(Tasks[[#This Row],[_LeafCalcFinish]],Tasks[[#This Row],[_AlapShift]],WorkWeek,Holidays)))</f>
        <v/>
      </c>
      <c r="FB84" s="89" t="str">
        <f aca="false">IF(NOT(Tasks[[#This Row],[_IsLeaf]]=1),"",IF(Tasks[[#This Row],[_AlapShift]]=0,Tasks[[#This Row],[_LeafFcstStart]],WORKDAY.INTL(Tasks[[#This Row],[_LeafFcstStart]],Tasks[[#This Row],[_AlapShift]],WorkWeek,Holidays)))</f>
        <v/>
      </c>
      <c r="FC84" s="89" t="str">
        <f aca="false">IF(NOT(Tasks[[#This Row],[_IsLeaf]]=1),"",IF(Tasks[[#This Row],[_AlapShift]]=0,Tasks[[#This Row],[_LeafFcstFinish]],WORKDAY.INTL(Tasks[[#This Row],[_LeafFcstFinish]],Tasks[[#This Row],[_AlapShift]],WorkWeek,Holidays)))</f>
        <v/>
      </c>
      <c r="FD84" s="89" t="str">
        <f aca="false">IF(Tasks[[#This Row],[Task Name]]="","",IF(Tasks[[#This Row],[_IsSummary]],MIN(INDEX(Tasks[_ShownCalcStart],Tasks[[#This Row],[_Row]]+1):INDEX(Tasks[_ShownCalcStart],Tasks[[#This Row],[_Row]]+Tasks[[#This Row],[_Descendants]])),Tasks[[#This Row],[_ShownCalcStart]]))</f>
        <v/>
      </c>
      <c r="FE84" s="89" t="str">
        <f aca="false">IF(Tasks[[#This Row],[Task Name]]="","",IF(Tasks[[#This Row],[_IsSummary]],MAX(INDEX(Tasks[_ShownCalcFinish],Tasks[[#This Row],[_Row]]+1):INDEX(Tasks[_ShownCalcFinish],Tasks[[#This Row],[_Row]]+Tasks[[#This Row],[_Descendants]])),Tasks[[#This Row],[_ShownCalcFinish]]))</f>
        <v/>
      </c>
      <c r="FF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4" s="42" t="n">
        <f aca="false">IF(AND(Tasks[[#This Row],[_IsLeaf]]=1,Tasks[[#This Row],[_LeafTotalWork]]&gt;0),NETWORKDAYS.INTL(ProjectStart,Tasks[[#This Row],[_ShownFcstStart]],WorkWeek,Holidays),0)</f>
        <v>0</v>
      </c>
      <c r="FS84" s="42" t="n">
        <f aca="false">IF(AND(Tasks[[#This Row],[_IsLeaf]]=1,Tasks[[#This Row],[_LeafTotalWork]]&gt;0),MAX(Tasks[[#This Row],[_StartWorkday]],NETWORKDAYS.INTL(ProjectStart,Tasks[[#This Row],[_ShownFcstFinish]],WorkWeek,Holidays)),0)</f>
        <v>0</v>
      </c>
      <c r="FT84" s="42" t="n">
        <f aca="false">IF(AND(Tasks[[#This Row],[_IsLeaf]]=1,Tasks[[#This Row],[_LeafTotalWork]]&gt;0),Tasks[[#This Row],[_LeafWork]]/(Tasks[[#This Row],[_FinishWorkday]]-Tasks[[#This Row],[_StartWorkday]]+1),0)</f>
        <v>0</v>
      </c>
      <c r="FU84" s="42" t="n">
        <f aca="false">Tasks[[#This Row],[_WorkPerWorkday]]*(Tasks[[#This Row],[_StartWorkday]]-1)</f>
        <v>-0</v>
      </c>
      <c r="FV84" s="42" t="n">
        <f aca="false">IF(Tasks[[#This Row],[_IsLeaf]]=1,MAX(N(Tasks[[#This Row],[_Days]]),0.1),0)</f>
        <v>0</v>
      </c>
      <c r="FW84" s="42" t="n">
        <f aca="false">Tasks[[#This Row],[_WeightDur]]*Tasks[[#This Row],[_LeafProgress]]</f>
        <v>0</v>
      </c>
      <c r="FX84" s="42" t="n">
        <f aca="false">Tasks[[#This Row],[_WeightDur]]*Tasks[[#This Row],[_PlannedPct]]</f>
        <v>0</v>
      </c>
      <c r="FY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4" s="42" t="str">
        <f aca="false">IF(AND(Tasks[[#This Row],[_IsLeaf]]=1,N(Tasks[[#This Row],[_Days]])=0,Tasks[[#This Row],[_LeafProgress]]&lt;1),Tasks[[#This Row],[_ShownFcstFinish]]+Tasks[[#This Row],[_Row]]/100000,"")</f>
        <v/>
      </c>
      <c r="GA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4" s="42" t="str">
        <f aca="false">IF(Tasks[[#This Row],[Task Name]]="","",LEFT(Tasks[[#This Row],[WBS]],FIND(".",Tasks[[#This Row],[WBS]]&amp;".")-1))</f>
        <v/>
      </c>
      <c r="GC84" s="42" t="str">
        <f aca="false">IF(AND(Tasks[[#This Row],[Task Name]]&lt;&gt;"",Tasks[[#This Row],[_Level]]=1),Tasks[[#This Row],[_Row]],"")</f>
        <v/>
      </c>
      <c r="GD84" s="42" t="str">
        <f aca="false">IF(AND(Tasks[[#This Row],[_IsLeaf]]=1,N(Tasks[[#This Row],[_Days]])=0),Tasks[[#This Row],[Planned Finish]]+Tasks[[#This Row],[_Row]]/100000,"")</f>
        <v/>
      </c>
      <c r="GE84" s="42" t="str">
        <f aca="false">IF(AND(Tasks[[#This Row],[_IsLeaf]]=1,Tasks[[#This Row],[_LeafProgress]]&lt;1,OR(N(Tasks[[#This Row],[Finish Var]])&gt;0,Tasks[[#This Row],[Status]]="Late Start")),MAX(0,Tasks[[#This Row],[Finish Var]])+1-Tasks[[#This Row],[_Row]]/1000000,"")</f>
        <v/>
      </c>
      <c r="GF84" s="42" t="str">
        <f aca="false">IF(AND(Tasks[[#This Row],[_IsLeaf]]=1,N(Tasks[[#This Row],[Actual Start]])=0,Tasks[[#This Row],[_ShownFcstStart]]&gt;=StatusDate,Tasks[[#This Row],[_ShownFcstStart]]&lt;=LookaheadEnd),Tasks[[#This Row],[_ShownFcstStart]]+Tasks[[#This Row],[_Row]]/100000,"")</f>
        <v/>
      </c>
      <c r="GG84" s="42" t="str">
        <f aca="false">IF(AND(Tasks[[#This Row],[_IsLeaf]]=1,Tasks[[#This Row],[_LeafProgress]]&lt;1,Tasks[[#This Row],[_ShownFcstFinish]]&gt;=StatusDate,Tasks[[#This Row],[_ShownFcstFinish]]&lt;=LookaheadEnd),Tasks[[#This Row],[_ShownFcstFinish]]+Tasks[[#This Row],[_Row]]/100000,"")</f>
        <v/>
      </c>
      <c r="GH84" s="42" t="str">
        <f aca="false">IF(Tasks[[#This Row],[_LeafCritical]],Tasks[[#This Row],[_ShownFcstStart]]+Tasks[[#This Row],[_Row]]/100000,"")</f>
        <v/>
      </c>
      <c r="GI84" s="42" t="n">
        <f aca="false">Tasks[[#This Row],[_LeafWork]]*Tasks[[#This Row],[_LeafProgress]]</f>
        <v>0</v>
      </c>
      <c r="GJ84" s="89" t="str">
        <f aca="false">IF(AND(Tasks[[#This Row],[_IsLeaf]]=1,Tasks[[#This Row],[_LeafProgress]]&gt;=1),IF(N(Tasks[[#This Row],[Actual Finish]])&gt;0,Tasks[[#This Row],[Actual Finish]],Tasks[[#This Row],[_ShownFcstFinish]]),"")</f>
        <v/>
      </c>
      <c r="GK84" s="42" t="n">
        <f aca="false">IF(Tasks[[#This Row],[_IsLeaf]]=1,N(Tasks[[#This Row],[Story Points]]),0)</f>
        <v>0</v>
      </c>
      <c r="GL84" s="42" t="str">
        <f aca="false">""</f>
        <v/>
      </c>
      <c r="GM84" s="88" t="b">
        <f aca="false">IF(Tasks[[#This Row],[Task Name]]="",FALSE(),AND(Tasks[[#This Row],[_IsLeaf]]=1,N(Tasks[[#This Row],[_Days]])=0))</f>
        <v>0</v>
      </c>
      <c r="GN84" s="89" t="n">
        <f aca="false">IF(Tasks[[#This Row],[Task Name]]="",0,IF(AND(Tasks[[#This Row],[_IsLeaf]]=1,NOT(Tasks[[#This Row],[_IsMilestone]]),N(Tasks[[#This Row],[Progress]])&gt;0),Tasks[[#This Row],[Start]],0))</f>
        <v>0</v>
      </c>
      <c r="GO84" s="89" t="n">
        <f aca="false">IF(Tasks[[#This Row],[_DoneFrom]]=0,0,IF(Tasks[[#This Row],[Progress]]&gt;=1,Tasks[[#This Row],[Finish]],MAX(Tasks[[#This Row],[_DoneFrom]],Tasks[[#This Row],[Start]]+ROUND((Tasks[[#This Row],[Finish]]-Tasks[[#This Row],[Start]]+1)*Tasks[[#This Row],[Progress]],0)-1)))</f>
        <v>0</v>
      </c>
      <c r="GP84" s="89" t="n">
        <f aca="false">IF(Tasks[[#This Row],[Task Name]]="",0,IF(OR(NOT(Tasks[[#This Row],[_IsLeaf]]=1),Tasks[[#This Row],[_IsMilestone]],N(Tasks[[#This Row],[Progress]])&gt;=1),0,IF(Tasks[[#This Row],[_DoneTo]]&gt;0,Tasks[[#This Row],[_DoneTo]]+1,Tasks[[#This Row],[Start]])))</f>
        <v>0</v>
      </c>
      <c r="GQ84" s="89" t="n">
        <f aca="false">IF(Tasks[[#This Row],[_RemFrom]]=0,0,Tasks[[#This Row],[Finish]])</f>
        <v>0</v>
      </c>
      <c r="GR84" s="88" t="b">
        <f aca="false">IF(Tasks[[#This Row],[Task Name]]="",FALSE(),OR(NOT(BaselineSet),N(Tasks[[#This Row],[Baseline Start]])&gt;0))</f>
        <v>0</v>
      </c>
      <c r="GS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4" s="90" t="str">
        <f aca="false">IF(Tasks[[#This Row],[_IsLeaf]]=1,Tasks[[#This Row],[_Row]],"")</f>
        <v/>
      </c>
      <c r="GW84" s="90" t="str">
        <f aca="false">IFERROR(INDEX(Tasks[UID],SMALL(Tasks[_PickKey],Tasks[[#This Row],[_Row]]))&amp;" "&amp;INDEX(Tasks[Task Name],SMALL(Tasks[_PickKey],Tasks[[#This Row],[_Row]])),"")</f>
        <v/>
      </c>
      <c r="GX84" s="42" t="str">
        <f aca="false">IF(Tasks[[#This Row],[Task Name]]="","",IF(Tasks[[#This Row],[_IsSummary]],NETWORKDAYS.INTL(Tasks[[#This Row],[Start]],Tasks[[#This Row],[Finish]],WorkWeek,Holidays),N(Tasks[[#This Row],[_Days]])))</f>
        <v/>
      </c>
    </row>
    <row r="85" customFormat="false" ht="15" hidden="false" customHeight="false" outlineLevel="0" collapsed="false">
      <c r="A85" s="21" t="str">
        <f aca="false">IF(Tasks[[#This Row],[Task Name]]="","",COUNTA(Tasks[[#Headers],[Task Name]]:Tasks[[#This Row],[Task Name]])-1)</f>
        <v/>
      </c>
      <c r="B85" s="22" t="n">
        <v>93</v>
      </c>
      <c r="C85" s="22"/>
      <c r="D85" s="23"/>
      <c r="E85" s="22"/>
      <c r="F85" s="23"/>
      <c r="G85" s="22"/>
      <c r="H85" s="22"/>
      <c r="I85" s="23"/>
      <c r="J85" s="22"/>
      <c r="K85" s="22"/>
      <c r="L85" s="23"/>
      <c r="M85" s="22"/>
      <c r="N85" s="22"/>
      <c r="O85" s="23"/>
      <c r="P85" s="22"/>
      <c r="Q85" s="22"/>
      <c r="R85" s="23"/>
      <c r="S85" s="23"/>
      <c r="T85" s="83"/>
      <c r="U85" s="23"/>
      <c r="V85" s="83"/>
      <c r="W85" s="23"/>
      <c r="X85" s="83"/>
      <c r="Y85" s="23"/>
      <c r="Z85" s="83"/>
      <c r="AA85" s="23"/>
      <c r="AB85" s="23"/>
      <c r="AC85" s="7"/>
      <c r="AD85" s="7"/>
      <c r="AE85" s="62" t="str">
        <f aca="false">IF(Tasks[[#This Row],[Task Name]]="","",IF(Tasks[[#This Row],[_IsSummary]],MIN(INDEX(Tasks[_ShownFcstStart],Tasks[[#This Row],[_Row]]+1):INDEX(Tasks[_ShownFcstStart],Tasks[[#This Row],[_Row]]+Tasks[[#This Row],[_Descendants]])),Tasks[[#This Row],[_ShownFcstStart]]))</f>
        <v/>
      </c>
      <c r="AF85" s="62" t="str">
        <f aca="false">IF(Tasks[[#This Row],[Task Name]]="","",IF(Tasks[[#This Row],[_IsSummary]],MAX(INDEX(Tasks[_ShownFcstFinish],Tasks[[#This Row],[_Row]]+1):INDEX(Tasks[_ShownFcstFinish],Tasks[[#This Row],[_Row]]+Tasks[[#This Row],[_Descendants]])),Tasks[[#This Row],[_ShownFcstFinish]]))</f>
        <v/>
      </c>
      <c r="AG85" s="21" t="str">
        <f aca="false">""</f>
        <v/>
      </c>
      <c r="AH85" s="23"/>
      <c r="AI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5" s="7"/>
      <c r="AK85" s="22"/>
      <c r="AL85" s="23"/>
      <c r="AM85" s="7"/>
      <c r="AN85" s="46" t="str">
        <f aca="false">IF(Tasks[[#This Row],[Task Name]]="","",IF(Tasks[[#This Row],[Finish]]&gt;=Tasks[[#This Row],[Planned Finish]],NETWORKDAYS.INTL(Tasks[[#This Row],[Planned Finish]],Tasks[[#This Row],[Finish]],WorkWeek,Holidays)-1,1-NETWORKDAYS.INTL(Tasks[[#This Row],[Finish]],Tasks[[#This Row],[Planned Finish]],WorkWeek,Holidays)))</f>
        <v/>
      </c>
      <c r="AO85" s="21" t="str">
        <f aca="false">IF(Tasks[[#This Row],[Task Name]]="","",IF(Tasks[[#This Row],[Progress]]&gt;=1,"Complete",IF(OR(N(Tasks[[#This Row],[Actual Start]])&gt;0,Tasks[[#This Row],[Progress]]&gt;0),IF(Tasks[[#This Row],[Finish Var]]&gt;0,"Behind","In Progress"),IF(Tasks[[#This Row],[Planned Start]]&lt;StatusDate,"Late Start","Not Started"))))</f>
        <v/>
      </c>
      <c r="AP85" s="21" t="str">
        <f aca="false">IF(Tasks[[#This Row],[Task Name]]="","",IF(IF(Tasks[[#This Row],[_IsSummary]],COUNTIF(INDEX(Tasks[_LeafCritical],Tasks[[#This Row],[_Row]]+1):INDEX(Tasks[_LeafCritical],Tasks[[#This Row],[_Row]]+Tasks[[#This Row],[_Descendants]]),TRUE())&gt;0,Tasks[[#This Row],[_LeafCritical]]),"Yes",""))</f>
        <v/>
      </c>
      <c r="AQ85" s="62" t="str">
        <f aca="false">IF(Tasks[[#This Row],[Task Name]]="","",IF(N(Tasks[[#This Row],[Baseline Start]])&gt;0,Tasks[[#This Row],[Baseline Start]],Tasks[[#This Row],[_CalcStart]]))</f>
        <v/>
      </c>
      <c r="AR85" s="62" t="str">
        <f aca="false">IF(Tasks[[#This Row],[Task Name]]="","",IF(N(Tasks[[#This Row],[Baseline Finish]])&gt;0,Tasks[[#This Row],[Baseline Finish]],Tasks[[#This Row],[_CalcFinish]]))</f>
        <v/>
      </c>
      <c r="AS85" s="46" t="str">
        <f aca="false">IF(Tasks[[#This Row],[Task Name]]="","",IF(Tasks[[#This Row],[Start]]&gt;=Tasks[[#This Row],[Planned Start]],NETWORKDAYS.INTL(Tasks[[#This Row],[Planned Start]],Tasks[[#This Row],[Start]],WorkWeek,Holidays)-1,1-NETWORKDAYS.INTL(Tasks[[#This Row],[Start]],Tasks[[#This Row],[Planned Start]],WorkWeek,Holidays)))</f>
        <v/>
      </c>
      <c r="AT85" s="62" t="str">
        <f aca="false">IF(Tasks[[#This Row],[Task Name]]="","",IF(Tasks[[#This Row],[_IsSummary]],MIN(INDEX(Tasks[_LeafLateStart],Tasks[[#This Row],[_Row]]+1):INDEX(Tasks[_LeafLateStart],Tasks[[#This Row],[_Row]]+Tasks[[#This Row],[_Descendants]])),Tasks[[#This Row],[_LeafLateStart]]))</f>
        <v/>
      </c>
      <c r="AU85" s="62" t="str">
        <f aca="false">IF(Tasks[[#This Row],[Task Name]]="","",IF(Tasks[[#This Row],[_IsSummary]],MAX(INDEX(Tasks[_LeafLateFinish],Tasks[[#This Row],[_Row]]+1):INDEX(Tasks[_LeafLateFinish],Tasks[[#This Row],[_Row]]+Tasks[[#This Row],[_Descendants]])),Tasks[[#This Row],[_LeafLateFinish]]))</f>
        <v/>
      </c>
      <c r="AV85" s="46" t="str">
        <f aca="false">IF(Tasks[[#This Row],[Task Name]]="","",IF(Tasks[[#This Row],[_IsSummary]],MIN(INDEX(Tasks[_LeafTotalSlack],Tasks[[#This Row],[_Row]]+1):INDEX(Tasks[_LeafTotalSlack],Tasks[[#This Row],[_Row]]+Tasks[[#This Row],[_Descendants]])),Tasks[[#This Row],[_LeafTotalSlack]]))</f>
        <v/>
      </c>
      <c r="AW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4"/>
      <c r="BA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t="str">
        <f aca="false">IF(Tasks[[#This Row],[Task Name]]="","",IF(Tasks[[#This Row],[_Level]]&lt;=OutlineShowLevel,"Yes","No"))</f>
        <v/>
      </c>
      <c r="BE85" s="85" t="str">
        <f aca="false">IF(Tasks[[#This Row],[Task Name]]="","",IF(Tasks[[#This Row],[_IsSummary]],SUM(INDEX(Tasks[_LeafTotalWork],Tasks[[#This Row],[_Row]]+1):INDEX(Tasks[_LeafTotalWork],Tasks[[#This Row],[_Row]]+Tasks[[#This Row],[_Descendants]])),Tasks[[#This Row],[_LeafTotalWork]]))</f>
        <v/>
      </c>
      <c r="BF85" s="23"/>
      <c r="BG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t="str">
        <f aca="false">""</f>
        <v/>
      </c>
      <c r="BI85" s="86"/>
      <c r="BJ85" s="22"/>
      <c r="BK85" s="46" t="str">
        <f aca="false">IF(OR(Tasks[[#This Row],[Task Name]]="",Tasks[[#This Row],[Baseline Duration]]=""),"",Tasks[[#This Row],[_SpanDays]]-N(Tasks[[#This Row],[Baseline Duration]]))</f>
        <v/>
      </c>
      <c r="BL85" s="85" t="str">
        <f aca="false">IF(OR(Tasks[[#This Row],[Task Name]]="",Tasks[[#This Row],[Baseline Work]]=""),"",Tasks[[#This Row],[Work]]-N(Tasks[[#This Row],[Baseline Work]]))</f>
        <v/>
      </c>
      <c r="BM85" s="62" t="str">
        <f aca="false">IF(Tasks[[#This Row],[Task Name]]="","",IF(OR(TakeBaseline="Yes",N(Tasks[[#This Row],[Baseline Start]])=0),Tasks[[#This Row],[Start]],Tasks[[#This Row],[Baseline Start]]))</f>
        <v/>
      </c>
      <c r="BN85" s="62" t="str">
        <f aca="false">IF(Tasks[[#This Row],[Task Name]]="","",IF(OR(TakeBaseline="Yes",N(Tasks[[#This Row],[Baseline Finish]])=0),Tasks[[#This Row],[Finish]],Tasks[[#This Row],[Baseline Finish]]))</f>
        <v/>
      </c>
      <c r="BO85" s="21" t="str">
        <f aca="false">IF(Tasks[[#This Row],[Task Name]]="","",IF(OR(TakeBaseline="Yes",N(Tasks[[#This Row],[Baseline Duration]])=0),Tasks[[#This Row],[_SpanDays]],Tasks[[#This Row],[Baseline Duration]]))</f>
        <v/>
      </c>
      <c r="BP85" s="85" t="str">
        <f aca="false">IF(Tasks[[#This Row],[Task Name]]="","",IF(OR(TakeBaseline="Yes",N(Tasks[[#This Row],[Baseline Work]])=0),Tasks[[#This Row],[Work]],Tasks[[#This Row],[Baseline Work]]))</f>
        <v/>
      </c>
      <c r="BQ85" s="7"/>
      <c r="BR85" s="7"/>
      <c r="BS85" s="22"/>
      <c r="BT85" s="87"/>
      <c r="BU85" s="42" t="str">
        <f aca="false">IF(Tasks[[#This Row],[Task Name]]="","",MAX(1,N(Tasks[[#This Row],[Level]])))</f>
        <v/>
      </c>
      <c r="BV85" s="42" t="n">
        <f aca="false">ROW()-ROW(Tasks[[#Headers],[ID]])</f>
        <v>80</v>
      </c>
      <c r="BW85" s="42" t="n">
        <f aca="false">IF(OR(Tasks[[#This Row],[Task Name]]="",Tasks[[#This Row],[_Level]]&lt;=1),0,IFERROR(LOOKUP(2,1/(Tasks[[#Headers],[_Level]]:Tasks[[#This Row],[_Level]]=Tasks[[#This Row],[_Level]]-1),ROW(Tasks[[#Headers],[_Level]]:Tasks[[#This Row],[_Level]])),0))</f>
        <v>0</v>
      </c>
      <c r="BX85" s="42" t="n">
        <f aca="false">IFERROR(N(INDEX(Tasks[_Level],Tasks[[#This Row],[_Row]]+1)),0)</f>
        <v>0</v>
      </c>
      <c r="BY85" s="88" t="b">
        <f aca="false">AND(Tasks[[#This Row],[Task Name]]&lt;&gt;"",Tasks[[#This Row],[_NextLevel]]&gt;Tasks[[#This Row],[_Level]])</f>
        <v>0</v>
      </c>
      <c r="BZ85" s="42" t="n">
        <f aca="false">IF(Tasks[[#This Row],[_IsSummary]],COUNTIF(Tasks[WBS],Tasks[[#This Row],[WBS]]&amp;".*"),0)</f>
        <v>0</v>
      </c>
      <c r="CA85" s="42" t="n">
        <f aca="false">IF(AND(Tasks[[#This Row],[Task Name]]&lt;&gt;"",NOT(Tasks[[#This Row],[_IsSummary]])),1,0)</f>
        <v>0</v>
      </c>
      <c r="CB85" s="42" t="n">
        <f aca="false">IF(N(Tasks[[#This Row],[_Pred1UID]])=0,0,IFERROR(MATCH(Tasks[[#This Row],[_Pred1UID]],Tasks[UID],0),-1))</f>
        <v>0</v>
      </c>
      <c r="CC85" s="42" t="n">
        <f aca="false">IF(N(Tasks[[#This Row],[_Pred2UID]])=0,0,IFERROR(MATCH(Tasks[[#This Row],[_Pred2UID]],Tasks[UID],0),-1))</f>
        <v>0</v>
      </c>
      <c r="CD85" s="42" t="n">
        <f aca="false">IF(N(Tasks[[#This Row],[_Pred3UID]])=0,0,IFERROR(MATCH(Tasks[[#This Row],[_Pred3UID]],Tasks[UID],0),-1))</f>
        <v>0</v>
      </c>
      <c r="CE85" s="42" t="n">
        <f aca="false">IF(N(Tasks[[#This Row],[_Pred4UID]])=0,0,IFERROR(MATCH(Tasks[[#This Row],[_Pred4UID]],Tasks[UID],0),-1))</f>
        <v>0</v>
      </c>
      <c r="CF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5" s="89" t="n">
        <f aca="false">IF(OR(Tasks[[#This Row],[_ConstraintCode]]=2,Tasks[[#This Row],[_ConstraintCode]]=3,Tasks[[#This Row],[_ConstraintCode]]=4,Tasks[[#This Row],[_ConstraintCode]]=6),Tasks[[#This Row],[_ConstraintStart]],0)</f>
        <v>0</v>
      </c>
      <c r="CI85" s="89" t="n">
        <f aca="false">IF(OR(Tasks[[#This Row],[_ConstraintCode]]=2,Tasks[[#This Row],[_ConstraintCode]]=3,Tasks[[#This Row],[_ConstraintCode]]=5,Tasks[[#This Row],[_ConstraintCode]]=7),Tasks[[#This Row],[_ConstraintStart]],2958465)</f>
        <v>2958465</v>
      </c>
      <c r="CJ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5" s="89" t="str">
        <f aca="false">IF(NOT(Tasks[[#This Row],[_IsLeaf]]=1),"",IF(N(Tasks[[#This Row],[_Days]])&lt;=0,Tasks[[#This Row],[_LeafCalcStart]],WORKDAY.INTL(Tasks[[#This Row],[_LeafCalcStart]],Tasks[[#This Row],[_Days]]-1,WorkWeek,Holidays)))</f>
        <v/>
      </c>
      <c r="CL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5" s="42" t="str">
        <f aca="false">IF(Tasks[[#This Row],[_Predecessors]]="","",TRIM(MID(SUBSTITUTE(SUBSTITUTE(SUBSTITUTE(UPPER(Tasks[[#This Row],[_Predecessors]]),";",",")," ",""),",",REPT(" ",99)),1,99)))</f>
        <v/>
      </c>
      <c r="CO85" s="42" t="str">
        <f aca="false">IF(Tasks[[#This Row],[_Pred1Text]]="","",IFERROR(VALUE(LEFT(Tasks[[#This Row],[_Pred1Text]],MIN(FIND("F",Tasks[[#This Row],[_Pred1Text]]&amp;"F"),FIND("S",Tasks[[#This Row],[_Pred1Text]]&amp;"S"),FIND("+",Tasks[[#This Row],[_Pred1Text]]&amp;"+"),FIND("-",Tasks[[#This Row],[_Pred1Text]]&amp;"-"))-1)),""))</f>
        <v/>
      </c>
      <c r="CP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5" s="42" t="str">
        <f aca="false">IF(Tasks[[#This Row],[_Pred1Text]]="","",TRIM(MID(SUBSTITUTE(SUBSTITUTE(SUBSTITUTE(UPPER(Tasks[[#This Row],[_Predecessors]]),";",",")," ",""),",",REPT(" ",99)),100,99)))</f>
        <v/>
      </c>
      <c r="CS85" s="42" t="str">
        <f aca="false">IF(Tasks[[#This Row],[_Pred2Text]]="","",IFERROR(VALUE(LEFT(Tasks[[#This Row],[_Pred2Text]],MIN(FIND("F",Tasks[[#This Row],[_Pred2Text]]&amp;"F"),FIND("S",Tasks[[#This Row],[_Pred2Text]]&amp;"S"),FIND("+",Tasks[[#This Row],[_Pred2Text]]&amp;"+"),FIND("-",Tasks[[#This Row],[_Pred2Text]]&amp;"-"))-1)),""))</f>
        <v/>
      </c>
      <c r="CT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5" s="42" t="str">
        <f aca="false">IF(Tasks[[#This Row],[_Pred2Text]]="","",TRIM(MID(SUBSTITUTE(SUBSTITUTE(SUBSTITUTE(UPPER(Tasks[[#This Row],[_Predecessors]]),";",",")," ",""),",",REPT(" ",99)),199,99)))</f>
        <v/>
      </c>
      <c r="CW85" s="42" t="str">
        <f aca="false">IF(Tasks[[#This Row],[_Pred3Text]]="","",IFERROR(VALUE(LEFT(Tasks[[#This Row],[_Pred3Text]],MIN(FIND("F",Tasks[[#This Row],[_Pred3Text]]&amp;"F"),FIND("S",Tasks[[#This Row],[_Pred3Text]]&amp;"S"),FIND("+",Tasks[[#This Row],[_Pred3Text]]&amp;"+"),FIND("-",Tasks[[#This Row],[_Pred3Text]]&amp;"-"))-1)),""))</f>
        <v/>
      </c>
      <c r="CX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5" s="42" t="str">
        <f aca="false">IF(Tasks[[#This Row],[_Pred3Text]]="","",TRIM(MID(SUBSTITUTE(SUBSTITUTE(SUBSTITUTE(UPPER(Tasks[[#This Row],[_Predecessors]]),";",",")," ",""),",",REPT(" ",99)),298,99)))</f>
        <v/>
      </c>
      <c r="DA85" s="42" t="str">
        <f aca="false">IF(Tasks[[#This Row],[_Pred4Text]]="","",IFERROR(VALUE(LEFT(Tasks[[#This Row],[_Pred4Text]],MIN(FIND("F",Tasks[[#This Row],[_Pred4Text]]&amp;"F"),FIND("S",Tasks[[#This Row],[_Pred4Text]]&amp;"S"),FIND("+",Tasks[[#This Row],[_Pred4Text]]&amp;"+"),FIND("-",Tasks[[#This Row],[_Pred4Text]]&amp;"-"))-1)),""))</f>
        <v/>
      </c>
      <c r="DB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5" s="42" t="str">
        <f aca="false">IF(OR(Tasks[[#This Row],[Task Name]]="",Tasks[[#This Row],[_Resources]]=""),"",TRIM(MID(SUBSTITUTE(Tasks[[#This Row],[_Resources]],",",REPT(" ",99)),1,99)))</f>
        <v/>
      </c>
      <c r="DE85" s="42" t="str">
        <f aca="false">IF(Tasks[[#This Row],[_Res1Text]]="","",TRIM(MID(SUBSTITUTE(Tasks[[#This Row],[_Resources]],",",REPT(" ",99)),100,99)))</f>
        <v/>
      </c>
      <c r="DF85" s="42" t="str">
        <f aca="false">IF(Tasks[[#This Row],[_Res2Text]]="","",TRIM(MID(SUBSTITUTE(Tasks[[#This Row],[_Resources]],",",REPT(" ",99)),199,99)))</f>
        <v/>
      </c>
      <c r="DG85" s="42" t="str">
        <f aca="false">IF(Tasks[[#This Row],[_Res3Text]]="","",TRIM(MID(SUBSTITUTE(Tasks[[#This Row],[_Resources]],",",REPT(" ",99)),298,99)))</f>
        <v/>
      </c>
      <c r="DH85" s="42" t="n">
        <f aca="false">IF(Tasks[[#This Row],[_Res1Text]]="",0,IFERROR(MATCH(TRIM(LEFT(Tasks[[#This Row],[_Res1Text]],FIND("[",Tasks[[#This Row],[_Res1Text]]&amp;"[")-1)),res_Name,0),IFERROR(MATCH(TRIM(LEFT(Tasks[[#This Row],[_Res1Text]],FIND("[",Tasks[[#This Row],[_Res1Text]]&amp;"[")-1)),res_Initials,0),0)))</f>
        <v>0</v>
      </c>
      <c r="DI85" s="42" t="n">
        <f aca="false">IF(Tasks[[#This Row],[_Res2Text]]="",0,IFERROR(MATCH(TRIM(LEFT(Tasks[[#This Row],[_Res2Text]],FIND("[",Tasks[[#This Row],[_Res2Text]]&amp;"[")-1)),res_Name,0),IFERROR(MATCH(TRIM(LEFT(Tasks[[#This Row],[_Res2Text]],FIND("[",Tasks[[#This Row],[_Res2Text]]&amp;"[")-1)),res_Initials,0),0)))</f>
        <v>0</v>
      </c>
      <c r="DJ85" s="42" t="n">
        <f aca="false">IF(Tasks[[#This Row],[_Res3Text]]="",0,IFERROR(MATCH(TRIM(LEFT(Tasks[[#This Row],[_Res3Text]],FIND("[",Tasks[[#This Row],[_Res3Text]]&amp;"[")-1)),res_Name,0),IFERROR(MATCH(TRIM(LEFT(Tasks[[#This Row],[_Res3Text]],FIND("[",Tasks[[#This Row],[_Res3Text]]&amp;"[")-1)),res_Initials,0),0)))</f>
        <v>0</v>
      </c>
      <c r="DK85" s="42" t="n">
        <f aca="false">IF(Tasks[[#This Row],[_Res4Text]]="",0,IFERROR(MATCH(TRIM(LEFT(Tasks[[#This Row],[_Res4Text]],FIND("[",Tasks[[#This Row],[_Res4Text]]&amp;"[")-1)),res_Name,0),IFERROR(MATCH(TRIM(LEFT(Tasks[[#This Row],[_Res4Text]],FIND("[",Tasks[[#This Row],[_Res4Text]]&amp;"[")-1)),res_Initials,0),0)))</f>
        <v>0</v>
      </c>
      <c r="DL85" s="42" t="str">
        <f aca="false">IF(Tasks[[#This Row],[_Res1Text]]="","",IF(Tasks[[#This Row],[_Res1Row]]&gt;0,INDEX(res_Name,Tasks[[#This Row],[_Res1Row]]),TRIM(LEFT(Tasks[[#This Row],[_Res1Text]],FIND("[",Tasks[[#This Row],[_Res1Text]]&amp;"[")-1))))</f>
        <v/>
      </c>
      <c r="DM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5" s="42" t="n">
        <f aca="false">IF(NOT(Tasks[[#This Row],[_IsLeaf]]=1),0,(Tasks[[#This Row],[_Resource1]]&lt;&gt;"")+(Tasks[[#This Row],[_Res2]]&lt;&gt;"")+(Tasks[[#This Row],[_Res3]]&lt;&gt;"")+(Tasks[[#This Row],[_Res4]]&lt;&gt;""))</f>
        <v>0</v>
      </c>
      <c r="DO85" s="42" t="str">
        <f aca="false">IF(Tasks[[#This Row],[_Res2Text]]="","",IF(Tasks[[#This Row],[_Res2Row]]&gt;0,INDEX(res_Name,Tasks[[#This Row],[_Res2Row]]),TRIM(LEFT(Tasks[[#This Row],[_Res2Text]],FIND("[",Tasks[[#This Row],[_Res2Text]]&amp;"[")-1))))</f>
        <v/>
      </c>
      <c r="DP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5" s="42" t="n">
        <f aca="false">IF(OR(NOT(Tasks[[#This Row],[_IsLeaf]]=1),Tasks[[#This Row],[_Res2Row]]=0),0,N(Tasks[[#This Row],[_Days]])*HoursPerDay*IF(Tasks[[#This Row],[_Res2Units]]="",DefaultUnits,Tasks[[#This Row],[_Res2Units]]))</f>
        <v>0</v>
      </c>
      <c r="DR85" s="42" t="n">
        <f aca="false">IF(AND(AND(Tasks[[#This Row],[_IsLeaf]]=1,Tasks[[#This Row],[_LeafTotalWork]]&gt;0),Tasks[[#This Row],[_Res2Work]]&gt;0),Tasks[[#This Row],[_Res2Work]]/(Tasks[[#This Row],[_FinishWorkday]]-Tasks[[#This Row],[_StartWorkday]]+1),0)</f>
        <v>0</v>
      </c>
      <c r="DS85" s="42" t="n">
        <f aca="false">Tasks[[#This Row],[_Res2WorkPerWD]]*MAX(0,Tasks[[#This Row],[_StartWorkday]]-1)</f>
        <v>0</v>
      </c>
      <c r="DT85" s="42" t="n">
        <f aca="false">Tasks[[#This Row],[_Res2Work]]*Tasks[[#This Row],[_LeafProgress]]</f>
        <v>0</v>
      </c>
      <c r="DU85" s="42" t="str">
        <f aca="false">IF(Tasks[[#This Row],[_Res3Text]]="","",IF(Tasks[[#This Row],[_Res3Row]]&gt;0,INDEX(res_Name,Tasks[[#This Row],[_Res3Row]]),TRIM(LEFT(Tasks[[#This Row],[_Res3Text]],FIND("[",Tasks[[#This Row],[_Res3Text]]&amp;"[")-1))))</f>
        <v/>
      </c>
      <c r="DV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5" s="42" t="n">
        <f aca="false">IF(OR(NOT(Tasks[[#This Row],[_IsLeaf]]=1),Tasks[[#This Row],[_Res3Row]]=0),0,N(Tasks[[#This Row],[_Days]])*HoursPerDay*IF(Tasks[[#This Row],[_Res3Units]]="",DefaultUnits,Tasks[[#This Row],[_Res3Units]]))</f>
        <v>0</v>
      </c>
      <c r="DX85" s="42" t="n">
        <f aca="false">IF(AND(AND(Tasks[[#This Row],[_IsLeaf]]=1,Tasks[[#This Row],[_LeafTotalWork]]&gt;0),Tasks[[#This Row],[_Res3Work]]&gt;0),Tasks[[#This Row],[_Res3Work]]/(Tasks[[#This Row],[_FinishWorkday]]-Tasks[[#This Row],[_StartWorkday]]+1),0)</f>
        <v>0</v>
      </c>
      <c r="DY85" s="42" t="n">
        <f aca="false">Tasks[[#This Row],[_Res3WorkPerWD]]*MAX(0,Tasks[[#This Row],[_StartWorkday]]-1)</f>
        <v>0</v>
      </c>
      <c r="DZ85" s="42" t="n">
        <f aca="false">Tasks[[#This Row],[_Res3Work]]*Tasks[[#This Row],[_LeafProgress]]</f>
        <v>0</v>
      </c>
      <c r="EA85" s="42" t="str">
        <f aca="false">IF(Tasks[[#This Row],[_Res4Text]]="","",IF(Tasks[[#This Row],[_Res4Row]]&gt;0,INDEX(res_Name,Tasks[[#This Row],[_Res4Row]]),TRIM(LEFT(Tasks[[#This Row],[_Res4Text]],FIND("[",Tasks[[#This Row],[_Res4Text]]&amp;"[")-1))))</f>
        <v/>
      </c>
      <c r="EB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5" s="42" t="n">
        <f aca="false">IF(OR(NOT(Tasks[[#This Row],[_IsLeaf]]=1),Tasks[[#This Row],[_Res4Row]]=0),0,N(Tasks[[#This Row],[_Days]])*HoursPerDay*IF(Tasks[[#This Row],[_Res4Units]]="",DefaultUnits,Tasks[[#This Row],[_Res4Units]]))</f>
        <v>0</v>
      </c>
      <c r="ED85" s="42" t="n">
        <f aca="false">IF(AND(AND(Tasks[[#This Row],[_IsLeaf]]=1,Tasks[[#This Row],[_LeafTotalWork]]&gt;0),Tasks[[#This Row],[_Res4Work]]&gt;0),Tasks[[#This Row],[_Res4Work]]/(Tasks[[#This Row],[_FinishWorkday]]-Tasks[[#This Row],[_StartWorkday]]+1),0)</f>
        <v>0</v>
      </c>
      <c r="EE85" s="42" t="n">
        <f aca="false">Tasks[[#This Row],[_Res4WorkPerWD]]*MAX(0,Tasks[[#This Row],[_StartWorkday]]-1)</f>
        <v>0</v>
      </c>
      <c r="EF85" s="42" t="n">
        <f aca="false">Tasks[[#This Row],[_Res4Work]]*Tasks[[#This Row],[_LeafProgress]]</f>
        <v>0</v>
      </c>
      <c r="EG85" s="42" t="n">
        <f aca="false">IF(ISNUMBER(Tasks[[#This Row],[% Complete]]),Tasks[[#This Row],[% Complete]],IF(Tasks[[#This Row],[Stage]]="",0,IFERROR(INDEX(stg_Pct,MATCH(Tasks[[#This Row],[Stage]],stg_Name,0)),0)))</f>
        <v>0</v>
      </c>
      <c r="EH85" s="42" t="n">
        <f aca="false">IF(NOT(Tasks[[#This Row],[_IsLeaf]]=1),0,IF(N(Tasks[[#This Row],[Actual Finish]])&gt;0,1,MIN(1,Tasks[[#This Row],[_Pct]])))</f>
        <v>0</v>
      </c>
      <c r="EI85" s="42" t="n">
        <f aca="false">IF(OR(NOT(Tasks[[#This Row],[_IsLeaf]]=1),Tasks[[#This Row],[_Res1Row]]=0),0,N(Tasks[[#This Row],[_Days]])*HoursPerDay*IF(Tasks[[#This Row],[_Units1]]="",DefaultUnits,Tasks[[#This Row],[_Units1]]))</f>
        <v>0</v>
      </c>
      <c r="EJ85" s="42" t="n">
        <f aca="false">Tasks[[#This Row],[_LeafWork]]+Tasks[[#This Row],[_Res2Work]]+Tasks[[#This Row],[_Res3Work]]+Tasks[[#This Row],[_Res4Work]]</f>
        <v>0</v>
      </c>
      <c r="EK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5" s="42" t="n">
        <f aca="false">IF(NOT(Tasks[[#This Row],[_IsLeaf]]=1),0,MAX(_xlfn.MAXIFS(Tasks[_Row],Tasks[_Pred1UID],Tasks[[#This Row],[UID]]),_xlfn.MAXIFS(Tasks[_Row],Tasks[_Pred2UID],Tasks[[#This Row],[UID]]),_xlfn.MAXIFS(Tasks[_Row],Tasks[_Pred3UID],Tasks[[#This Row],[UID]]),_xlfn.MAXIFS(Tasks[_Row],Tasks[_Pred4UID],Tasks[[#This Row],[UID]])))</f>
        <v>0</v>
      </c>
      <c r="ET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5" s="89" t="str">
        <f aca="false">IF(NOT(Tasks[[#This Row],[_IsLeaf]]=1),"",IF(N(Tasks[[#This Row],[_Days]])&lt;=0,Tasks[[#This Row],[_LeafLateFinish]],WORKDAY.INTL(Tasks[[#This Row],[_LeafLateFinish]],-(Tasks[[#This Row],[_Days]]-1),WorkWeek,Holidays)))</f>
        <v/>
      </c>
      <c r="EW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5" s="88" t="b">
        <f aca="false">AND(Tasks[[#This Row],[_IsLeaf]]=1,Tasks[[#This Row],[_LeafProgress]]&lt;1,N(Tasks[[#This Row],[_LeafTotalSlack]])&lt;=CriticalSlackDays)</f>
        <v>0</v>
      </c>
      <c r="EY85" s="42" t="n">
        <f aca="false">IF(AND(Tasks[[#This Row],[_IsLeaf]]=1,Tasks[[#This Row],[_ConstraintCode]]=1,Tasks[[#This Row],[Mode]]&lt;&gt;"Manual",N(Tasks[[#This Row],[Actual Start]])=0),MAX(0,N(Tasks[[#This Row],[Free Slack]])),0)</f>
        <v>0</v>
      </c>
      <c r="EZ85" s="89" t="str">
        <f aca="false">IF(NOT(Tasks[[#This Row],[_IsLeaf]]=1),"",IF(Tasks[[#This Row],[_AlapShift]]=0,Tasks[[#This Row],[_LeafCalcStart]],WORKDAY.INTL(Tasks[[#This Row],[_LeafCalcStart]],Tasks[[#This Row],[_AlapShift]],WorkWeek,Holidays)))</f>
        <v/>
      </c>
      <c r="FA85" s="89" t="str">
        <f aca="false">IF(NOT(Tasks[[#This Row],[_IsLeaf]]=1),"",IF(Tasks[[#This Row],[_AlapShift]]=0,Tasks[[#This Row],[_LeafCalcFinish]],WORKDAY.INTL(Tasks[[#This Row],[_LeafCalcFinish]],Tasks[[#This Row],[_AlapShift]],WorkWeek,Holidays)))</f>
        <v/>
      </c>
      <c r="FB85" s="89" t="str">
        <f aca="false">IF(NOT(Tasks[[#This Row],[_IsLeaf]]=1),"",IF(Tasks[[#This Row],[_AlapShift]]=0,Tasks[[#This Row],[_LeafFcstStart]],WORKDAY.INTL(Tasks[[#This Row],[_LeafFcstStart]],Tasks[[#This Row],[_AlapShift]],WorkWeek,Holidays)))</f>
        <v/>
      </c>
      <c r="FC85" s="89" t="str">
        <f aca="false">IF(NOT(Tasks[[#This Row],[_IsLeaf]]=1),"",IF(Tasks[[#This Row],[_AlapShift]]=0,Tasks[[#This Row],[_LeafFcstFinish]],WORKDAY.INTL(Tasks[[#This Row],[_LeafFcstFinish]],Tasks[[#This Row],[_AlapShift]],WorkWeek,Holidays)))</f>
        <v/>
      </c>
      <c r="FD85" s="89" t="str">
        <f aca="false">IF(Tasks[[#This Row],[Task Name]]="","",IF(Tasks[[#This Row],[_IsSummary]],MIN(INDEX(Tasks[_ShownCalcStart],Tasks[[#This Row],[_Row]]+1):INDEX(Tasks[_ShownCalcStart],Tasks[[#This Row],[_Row]]+Tasks[[#This Row],[_Descendants]])),Tasks[[#This Row],[_ShownCalcStart]]))</f>
        <v/>
      </c>
      <c r="FE85" s="89" t="str">
        <f aca="false">IF(Tasks[[#This Row],[Task Name]]="","",IF(Tasks[[#This Row],[_IsSummary]],MAX(INDEX(Tasks[_ShownCalcFinish],Tasks[[#This Row],[_Row]]+1):INDEX(Tasks[_ShownCalcFinish],Tasks[[#This Row],[_Row]]+Tasks[[#This Row],[_Descendants]])),Tasks[[#This Row],[_ShownCalcFinish]]))</f>
        <v/>
      </c>
      <c r="FF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5" s="42" t="n">
        <f aca="false">IF(AND(Tasks[[#This Row],[_IsLeaf]]=1,Tasks[[#This Row],[_LeafTotalWork]]&gt;0),NETWORKDAYS.INTL(ProjectStart,Tasks[[#This Row],[_ShownFcstStart]],WorkWeek,Holidays),0)</f>
        <v>0</v>
      </c>
      <c r="FS85" s="42" t="n">
        <f aca="false">IF(AND(Tasks[[#This Row],[_IsLeaf]]=1,Tasks[[#This Row],[_LeafTotalWork]]&gt;0),MAX(Tasks[[#This Row],[_StartWorkday]],NETWORKDAYS.INTL(ProjectStart,Tasks[[#This Row],[_ShownFcstFinish]],WorkWeek,Holidays)),0)</f>
        <v>0</v>
      </c>
      <c r="FT85" s="42" t="n">
        <f aca="false">IF(AND(Tasks[[#This Row],[_IsLeaf]]=1,Tasks[[#This Row],[_LeafTotalWork]]&gt;0),Tasks[[#This Row],[_LeafWork]]/(Tasks[[#This Row],[_FinishWorkday]]-Tasks[[#This Row],[_StartWorkday]]+1),0)</f>
        <v>0</v>
      </c>
      <c r="FU85" s="42" t="n">
        <f aca="false">Tasks[[#This Row],[_WorkPerWorkday]]*(Tasks[[#This Row],[_StartWorkday]]-1)</f>
        <v>-0</v>
      </c>
      <c r="FV85" s="42" t="n">
        <f aca="false">IF(Tasks[[#This Row],[_IsLeaf]]=1,MAX(N(Tasks[[#This Row],[_Days]]),0.1),0)</f>
        <v>0</v>
      </c>
      <c r="FW85" s="42" t="n">
        <f aca="false">Tasks[[#This Row],[_WeightDur]]*Tasks[[#This Row],[_LeafProgress]]</f>
        <v>0</v>
      </c>
      <c r="FX85" s="42" t="n">
        <f aca="false">Tasks[[#This Row],[_WeightDur]]*Tasks[[#This Row],[_PlannedPct]]</f>
        <v>0</v>
      </c>
      <c r="FY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5" s="42" t="str">
        <f aca="false">IF(AND(Tasks[[#This Row],[_IsLeaf]]=1,N(Tasks[[#This Row],[_Days]])=0,Tasks[[#This Row],[_LeafProgress]]&lt;1),Tasks[[#This Row],[_ShownFcstFinish]]+Tasks[[#This Row],[_Row]]/100000,"")</f>
        <v/>
      </c>
      <c r="GA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5" s="42" t="str">
        <f aca="false">IF(Tasks[[#This Row],[Task Name]]="","",LEFT(Tasks[[#This Row],[WBS]],FIND(".",Tasks[[#This Row],[WBS]]&amp;".")-1))</f>
        <v/>
      </c>
      <c r="GC85" s="42" t="str">
        <f aca="false">IF(AND(Tasks[[#This Row],[Task Name]]&lt;&gt;"",Tasks[[#This Row],[_Level]]=1),Tasks[[#This Row],[_Row]],"")</f>
        <v/>
      </c>
      <c r="GD85" s="42" t="str">
        <f aca="false">IF(AND(Tasks[[#This Row],[_IsLeaf]]=1,N(Tasks[[#This Row],[_Days]])=0),Tasks[[#This Row],[Planned Finish]]+Tasks[[#This Row],[_Row]]/100000,"")</f>
        <v/>
      </c>
      <c r="GE85" s="42" t="str">
        <f aca="false">IF(AND(Tasks[[#This Row],[_IsLeaf]]=1,Tasks[[#This Row],[_LeafProgress]]&lt;1,OR(N(Tasks[[#This Row],[Finish Var]])&gt;0,Tasks[[#This Row],[Status]]="Late Start")),MAX(0,Tasks[[#This Row],[Finish Var]])+1-Tasks[[#This Row],[_Row]]/1000000,"")</f>
        <v/>
      </c>
      <c r="GF85" s="42" t="str">
        <f aca="false">IF(AND(Tasks[[#This Row],[_IsLeaf]]=1,N(Tasks[[#This Row],[Actual Start]])=0,Tasks[[#This Row],[_ShownFcstStart]]&gt;=StatusDate,Tasks[[#This Row],[_ShownFcstStart]]&lt;=LookaheadEnd),Tasks[[#This Row],[_ShownFcstStart]]+Tasks[[#This Row],[_Row]]/100000,"")</f>
        <v/>
      </c>
      <c r="GG85" s="42" t="str">
        <f aca="false">IF(AND(Tasks[[#This Row],[_IsLeaf]]=1,Tasks[[#This Row],[_LeafProgress]]&lt;1,Tasks[[#This Row],[_ShownFcstFinish]]&gt;=StatusDate,Tasks[[#This Row],[_ShownFcstFinish]]&lt;=LookaheadEnd),Tasks[[#This Row],[_ShownFcstFinish]]+Tasks[[#This Row],[_Row]]/100000,"")</f>
        <v/>
      </c>
      <c r="GH85" s="42" t="str">
        <f aca="false">IF(Tasks[[#This Row],[_LeafCritical]],Tasks[[#This Row],[_ShownFcstStart]]+Tasks[[#This Row],[_Row]]/100000,"")</f>
        <v/>
      </c>
      <c r="GI85" s="42" t="n">
        <f aca="false">Tasks[[#This Row],[_LeafWork]]*Tasks[[#This Row],[_LeafProgress]]</f>
        <v>0</v>
      </c>
      <c r="GJ85" s="89" t="str">
        <f aca="false">IF(AND(Tasks[[#This Row],[_IsLeaf]]=1,Tasks[[#This Row],[_LeafProgress]]&gt;=1),IF(N(Tasks[[#This Row],[Actual Finish]])&gt;0,Tasks[[#This Row],[Actual Finish]],Tasks[[#This Row],[_ShownFcstFinish]]),"")</f>
        <v/>
      </c>
      <c r="GK85" s="42" t="n">
        <f aca="false">IF(Tasks[[#This Row],[_IsLeaf]]=1,N(Tasks[[#This Row],[Story Points]]),0)</f>
        <v>0</v>
      </c>
      <c r="GL85" s="42" t="str">
        <f aca="false">""</f>
        <v/>
      </c>
      <c r="GM85" s="88" t="b">
        <f aca="false">IF(Tasks[[#This Row],[Task Name]]="",FALSE(),AND(Tasks[[#This Row],[_IsLeaf]]=1,N(Tasks[[#This Row],[_Days]])=0))</f>
        <v>0</v>
      </c>
      <c r="GN85" s="89" t="n">
        <f aca="false">IF(Tasks[[#This Row],[Task Name]]="",0,IF(AND(Tasks[[#This Row],[_IsLeaf]]=1,NOT(Tasks[[#This Row],[_IsMilestone]]),N(Tasks[[#This Row],[Progress]])&gt;0),Tasks[[#This Row],[Start]],0))</f>
        <v>0</v>
      </c>
      <c r="GO85" s="89" t="n">
        <f aca="false">IF(Tasks[[#This Row],[_DoneFrom]]=0,0,IF(Tasks[[#This Row],[Progress]]&gt;=1,Tasks[[#This Row],[Finish]],MAX(Tasks[[#This Row],[_DoneFrom]],Tasks[[#This Row],[Start]]+ROUND((Tasks[[#This Row],[Finish]]-Tasks[[#This Row],[Start]]+1)*Tasks[[#This Row],[Progress]],0)-1)))</f>
        <v>0</v>
      </c>
      <c r="GP85" s="89" t="n">
        <f aca="false">IF(Tasks[[#This Row],[Task Name]]="",0,IF(OR(NOT(Tasks[[#This Row],[_IsLeaf]]=1),Tasks[[#This Row],[_IsMilestone]],N(Tasks[[#This Row],[Progress]])&gt;=1),0,IF(Tasks[[#This Row],[_DoneTo]]&gt;0,Tasks[[#This Row],[_DoneTo]]+1,Tasks[[#This Row],[Start]])))</f>
        <v>0</v>
      </c>
      <c r="GQ85" s="89" t="n">
        <f aca="false">IF(Tasks[[#This Row],[_RemFrom]]=0,0,Tasks[[#This Row],[Finish]])</f>
        <v>0</v>
      </c>
      <c r="GR85" s="88" t="b">
        <f aca="false">IF(Tasks[[#This Row],[Task Name]]="",FALSE(),OR(NOT(BaselineSet),N(Tasks[[#This Row],[Baseline Start]])&gt;0))</f>
        <v>0</v>
      </c>
      <c r="GS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5" s="90" t="str">
        <f aca="false">IF(Tasks[[#This Row],[_IsLeaf]]=1,Tasks[[#This Row],[_Row]],"")</f>
        <v/>
      </c>
      <c r="GW85" s="90" t="str">
        <f aca="false">IFERROR(INDEX(Tasks[UID],SMALL(Tasks[_PickKey],Tasks[[#This Row],[_Row]]))&amp;" "&amp;INDEX(Tasks[Task Name],SMALL(Tasks[_PickKey],Tasks[[#This Row],[_Row]])),"")</f>
        <v/>
      </c>
      <c r="GX85" s="42" t="str">
        <f aca="false">IF(Tasks[[#This Row],[Task Name]]="","",IF(Tasks[[#This Row],[_IsSummary]],NETWORKDAYS.INTL(Tasks[[#This Row],[Start]],Tasks[[#This Row],[Finish]],WorkWeek,Holidays),N(Tasks[[#This Row],[_Days]])))</f>
        <v/>
      </c>
    </row>
    <row r="86" customFormat="false" ht="15" hidden="false" customHeight="false" outlineLevel="0" collapsed="false">
      <c r="A86" s="21" t="str">
        <f aca="false">IF(Tasks[[#This Row],[Task Name]]="","",COUNTA(Tasks[[#Headers],[Task Name]]:Tasks[[#This Row],[Task Name]])-1)</f>
        <v/>
      </c>
      <c r="B86" s="22" t="n">
        <v>94</v>
      </c>
      <c r="C86" s="22"/>
      <c r="D86" s="23"/>
      <c r="E86" s="22"/>
      <c r="F86" s="23"/>
      <c r="G86" s="22"/>
      <c r="H86" s="22"/>
      <c r="I86" s="23"/>
      <c r="J86" s="22"/>
      <c r="K86" s="22"/>
      <c r="L86" s="23"/>
      <c r="M86" s="22"/>
      <c r="N86" s="22"/>
      <c r="O86" s="23"/>
      <c r="P86" s="22"/>
      <c r="Q86" s="22"/>
      <c r="R86" s="23"/>
      <c r="S86" s="23"/>
      <c r="T86" s="83"/>
      <c r="U86" s="23"/>
      <c r="V86" s="83"/>
      <c r="W86" s="23"/>
      <c r="X86" s="83"/>
      <c r="Y86" s="23"/>
      <c r="Z86" s="83"/>
      <c r="AA86" s="23"/>
      <c r="AB86" s="23"/>
      <c r="AC86" s="7"/>
      <c r="AD86" s="7"/>
      <c r="AE86" s="62" t="str">
        <f aca="false">IF(Tasks[[#This Row],[Task Name]]="","",IF(Tasks[[#This Row],[_IsSummary]],MIN(INDEX(Tasks[_ShownFcstStart],Tasks[[#This Row],[_Row]]+1):INDEX(Tasks[_ShownFcstStart],Tasks[[#This Row],[_Row]]+Tasks[[#This Row],[_Descendants]])),Tasks[[#This Row],[_ShownFcstStart]]))</f>
        <v/>
      </c>
      <c r="AF86" s="62" t="str">
        <f aca="false">IF(Tasks[[#This Row],[Task Name]]="","",IF(Tasks[[#This Row],[_IsSummary]],MAX(INDEX(Tasks[_ShownFcstFinish],Tasks[[#This Row],[_Row]]+1):INDEX(Tasks[_ShownFcstFinish],Tasks[[#This Row],[_Row]]+Tasks[[#This Row],[_Descendants]])),Tasks[[#This Row],[_ShownFcstFinish]]))</f>
        <v/>
      </c>
      <c r="AG86" s="21" t="str">
        <f aca="false">""</f>
        <v/>
      </c>
      <c r="AH86" s="23"/>
      <c r="AI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6" s="7"/>
      <c r="AK86" s="22"/>
      <c r="AL86" s="23"/>
      <c r="AM86" s="7"/>
      <c r="AN86" s="46" t="str">
        <f aca="false">IF(Tasks[[#This Row],[Task Name]]="","",IF(Tasks[[#This Row],[Finish]]&gt;=Tasks[[#This Row],[Planned Finish]],NETWORKDAYS.INTL(Tasks[[#This Row],[Planned Finish]],Tasks[[#This Row],[Finish]],WorkWeek,Holidays)-1,1-NETWORKDAYS.INTL(Tasks[[#This Row],[Finish]],Tasks[[#This Row],[Planned Finish]],WorkWeek,Holidays)))</f>
        <v/>
      </c>
      <c r="AO86" s="21" t="str">
        <f aca="false">IF(Tasks[[#This Row],[Task Name]]="","",IF(Tasks[[#This Row],[Progress]]&gt;=1,"Complete",IF(OR(N(Tasks[[#This Row],[Actual Start]])&gt;0,Tasks[[#This Row],[Progress]]&gt;0),IF(Tasks[[#This Row],[Finish Var]]&gt;0,"Behind","In Progress"),IF(Tasks[[#This Row],[Planned Start]]&lt;StatusDate,"Late Start","Not Started"))))</f>
        <v/>
      </c>
      <c r="AP86" s="21" t="str">
        <f aca="false">IF(Tasks[[#This Row],[Task Name]]="","",IF(IF(Tasks[[#This Row],[_IsSummary]],COUNTIF(INDEX(Tasks[_LeafCritical],Tasks[[#This Row],[_Row]]+1):INDEX(Tasks[_LeafCritical],Tasks[[#This Row],[_Row]]+Tasks[[#This Row],[_Descendants]]),TRUE())&gt;0,Tasks[[#This Row],[_LeafCritical]]),"Yes",""))</f>
        <v/>
      </c>
      <c r="AQ86" s="62" t="str">
        <f aca="false">IF(Tasks[[#This Row],[Task Name]]="","",IF(N(Tasks[[#This Row],[Baseline Start]])&gt;0,Tasks[[#This Row],[Baseline Start]],Tasks[[#This Row],[_CalcStart]]))</f>
        <v/>
      </c>
      <c r="AR86" s="62" t="str">
        <f aca="false">IF(Tasks[[#This Row],[Task Name]]="","",IF(N(Tasks[[#This Row],[Baseline Finish]])&gt;0,Tasks[[#This Row],[Baseline Finish]],Tasks[[#This Row],[_CalcFinish]]))</f>
        <v/>
      </c>
      <c r="AS86" s="46" t="str">
        <f aca="false">IF(Tasks[[#This Row],[Task Name]]="","",IF(Tasks[[#This Row],[Start]]&gt;=Tasks[[#This Row],[Planned Start]],NETWORKDAYS.INTL(Tasks[[#This Row],[Planned Start]],Tasks[[#This Row],[Start]],WorkWeek,Holidays)-1,1-NETWORKDAYS.INTL(Tasks[[#This Row],[Start]],Tasks[[#This Row],[Planned Start]],WorkWeek,Holidays)))</f>
        <v/>
      </c>
      <c r="AT86" s="62" t="str">
        <f aca="false">IF(Tasks[[#This Row],[Task Name]]="","",IF(Tasks[[#This Row],[_IsSummary]],MIN(INDEX(Tasks[_LeafLateStart],Tasks[[#This Row],[_Row]]+1):INDEX(Tasks[_LeafLateStart],Tasks[[#This Row],[_Row]]+Tasks[[#This Row],[_Descendants]])),Tasks[[#This Row],[_LeafLateStart]]))</f>
        <v/>
      </c>
      <c r="AU86" s="62" t="str">
        <f aca="false">IF(Tasks[[#This Row],[Task Name]]="","",IF(Tasks[[#This Row],[_IsSummary]],MAX(INDEX(Tasks[_LeafLateFinish],Tasks[[#This Row],[_Row]]+1):INDEX(Tasks[_LeafLateFinish],Tasks[[#This Row],[_Row]]+Tasks[[#This Row],[_Descendants]])),Tasks[[#This Row],[_LeafLateFinish]]))</f>
        <v/>
      </c>
      <c r="AV86" s="46" t="str">
        <f aca="false">IF(Tasks[[#This Row],[Task Name]]="","",IF(Tasks[[#This Row],[_IsSummary]],MIN(INDEX(Tasks[_LeafTotalSlack],Tasks[[#This Row],[_Row]]+1):INDEX(Tasks[_LeafTotalSlack],Tasks[[#This Row],[_Row]]+Tasks[[#This Row],[_Descendants]])),Tasks[[#This Row],[_LeafTotalSlack]]))</f>
        <v/>
      </c>
      <c r="AW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4"/>
      <c r="BA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t="str">
        <f aca="false">IF(Tasks[[#This Row],[Task Name]]="","",IF(Tasks[[#This Row],[_Level]]&lt;=OutlineShowLevel,"Yes","No"))</f>
        <v/>
      </c>
      <c r="BE86" s="85" t="str">
        <f aca="false">IF(Tasks[[#This Row],[Task Name]]="","",IF(Tasks[[#This Row],[_IsSummary]],SUM(INDEX(Tasks[_LeafTotalWork],Tasks[[#This Row],[_Row]]+1):INDEX(Tasks[_LeafTotalWork],Tasks[[#This Row],[_Row]]+Tasks[[#This Row],[_Descendants]])),Tasks[[#This Row],[_LeafTotalWork]]))</f>
        <v/>
      </c>
      <c r="BF86" s="23"/>
      <c r="BG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t="str">
        <f aca="false">""</f>
        <v/>
      </c>
      <c r="BI86" s="86"/>
      <c r="BJ86" s="22"/>
      <c r="BK86" s="46" t="str">
        <f aca="false">IF(OR(Tasks[[#This Row],[Task Name]]="",Tasks[[#This Row],[Baseline Duration]]=""),"",Tasks[[#This Row],[_SpanDays]]-N(Tasks[[#This Row],[Baseline Duration]]))</f>
        <v/>
      </c>
      <c r="BL86" s="85" t="str">
        <f aca="false">IF(OR(Tasks[[#This Row],[Task Name]]="",Tasks[[#This Row],[Baseline Work]]=""),"",Tasks[[#This Row],[Work]]-N(Tasks[[#This Row],[Baseline Work]]))</f>
        <v/>
      </c>
      <c r="BM86" s="62" t="str">
        <f aca="false">IF(Tasks[[#This Row],[Task Name]]="","",IF(OR(TakeBaseline="Yes",N(Tasks[[#This Row],[Baseline Start]])=0),Tasks[[#This Row],[Start]],Tasks[[#This Row],[Baseline Start]]))</f>
        <v/>
      </c>
      <c r="BN86" s="62" t="str">
        <f aca="false">IF(Tasks[[#This Row],[Task Name]]="","",IF(OR(TakeBaseline="Yes",N(Tasks[[#This Row],[Baseline Finish]])=0),Tasks[[#This Row],[Finish]],Tasks[[#This Row],[Baseline Finish]]))</f>
        <v/>
      </c>
      <c r="BO86" s="21" t="str">
        <f aca="false">IF(Tasks[[#This Row],[Task Name]]="","",IF(OR(TakeBaseline="Yes",N(Tasks[[#This Row],[Baseline Duration]])=0),Tasks[[#This Row],[_SpanDays]],Tasks[[#This Row],[Baseline Duration]]))</f>
        <v/>
      </c>
      <c r="BP86" s="85" t="str">
        <f aca="false">IF(Tasks[[#This Row],[Task Name]]="","",IF(OR(TakeBaseline="Yes",N(Tasks[[#This Row],[Baseline Work]])=0),Tasks[[#This Row],[Work]],Tasks[[#This Row],[Baseline Work]]))</f>
        <v/>
      </c>
      <c r="BQ86" s="7"/>
      <c r="BR86" s="7"/>
      <c r="BS86" s="22"/>
      <c r="BT86" s="87"/>
      <c r="BU86" s="42" t="str">
        <f aca="false">IF(Tasks[[#This Row],[Task Name]]="","",MAX(1,N(Tasks[[#This Row],[Level]])))</f>
        <v/>
      </c>
      <c r="BV86" s="42" t="n">
        <f aca="false">ROW()-ROW(Tasks[[#Headers],[ID]])</f>
        <v>81</v>
      </c>
      <c r="BW86" s="42" t="n">
        <f aca="false">IF(OR(Tasks[[#This Row],[Task Name]]="",Tasks[[#This Row],[_Level]]&lt;=1),0,IFERROR(LOOKUP(2,1/(Tasks[[#Headers],[_Level]]:Tasks[[#This Row],[_Level]]=Tasks[[#This Row],[_Level]]-1),ROW(Tasks[[#Headers],[_Level]]:Tasks[[#This Row],[_Level]])),0))</f>
        <v>0</v>
      </c>
      <c r="BX86" s="42" t="n">
        <f aca="false">IFERROR(N(INDEX(Tasks[_Level],Tasks[[#This Row],[_Row]]+1)),0)</f>
        <v>0</v>
      </c>
      <c r="BY86" s="88" t="b">
        <f aca="false">AND(Tasks[[#This Row],[Task Name]]&lt;&gt;"",Tasks[[#This Row],[_NextLevel]]&gt;Tasks[[#This Row],[_Level]])</f>
        <v>0</v>
      </c>
      <c r="BZ86" s="42" t="n">
        <f aca="false">IF(Tasks[[#This Row],[_IsSummary]],COUNTIF(Tasks[WBS],Tasks[[#This Row],[WBS]]&amp;".*"),0)</f>
        <v>0</v>
      </c>
      <c r="CA86" s="42" t="n">
        <f aca="false">IF(AND(Tasks[[#This Row],[Task Name]]&lt;&gt;"",NOT(Tasks[[#This Row],[_IsSummary]])),1,0)</f>
        <v>0</v>
      </c>
      <c r="CB86" s="42" t="n">
        <f aca="false">IF(N(Tasks[[#This Row],[_Pred1UID]])=0,0,IFERROR(MATCH(Tasks[[#This Row],[_Pred1UID]],Tasks[UID],0),-1))</f>
        <v>0</v>
      </c>
      <c r="CC86" s="42" t="n">
        <f aca="false">IF(N(Tasks[[#This Row],[_Pred2UID]])=0,0,IFERROR(MATCH(Tasks[[#This Row],[_Pred2UID]],Tasks[UID],0),-1))</f>
        <v>0</v>
      </c>
      <c r="CD86" s="42" t="n">
        <f aca="false">IF(N(Tasks[[#This Row],[_Pred3UID]])=0,0,IFERROR(MATCH(Tasks[[#This Row],[_Pred3UID]],Tasks[UID],0),-1))</f>
        <v>0</v>
      </c>
      <c r="CE86" s="42" t="n">
        <f aca="false">IF(N(Tasks[[#This Row],[_Pred4UID]])=0,0,IFERROR(MATCH(Tasks[[#This Row],[_Pred4UID]],Tasks[UID],0),-1))</f>
        <v>0</v>
      </c>
      <c r="CF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6" s="89" t="n">
        <f aca="false">IF(OR(Tasks[[#This Row],[_ConstraintCode]]=2,Tasks[[#This Row],[_ConstraintCode]]=3,Tasks[[#This Row],[_ConstraintCode]]=4,Tasks[[#This Row],[_ConstraintCode]]=6),Tasks[[#This Row],[_ConstraintStart]],0)</f>
        <v>0</v>
      </c>
      <c r="CI86" s="89" t="n">
        <f aca="false">IF(OR(Tasks[[#This Row],[_ConstraintCode]]=2,Tasks[[#This Row],[_ConstraintCode]]=3,Tasks[[#This Row],[_ConstraintCode]]=5,Tasks[[#This Row],[_ConstraintCode]]=7),Tasks[[#This Row],[_ConstraintStart]],2958465)</f>
        <v>2958465</v>
      </c>
      <c r="CJ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6" s="89" t="str">
        <f aca="false">IF(NOT(Tasks[[#This Row],[_IsLeaf]]=1),"",IF(N(Tasks[[#This Row],[_Days]])&lt;=0,Tasks[[#This Row],[_LeafCalcStart]],WORKDAY.INTL(Tasks[[#This Row],[_LeafCalcStart]],Tasks[[#This Row],[_Days]]-1,WorkWeek,Holidays)))</f>
        <v/>
      </c>
      <c r="CL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6" s="42" t="str">
        <f aca="false">IF(Tasks[[#This Row],[_Predecessors]]="","",TRIM(MID(SUBSTITUTE(SUBSTITUTE(SUBSTITUTE(UPPER(Tasks[[#This Row],[_Predecessors]]),";",",")," ",""),",",REPT(" ",99)),1,99)))</f>
        <v/>
      </c>
      <c r="CO86" s="42" t="str">
        <f aca="false">IF(Tasks[[#This Row],[_Pred1Text]]="","",IFERROR(VALUE(LEFT(Tasks[[#This Row],[_Pred1Text]],MIN(FIND("F",Tasks[[#This Row],[_Pred1Text]]&amp;"F"),FIND("S",Tasks[[#This Row],[_Pred1Text]]&amp;"S"),FIND("+",Tasks[[#This Row],[_Pred1Text]]&amp;"+"),FIND("-",Tasks[[#This Row],[_Pred1Text]]&amp;"-"))-1)),""))</f>
        <v/>
      </c>
      <c r="CP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6" s="42" t="str">
        <f aca="false">IF(Tasks[[#This Row],[_Pred1Text]]="","",TRIM(MID(SUBSTITUTE(SUBSTITUTE(SUBSTITUTE(UPPER(Tasks[[#This Row],[_Predecessors]]),";",",")," ",""),",",REPT(" ",99)),100,99)))</f>
        <v/>
      </c>
      <c r="CS86" s="42" t="str">
        <f aca="false">IF(Tasks[[#This Row],[_Pred2Text]]="","",IFERROR(VALUE(LEFT(Tasks[[#This Row],[_Pred2Text]],MIN(FIND("F",Tasks[[#This Row],[_Pred2Text]]&amp;"F"),FIND("S",Tasks[[#This Row],[_Pred2Text]]&amp;"S"),FIND("+",Tasks[[#This Row],[_Pred2Text]]&amp;"+"),FIND("-",Tasks[[#This Row],[_Pred2Text]]&amp;"-"))-1)),""))</f>
        <v/>
      </c>
      <c r="CT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6" s="42" t="str">
        <f aca="false">IF(Tasks[[#This Row],[_Pred2Text]]="","",TRIM(MID(SUBSTITUTE(SUBSTITUTE(SUBSTITUTE(UPPER(Tasks[[#This Row],[_Predecessors]]),";",",")," ",""),",",REPT(" ",99)),199,99)))</f>
        <v/>
      </c>
      <c r="CW86" s="42" t="str">
        <f aca="false">IF(Tasks[[#This Row],[_Pred3Text]]="","",IFERROR(VALUE(LEFT(Tasks[[#This Row],[_Pred3Text]],MIN(FIND("F",Tasks[[#This Row],[_Pred3Text]]&amp;"F"),FIND("S",Tasks[[#This Row],[_Pred3Text]]&amp;"S"),FIND("+",Tasks[[#This Row],[_Pred3Text]]&amp;"+"),FIND("-",Tasks[[#This Row],[_Pred3Text]]&amp;"-"))-1)),""))</f>
        <v/>
      </c>
      <c r="CX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6" s="42" t="str">
        <f aca="false">IF(Tasks[[#This Row],[_Pred3Text]]="","",TRIM(MID(SUBSTITUTE(SUBSTITUTE(SUBSTITUTE(UPPER(Tasks[[#This Row],[_Predecessors]]),";",",")," ",""),",",REPT(" ",99)),298,99)))</f>
        <v/>
      </c>
      <c r="DA86" s="42" t="str">
        <f aca="false">IF(Tasks[[#This Row],[_Pred4Text]]="","",IFERROR(VALUE(LEFT(Tasks[[#This Row],[_Pred4Text]],MIN(FIND("F",Tasks[[#This Row],[_Pred4Text]]&amp;"F"),FIND("S",Tasks[[#This Row],[_Pred4Text]]&amp;"S"),FIND("+",Tasks[[#This Row],[_Pred4Text]]&amp;"+"),FIND("-",Tasks[[#This Row],[_Pred4Text]]&amp;"-"))-1)),""))</f>
        <v/>
      </c>
      <c r="DB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6" s="42" t="str">
        <f aca="false">IF(OR(Tasks[[#This Row],[Task Name]]="",Tasks[[#This Row],[_Resources]]=""),"",TRIM(MID(SUBSTITUTE(Tasks[[#This Row],[_Resources]],",",REPT(" ",99)),1,99)))</f>
        <v/>
      </c>
      <c r="DE86" s="42" t="str">
        <f aca="false">IF(Tasks[[#This Row],[_Res1Text]]="","",TRIM(MID(SUBSTITUTE(Tasks[[#This Row],[_Resources]],",",REPT(" ",99)),100,99)))</f>
        <v/>
      </c>
      <c r="DF86" s="42" t="str">
        <f aca="false">IF(Tasks[[#This Row],[_Res2Text]]="","",TRIM(MID(SUBSTITUTE(Tasks[[#This Row],[_Resources]],",",REPT(" ",99)),199,99)))</f>
        <v/>
      </c>
      <c r="DG86" s="42" t="str">
        <f aca="false">IF(Tasks[[#This Row],[_Res3Text]]="","",TRIM(MID(SUBSTITUTE(Tasks[[#This Row],[_Resources]],",",REPT(" ",99)),298,99)))</f>
        <v/>
      </c>
      <c r="DH86" s="42" t="n">
        <f aca="false">IF(Tasks[[#This Row],[_Res1Text]]="",0,IFERROR(MATCH(TRIM(LEFT(Tasks[[#This Row],[_Res1Text]],FIND("[",Tasks[[#This Row],[_Res1Text]]&amp;"[")-1)),res_Name,0),IFERROR(MATCH(TRIM(LEFT(Tasks[[#This Row],[_Res1Text]],FIND("[",Tasks[[#This Row],[_Res1Text]]&amp;"[")-1)),res_Initials,0),0)))</f>
        <v>0</v>
      </c>
      <c r="DI86" s="42" t="n">
        <f aca="false">IF(Tasks[[#This Row],[_Res2Text]]="",0,IFERROR(MATCH(TRIM(LEFT(Tasks[[#This Row],[_Res2Text]],FIND("[",Tasks[[#This Row],[_Res2Text]]&amp;"[")-1)),res_Name,0),IFERROR(MATCH(TRIM(LEFT(Tasks[[#This Row],[_Res2Text]],FIND("[",Tasks[[#This Row],[_Res2Text]]&amp;"[")-1)),res_Initials,0),0)))</f>
        <v>0</v>
      </c>
      <c r="DJ86" s="42" t="n">
        <f aca="false">IF(Tasks[[#This Row],[_Res3Text]]="",0,IFERROR(MATCH(TRIM(LEFT(Tasks[[#This Row],[_Res3Text]],FIND("[",Tasks[[#This Row],[_Res3Text]]&amp;"[")-1)),res_Name,0),IFERROR(MATCH(TRIM(LEFT(Tasks[[#This Row],[_Res3Text]],FIND("[",Tasks[[#This Row],[_Res3Text]]&amp;"[")-1)),res_Initials,0),0)))</f>
        <v>0</v>
      </c>
      <c r="DK86" s="42" t="n">
        <f aca="false">IF(Tasks[[#This Row],[_Res4Text]]="",0,IFERROR(MATCH(TRIM(LEFT(Tasks[[#This Row],[_Res4Text]],FIND("[",Tasks[[#This Row],[_Res4Text]]&amp;"[")-1)),res_Name,0),IFERROR(MATCH(TRIM(LEFT(Tasks[[#This Row],[_Res4Text]],FIND("[",Tasks[[#This Row],[_Res4Text]]&amp;"[")-1)),res_Initials,0),0)))</f>
        <v>0</v>
      </c>
      <c r="DL86" s="42" t="str">
        <f aca="false">IF(Tasks[[#This Row],[_Res1Text]]="","",IF(Tasks[[#This Row],[_Res1Row]]&gt;0,INDEX(res_Name,Tasks[[#This Row],[_Res1Row]]),TRIM(LEFT(Tasks[[#This Row],[_Res1Text]],FIND("[",Tasks[[#This Row],[_Res1Text]]&amp;"[")-1))))</f>
        <v/>
      </c>
      <c r="DM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6" s="42" t="n">
        <f aca="false">IF(NOT(Tasks[[#This Row],[_IsLeaf]]=1),0,(Tasks[[#This Row],[_Resource1]]&lt;&gt;"")+(Tasks[[#This Row],[_Res2]]&lt;&gt;"")+(Tasks[[#This Row],[_Res3]]&lt;&gt;"")+(Tasks[[#This Row],[_Res4]]&lt;&gt;""))</f>
        <v>0</v>
      </c>
      <c r="DO86" s="42" t="str">
        <f aca="false">IF(Tasks[[#This Row],[_Res2Text]]="","",IF(Tasks[[#This Row],[_Res2Row]]&gt;0,INDEX(res_Name,Tasks[[#This Row],[_Res2Row]]),TRIM(LEFT(Tasks[[#This Row],[_Res2Text]],FIND("[",Tasks[[#This Row],[_Res2Text]]&amp;"[")-1))))</f>
        <v/>
      </c>
      <c r="DP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6" s="42" t="n">
        <f aca="false">IF(OR(NOT(Tasks[[#This Row],[_IsLeaf]]=1),Tasks[[#This Row],[_Res2Row]]=0),0,N(Tasks[[#This Row],[_Days]])*HoursPerDay*IF(Tasks[[#This Row],[_Res2Units]]="",DefaultUnits,Tasks[[#This Row],[_Res2Units]]))</f>
        <v>0</v>
      </c>
      <c r="DR86" s="42" t="n">
        <f aca="false">IF(AND(AND(Tasks[[#This Row],[_IsLeaf]]=1,Tasks[[#This Row],[_LeafTotalWork]]&gt;0),Tasks[[#This Row],[_Res2Work]]&gt;0),Tasks[[#This Row],[_Res2Work]]/(Tasks[[#This Row],[_FinishWorkday]]-Tasks[[#This Row],[_StartWorkday]]+1),0)</f>
        <v>0</v>
      </c>
      <c r="DS86" s="42" t="n">
        <f aca="false">Tasks[[#This Row],[_Res2WorkPerWD]]*MAX(0,Tasks[[#This Row],[_StartWorkday]]-1)</f>
        <v>0</v>
      </c>
      <c r="DT86" s="42" t="n">
        <f aca="false">Tasks[[#This Row],[_Res2Work]]*Tasks[[#This Row],[_LeafProgress]]</f>
        <v>0</v>
      </c>
      <c r="DU86" s="42" t="str">
        <f aca="false">IF(Tasks[[#This Row],[_Res3Text]]="","",IF(Tasks[[#This Row],[_Res3Row]]&gt;0,INDEX(res_Name,Tasks[[#This Row],[_Res3Row]]),TRIM(LEFT(Tasks[[#This Row],[_Res3Text]],FIND("[",Tasks[[#This Row],[_Res3Text]]&amp;"[")-1))))</f>
        <v/>
      </c>
      <c r="DV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6" s="42" t="n">
        <f aca="false">IF(OR(NOT(Tasks[[#This Row],[_IsLeaf]]=1),Tasks[[#This Row],[_Res3Row]]=0),0,N(Tasks[[#This Row],[_Days]])*HoursPerDay*IF(Tasks[[#This Row],[_Res3Units]]="",DefaultUnits,Tasks[[#This Row],[_Res3Units]]))</f>
        <v>0</v>
      </c>
      <c r="DX86" s="42" t="n">
        <f aca="false">IF(AND(AND(Tasks[[#This Row],[_IsLeaf]]=1,Tasks[[#This Row],[_LeafTotalWork]]&gt;0),Tasks[[#This Row],[_Res3Work]]&gt;0),Tasks[[#This Row],[_Res3Work]]/(Tasks[[#This Row],[_FinishWorkday]]-Tasks[[#This Row],[_StartWorkday]]+1),0)</f>
        <v>0</v>
      </c>
      <c r="DY86" s="42" t="n">
        <f aca="false">Tasks[[#This Row],[_Res3WorkPerWD]]*MAX(0,Tasks[[#This Row],[_StartWorkday]]-1)</f>
        <v>0</v>
      </c>
      <c r="DZ86" s="42" t="n">
        <f aca="false">Tasks[[#This Row],[_Res3Work]]*Tasks[[#This Row],[_LeafProgress]]</f>
        <v>0</v>
      </c>
      <c r="EA86" s="42" t="str">
        <f aca="false">IF(Tasks[[#This Row],[_Res4Text]]="","",IF(Tasks[[#This Row],[_Res4Row]]&gt;0,INDEX(res_Name,Tasks[[#This Row],[_Res4Row]]),TRIM(LEFT(Tasks[[#This Row],[_Res4Text]],FIND("[",Tasks[[#This Row],[_Res4Text]]&amp;"[")-1))))</f>
        <v/>
      </c>
      <c r="EB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6" s="42" t="n">
        <f aca="false">IF(OR(NOT(Tasks[[#This Row],[_IsLeaf]]=1),Tasks[[#This Row],[_Res4Row]]=0),0,N(Tasks[[#This Row],[_Days]])*HoursPerDay*IF(Tasks[[#This Row],[_Res4Units]]="",DefaultUnits,Tasks[[#This Row],[_Res4Units]]))</f>
        <v>0</v>
      </c>
      <c r="ED86" s="42" t="n">
        <f aca="false">IF(AND(AND(Tasks[[#This Row],[_IsLeaf]]=1,Tasks[[#This Row],[_LeafTotalWork]]&gt;0),Tasks[[#This Row],[_Res4Work]]&gt;0),Tasks[[#This Row],[_Res4Work]]/(Tasks[[#This Row],[_FinishWorkday]]-Tasks[[#This Row],[_StartWorkday]]+1),0)</f>
        <v>0</v>
      </c>
      <c r="EE86" s="42" t="n">
        <f aca="false">Tasks[[#This Row],[_Res4WorkPerWD]]*MAX(0,Tasks[[#This Row],[_StartWorkday]]-1)</f>
        <v>0</v>
      </c>
      <c r="EF86" s="42" t="n">
        <f aca="false">Tasks[[#This Row],[_Res4Work]]*Tasks[[#This Row],[_LeafProgress]]</f>
        <v>0</v>
      </c>
      <c r="EG86" s="42" t="n">
        <f aca="false">IF(ISNUMBER(Tasks[[#This Row],[% Complete]]),Tasks[[#This Row],[% Complete]],IF(Tasks[[#This Row],[Stage]]="",0,IFERROR(INDEX(stg_Pct,MATCH(Tasks[[#This Row],[Stage]],stg_Name,0)),0)))</f>
        <v>0</v>
      </c>
      <c r="EH86" s="42" t="n">
        <f aca="false">IF(NOT(Tasks[[#This Row],[_IsLeaf]]=1),0,IF(N(Tasks[[#This Row],[Actual Finish]])&gt;0,1,MIN(1,Tasks[[#This Row],[_Pct]])))</f>
        <v>0</v>
      </c>
      <c r="EI86" s="42" t="n">
        <f aca="false">IF(OR(NOT(Tasks[[#This Row],[_IsLeaf]]=1),Tasks[[#This Row],[_Res1Row]]=0),0,N(Tasks[[#This Row],[_Days]])*HoursPerDay*IF(Tasks[[#This Row],[_Units1]]="",DefaultUnits,Tasks[[#This Row],[_Units1]]))</f>
        <v>0</v>
      </c>
      <c r="EJ86" s="42" t="n">
        <f aca="false">Tasks[[#This Row],[_LeafWork]]+Tasks[[#This Row],[_Res2Work]]+Tasks[[#This Row],[_Res3Work]]+Tasks[[#This Row],[_Res4Work]]</f>
        <v>0</v>
      </c>
      <c r="EK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6" s="42" t="n">
        <f aca="false">IF(NOT(Tasks[[#This Row],[_IsLeaf]]=1),0,MAX(_xlfn.MAXIFS(Tasks[_Row],Tasks[_Pred1UID],Tasks[[#This Row],[UID]]),_xlfn.MAXIFS(Tasks[_Row],Tasks[_Pred2UID],Tasks[[#This Row],[UID]]),_xlfn.MAXIFS(Tasks[_Row],Tasks[_Pred3UID],Tasks[[#This Row],[UID]]),_xlfn.MAXIFS(Tasks[_Row],Tasks[_Pred4UID],Tasks[[#This Row],[UID]])))</f>
        <v>0</v>
      </c>
      <c r="ET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6" s="89" t="str">
        <f aca="false">IF(NOT(Tasks[[#This Row],[_IsLeaf]]=1),"",IF(N(Tasks[[#This Row],[_Days]])&lt;=0,Tasks[[#This Row],[_LeafLateFinish]],WORKDAY.INTL(Tasks[[#This Row],[_LeafLateFinish]],-(Tasks[[#This Row],[_Days]]-1),WorkWeek,Holidays)))</f>
        <v/>
      </c>
      <c r="EW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6" s="88" t="b">
        <f aca="false">AND(Tasks[[#This Row],[_IsLeaf]]=1,Tasks[[#This Row],[_LeafProgress]]&lt;1,N(Tasks[[#This Row],[_LeafTotalSlack]])&lt;=CriticalSlackDays)</f>
        <v>0</v>
      </c>
      <c r="EY86" s="42" t="n">
        <f aca="false">IF(AND(Tasks[[#This Row],[_IsLeaf]]=1,Tasks[[#This Row],[_ConstraintCode]]=1,Tasks[[#This Row],[Mode]]&lt;&gt;"Manual",N(Tasks[[#This Row],[Actual Start]])=0),MAX(0,N(Tasks[[#This Row],[Free Slack]])),0)</f>
        <v>0</v>
      </c>
      <c r="EZ86" s="89" t="str">
        <f aca="false">IF(NOT(Tasks[[#This Row],[_IsLeaf]]=1),"",IF(Tasks[[#This Row],[_AlapShift]]=0,Tasks[[#This Row],[_LeafCalcStart]],WORKDAY.INTL(Tasks[[#This Row],[_LeafCalcStart]],Tasks[[#This Row],[_AlapShift]],WorkWeek,Holidays)))</f>
        <v/>
      </c>
      <c r="FA86" s="89" t="str">
        <f aca="false">IF(NOT(Tasks[[#This Row],[_IsLeaf]]=1),"",IF(Tasks[[#This Row],[_AlapShift]]=0,Tasks[[#This Row],[_LeafCalcFinish]],WORKDAY.INTL(Tasks[[#This Row],[_LeafCalcFinish]],Tasks[[#This Row],[_AlapShift]],WorkWeek,Holidays)))</f>
        <v/>
      </c>
      <c r="FB86" s="89" t="str">
        <f aca="false">IF(NOT(Tasks[[#This Row],[_IsLeaf]]=1),"",IF(Tasks[[#This Row],[_AlapShift]]=0,Tasks[[#This Row],[_LeafFcstStart]],WORKDAY.INTL(Tasks[[#This Row],[_LeafFcstStart]],Tasks[[#This Row],[_AlapShift]],WorkWeek,Holidays)))</f>
        <v/>
      </c>
      <c r="FC86" s="89" t="str">
        <f aca="false">IF(NOT(Tasks[[#This Row],[_IsLeaf]]=1),"",IF(Tasks[[#This Row],[_AlapShift]]=0,Tasks[[#This Row],[_LeafFcstFinish]],WORKDAY.INTL(Tasks[[#This Row],[_LeafFcstFinish]],Tasks[[#This Row],[_AlapShift]],WorkWeek,Holidays)))</f>
        <v/>
      </c>
      <c r="FD86" s="89" t="str">
        <f aca="false">IF(Tasks[[#This Row],[Task Name]]="","",IF(Tasks[[#This Row],[_IsSummary]],MIN(INDEX(Tasks[_ShownCalcStart],Tasks[[#This Row],[_Row]]+1):INDEX(Tasks[_ShownCalcStart],Tasks[[#This Row],[_Row]]+Tasks[[#This Row],[_Descendants]])),Tasks[[#This Row],[_ShownCalcStart]]))</f>
        <v/>
      </c>
      <c r="FE86" s="89" t="str">
        <f aca="false">IF(Tasks[[#This Row],[Task Name]]="","",IF(Tasks[[#This Row],[_IsSummary]],MAX(INDEX(Tasks[_ShownCalcFinish],Tasks[[#This Row],[_Row]]+1):INDEX(Tasks[_ShownCalcFinish],Tasks[[#This Row],[_Row]]+Tasks[[#This Row],[_Descendants]])),Tasks[[#This Row],[_ShownCalcFinish]]))</f>
        <v/>
      </c>
      <c r="FF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6" s="42" t="n">
        <f aca="false">IF(AND(Tasks[[#This Row],[_IsLeaf]]=1,Tasks[[#This Row],[_LeafTotalWork]]&gt;0),NETWORKDAYS.INTL(ProjectStart,Tasks[[#This Row],[_ShownFcstStart]],WorkWeek,Holidays),0)</f>
        <v>0</v>
      </c>
      <c r="FS86" s="42" t="n">
        <f aca="false">IF(AND(Tasks[[#This Row],[_IsLeaf]]=1,Tasks[[#This Row],[_LeafTotalWork]]&gt;0),MAX(Tasks[[#This Row],[_StartWorkday]],NETWORKDAYS.INTL(ProjectStart,Tasks[[#This Row],[_ShownFcstFinish]],WorkWeek,Holidays)),0)</f>
        <v>0</v>
      </c>
      <c r="FT86" s="42" t="n">
        <f aca="false">IF(AND(Tasks[[#This Row],[_IsLeaf]]=1,Tasks[[#This Row],[_LeafTotalWork]]&gt;0),Tasks[[#This Row],[_LeafWork]]/(Tasks[[#This Row],[_FinishWorkday]]-Tasks[[#This Row],[_StartWorkday]]+1),0)</f>
        <v>0</v>
      </c>
      <c r="FU86" s="42" t="n">
        <f aca="false">Tasks[[#This Row],[_WorkPerWorkday]]*(Tasks[[#This Row],[_StartWorkday]]-1)</f>
        <v>-0</v>
      </c>
      <c r="FV86" s="42" t="n">
        <f aca="false">IF(Tasks[[#This Row],[_IsLeaf]]=1,MAX(N(Tasks[[#This Row],[_Days]]),0.1),0)</f>
        <v>0</v>
      </c>
      <c r="FW86" s="42" t="n">
        <f aca="false">Tasks[[#This Row],[_WeightDur]]*Tasks[[#This Row],[_LeafProgress]]</f>
        <v>0</v>
      </c>
      <c r="FX86" s="42" t="n">
        <f aca="false">Tasks[[#This Row],[_WeightDur]]*Tasks[[#This Row],[_PlannedPct]]</f>
        <v>0</v>
      </c>
      <c r="FY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6" s="42" t="str">
        <f aca="false">IF(AND(Tasks[[#This Row],[_IsLeaf]]=1,N(Tasks[[#This Row],[_Days]])=0,Tasks[[#This Row],[_LeafProgress]]&lt;1),Tasks[[#This Row],[_ShownFcstFinish]]+Tasks[[#This Row],[_Row]]/100000,"")</f>
        <v/>
      </c>
      <c r="GA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6" s="42" t="str">
        <f aca="false">IF(Tasks[[#This Row],[Task Name]]="","",LEFT(Tasks[[#This Row],[WBS]],FIND(".",Tasks[[#This Row],[WBS]]&amp;".")-1))</f>
        <v/>
      </c>
      <c r="GC86" s="42" t="str">
        <f aca="false">IF(AND(Tasks[[#This Row],[Task Name]]&lt;&gt;"",Tasks[[#This Row],[_Level]]=1),Tasks[[#This Row],[_Row]],"")</f>
        <v/>
      </c>
      <c r="GD86" s="42" t="str">
        <f aca="false">IF(AND(Tasks[[#This Row],[_IsLeaf]]=1,N(Tasks[[#This Row],[_Days]])=0),Tasks[[#This Row],[Planned Finish]]+Tasks[[#This Row],[_Row]]/100000,"")</f>
        <v/>
      </c>
      <c r="GE86" s="42" t="str">
        <f aca="false">IF(AND(Tasks[[#This Row],[_IsLeaf]]=1,Tasks[[#This Row],[_LeafProgress]]&lt;1,OR(N(Tasks[[#This Row],[Finish Var]])&gt;0,Tasks[[#This Row],[Status]]="Late Start")),MAX(0,Tasks[[#This Row],[Finish Var]])+1-Tasks[[#This Row],[_Row]]/1000000,"")</f>
        <v/>
      </c>
      <c r="GF86" s="42" t="str">
        <f aca="false">IF(AND(Tasks[[#This Row],[_IsLeaf]]=1,N(Tasks[[#This Row],[Actual Start]])=0,Tasks[[#This Row],[_ShownFcstStart]]&gt;=StatusDate,Tasks[[#This Row],[_ShownFcstStart]]&lt;=LookaheadEnd),Tasks[[#This Row],[_ShownFcstStart]]+Tasks[[#This Row],[_Row]]/100000,"")</f>
        <v/>
      </c>
      <c r="GG86" s="42" t="str">
        <f aca="false">IF(AND(Tasks[[#This Row],[_IsLeaf]]=1,Tasks[[#This Row],[_LeafProgress]]&lt;1,Tasks[[#This Row],[_ShownFcstFinish]]&gt;=StatusDate,Tasks[[#This Row],[_ShownFcstFinish]]&lt;=LookaheadEnd),Tasks[[#This Row],[_ShownFcstFinish]]+Tasks[[#This Row],[_Row]]/100000,"")</f>
        <v/>
      </c>
      <c r="GH86" s="42" t="str">
        <f aca="false">IF(Tasks[[#This Row],[_LeafCritical]],Tasks[[#This Row],[_ShownFcstStart]]+Tasks[[#This Row],[_Row]]/100000,"")</f>
        <v/>
      </c>
      <c r="GI86" s="42" t="n">
        <f aca="false">Tasks[[#This Row],[_LeafWork]]*Tasks[[#This Row],[_LeafProgress]]</f>
        <v>0</v>
      </c>
      <c r="GJ86" s="89" t="str">
        <f aca="false">IF(AND(Tasks[[#This Row],[_IsLeaf]]=1,Tasks[[#This Row],[_LeafProgress]]&gt;=1),IF(N(Tasks[[#This Row],[Actual Finish]])&gt;0,Tasks[[#This Row],[Actual Finish]],Tasks[[#This Row],[_ShownFcstFinish]]),"")</f>
        <v/>
      </c>
      <c r="GK86" s="42" t="n">
        <f aca="false">IF(Tasks[[#This Row],[_IsLeaf]]=1,N(Tasks[[#This Row],[Story Points]]),0)</f>
        <v>0</v>
      </c>
      <c r="GL86" s="42" t="str">
        <f aca="false">""</f>
        <v/>
      </c>
      <c r="GM86" s="88" t="b">
        <f aca="false">IF(Tasks[[#This Row],[Task Name]]="",FALSE(),AND(Tasks[[#This Row],[_IsLeaf]]=1,N(Tasks[[#This Row],[_Days]])=0))</f>
        <v>0</v>
      </c>
      <c r="GN86" s="89" t="n">
        <f aca="false">IF(Tasks[[#This Row],[Task Name]]="",0,IF(AND(Tasks[[#This Row],[_IsLeaf]]=1,NOT(Tasks[[#This Row],[_IsMilestone]]),N(Tasks[[#This Row],[Progress]])&gt;0),Tasks[[#This Row],[Start]],0))</f>
        <v>0</v>
      </c>
      <c r="GO86" s="89" t="n">
        <f aca="false">IF(Tasks[[#This Row],[_DoneFrom]]=0,0,IF(Tasks[[#This Row],[Progress]]&gt;=1,Tasks[[#This Row],[Finish]],MAX(Tasks[[#This Row],[_DoneFrom]],Tasks[[#This Row],[Start]]+ROUND((Tasks[[#This Row],[Finish]]-Tasks[[#This Row],[Start]]+1)*Tasks[[#This Row],[Progress]],0)-1)))</f>
        <v>0</v>
      </c>
      <c r="GP86" s="89" t="n">
        <f aca="false">IF(Tasks[[#This Row],[Task Name]]="",0,IF(OR(NOT(Tasks[[#This Row],[_IsLeaf]]=1),Tasks[[#This Row],[_IsMilestone]],N(Tasks[[#This Row],[Progress]])&gt;=1),0,IF(Tasks[[#This Row],[_DoneTo]]&gt;0,Tasks[[#This Row],[_DoneTo]]+1,Tasks[[#This Row],[Start]])))</f>
        <v>0</v>
      </c>
      <c r="GQ86" s="89" t="n">
        <f aca="false">IF(Tasks[[#This Row],[_RemFrom]]=0,0,Tasks[[#This Row],[Finish]])</f>
        <v>0</v>
      </c>
      <c r="GR86" s="88" t="b">
        <f aca="false">IF(Tasks[[#This Row],[Task Name]]="",FALSE(),OR(NOT(BaselineSet),N(Tasks[[#This Row],[Baseline Start]])&gt;0))</f>
        <v>0</v>
      </c>
      <c r="GS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6" s="90" t="str">
        <f aca="false">IF(Tasks[[#This Row],[_IsLeaf]]=1,Tasks[[#This Row],[_Row]],"")</f>
        <v/>
      </c>
      <c r="GW86" s="90" t="str">
        <f aca="false">IFERROR(INDEX(Tasks[UID],SMALL(Tasks[_PickKey],Tasks[[#This Row],[_Row]]))&amp;" "&amp;INDEX(Tasks[Task Name],SMALL(Tasks[_PickKey],Tasks[[#This Row],[_Row]])),"")</f>
        <v/>
      </c>
      <c r="GX86" s="42" t="str">
        <f aca="false">IF(Tasks[[#This Row],[Task Name]]="","",IF(Tasks[[#This Row],[_IsSummary]],NETWORKDAYS.INTL(Tasks[[#This Row],[Start]],Tasks[[#This Row],[Finish]],WorkWeek,Holidays),N(Tasks[[#This Row],[_Days]])))</f>
        <v/>
      </c>
    </row>
    <row r="87" customFormat="false" ht="15" hidden="false" customHeight="false" outlineLevel="0" collapsed="false">
      <c r="A87" s="21" t="str">
        <f aca="false">IF(Tasks[[#This Row],[Task Name]]="","",COUNTA(Tasks[[#Headers],[Task Name]]:Tasks[[#This Row],[Task Name]])-1)</f>
        <v/>
      </c>
      <c r="B87" s="22" t="n">
        <v>95</v>
      </c>
      <c r="C87" s="22"/>
      <c r="D87" s="23"/>
      <c r="E87" s="22"/>
      <c r="F87" s="23"/>
      <c r="G87" s="22"/>
      <c r="H87" s="22"/>
      <c r="I87" s="23"/>
      <c r="J87" s="22"/>
      <c r="K87" s="22"/>
      <c r="L87" s="23"/>
      <c r="M87" s="22"/>
      <c r="N87" s="22"/>
      <c r="O87" s="23"/>
      <c r="P87" s="22"/>
      <c r="Q87" s="22"/>
      <c r="R87" s="23"/>
      <c r="S87" s="23"/>
      <c r="T87" s="83"/>
      <c r="U87" s="23"/>
      <c r="V87" s="83"/>
      <c r="W87" s="23"/>
      <c r="X87" s="83"/>
      <c r="Y87" s="23"/>
      <c r="Z87" s="83"/>
      <c r="AA87" s="23"/>
      <c r="AB87" s="23"/>
      <c r="AC87" s="7"/>
      <c r="AD87" s="7"/>
      <c r="AE87" s="62" t="str">
        <f aca="false">IF(Tasks[[#This Row],[Task Name]]="","",IF(Tasks[[#This Row],[_IsSummary]],MIN(INDEX(Tasks[_ShownFcstStart],Tasks[[#This Row],[_Row]]+1):INDEX(Tasks[_ShownFcstStart],Tasks[[#This Row],[_Row]]+Tasks[[#This Row],[_Descendants]])),Tasks[[#This Row],[_ShownFcstStart]]))</f>
        <v/>
      </c>
      <c r="AF87" s="62" t="str">
        <f aca="false">IF(Tasks[[#This Row],[Task Name]]="","",IF(Tasks[[#This Row],[_IsSummary]],MAX(INDEX(Tasks[_ShownFcstFinish],Tasks[[#This Row],[_Row]]+1):INDEX(Tasks[_ShownFcstFinish],Tasks[[#This Row],[_Row]]+Tasks[[#This Row],[_Descendants]])),Tasks[[#This Row],[_ShownFcstFinish]]))</f>
        <v/>
      </c>
      <c r="AG87" s="21" t="str">
        <f aca="false">""</f>
        <v/>
      </c>
      <c r="AH87" s="23"/>
      <c r="AI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7" s="7"/>
      <c r="AK87" s="22"/>
      <c r="AL87" s="23"/>
      <c r="AM87" s="7"/>
      <c r="AN87" s="46" t="str">
        <f aca="false">IF(Tasks[[#This Row],[Task Name]]="","",IF(Tasks[[#This Row],[Finish]]&gt;=Tasks[[#This Row],[Planned Finish]],NETWORKDAYS.INTL(Tasks[[#This Row],[Planned Finish]],Tasks[[#This Row],[Finish]],WorkWeek,Holidays)-1,1-NETWORKDAYS.INTL(Tasks[[#This Row],[Finish]],Tasks[[#This Row],[Planned Finish]],WorkWeek,Holidays)))</f>
        <v/>
      </c>
      <c r="AO87" s="21" t="str">
        <f aca="false">IF(Tasks[[#This Row],[Task Name]]="","",IF(Tasks[[#This Row],[Progress]]&gt;=1,"Complete",IF(OR(N(Tasks[[#This Row],[Actual Start]])&gt;0,Tasks[[#This Row],[Progress]]&gt;0),IF(Tasks[[#This Row],[Finish Var]]&gt;0,"Behind","In Progress"),IF(Tasks[[#This Row],[Planned Start]]&lt;StatusDate,"Late Start","Not Started"))))</f>
        <v/>
      </c>
      <c r="AP87" s="21" t="str">
        <f aca="false">IF(Tasks[[#This Row],[Task Name]]="","",IF(IF(Tasks[[#This Row],[_IsSummary]],COUNTIF(INDEX(Tasks[_LeafCritical],Tasks[[#This Row],[_Row]]+1):INDEX(Tasks[_LeafCritical],Tasks[[#This Row],[_Row]]+Tasks[[#This Row],[_Descendants]]),TRUE())&gt;0,Tasks[[#This Row],[_LeafCritical]]),"Yes",""))</f>
        <v/>
      </c>
      <c r="AQ87" s="62" t="str">
        <f aca="false">IF(Tasks[[#This Row],[Task Name]]="","",IF(N(Tasks[[#This Row],[Baseline Start]])&gt;0,Tasks[[#This Row],[Baseline Start]],Tasks[[#This Row],[_CalcStart]]))</f>
        <v/>
      </c>
      <c r="AR87" s="62" t="str">
        <f aca="false">IF(Tasks[[#This Row],[Task Name]]="","",IF(N(Tasks[[#This Row],[Baseline Finish]])&gt;0,Tasks[[#This Row],[Baseline Finish]],Tasks[[#This Row],[_CalcFinish]]))</f>
        <v/>
      </c>
      <c r="AS87" s="46" t="str">
        <f aca="false">IF(Tasks[[#This Row],[Task Name]]="","",IF(Tasks[[#This Row],[Start]]&gt;=Tasks[[#This Row],[Planned Start]],NETWORKDAYS.INTL(Tasks[[#This Row],[Planned Start]],Tasks[[#This Row],[Start]],WorkWeek,Holidays)-1,1-NETWORKDAYS.INTL(Tasks[[#This Row],[Start]],Tasks[[#This Row],[Planned Start]],WorkWeek,Holidays)))</f>
        <v/>
      </c>
      <c r="AT87" s="62" t="str">
        <f aca="false">IF(Tasks[[#This Row],[Task Name]]="","",IF(Tasks[[#This Row],[_IsSummary]],MIN(INDEX(Tasks[_LeafLateStart],Tasks[[#This Row],[_Row]]+1):INDEX(Tasks[_LeafLateStart],Tasks[[#This Row],[_Row]]+Tasks[[#This Row],[_Descendants]])),Tasks[[#This Row],[_LeafLateStart]]))</f>
        <v/>
      </c>
      <c r="AU87" s="62" t="str">
        <f aca="false">IF(Tasks[[#This Row],[Task Name]]="","",IF(Tasks[[#This Row],[_IsSummary]],MAX(INDEX(Tasks[_LeafLateFinish],Tasks[[#This Row],[_Row]]+1):INDEX(Tasks[_LeafLateFinish],Tasks[[#This Row],[_Row]]+Tasks[[#This Row],[_Descendants]])),Tasks[[#This Row],[_LeafLateFinish]]))</f>
        <v/>
      </c>
      <c r="AV87" s="46" t="str">
        <f aca="false">IF(Tasks[[#This Row],[Task Name]]="","",IF(Tasks[[#This Row],[_IsSummary]],MIN(INDEX(Tasks[_LeafTotalSlack],Tasks[[#This Row],[_Row]]+1):INDEX(Tasks[_LeafTotalSlack],Tasks[[#This Row],[_Row]]+Tasks[[#This Row],[_Descendants]])),Tasks[[#This Row],[_LeafTotalSlack]]))</f>
        <v/>
      </c>
      <c r="AW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4"/>
      <c r="BA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t="str">
        <f aca="false">IF(Tasks[[#This Row],[Task Name]]="","",IF(Tasks[[#This Row],[_Level]]&lt;=OutlineShowLevel,"Yes","No"))</f>
        <v/>
      </c>
      <c r="BE87" s="85" t="str">
        <f aca="false">IF(Tasks[[#This Row],[Task Name]]="","",IF(Tasks[[#This Row],[_IsSummary]],SUM(INDEX(Tasks[_LeafTotalWork],Tasks[[#This Row],[_Row]]+1):INDEX(Tasks[_LeafTotalWork],Tasks[[#This Row],[_Row]]+Tasks[[#This Row],[_Descendants]])),Tasks[[#This Row],[_LeafTotalWork]]))</f>
        <v/>
      </c>
      <c r="BF87" s="23"/>
      <c r="BG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t="str">
        <f aca="false">""</f>
        <v/>
      </c>
      <c r="BI87" s="86"/>
      <c r="BJ87" s="22"/>
      <c r="BK87" s="46" t="str">
        <f aca="false">IF(OR(Tasks[[#This Row],[Task Name]]="",Tasks[[#This Row],[Baseline Duration]]=""),"",Tasks[[#This Row],[_SpanDays]]-N(Tasks[[#This Row],[Baseline Duration]]))</f>
        <v/>
      </c>
      <c r="BL87" s="85" t="str">
        <f aca="false">IF(OR(Tasks[[#This Row],[Task Name]]="",Tasks[[#This Row],[Baseline Work]]=""),"",Tasks[[#This Row],[Work]]-N(Tasks[[#This Row],[Baseline Work]]))</f>
        <v/>
      </c>
      <c r="BM87" s="62" t="str">
        <f aca="false">IF(Tasks[[#This Row],[Task Name]]="","",IF(OR(TakeBaseline="Yes",N(Tasks[[#This Row],[Baseline Start]])=0),Tasks[[#This Row],[Start]],Tasks[[#This Row],[Baseline Start]]))</f>
        <v/>
      </c>
      <c r="BN87" s="62" t="str">
        <f aca="false">IF(Tasks[[#This Row],[Task Name]]="","",IF(OR(TakeBaseline="Yes",N(Tasks[[#This Row],[Baseline Finish]])=0),Tasks[[#This Row],[Finish]],Tasks[[#This Row],[Baseline Finish]]))</f>
        <v/>
      </c>
      <c r="BO87" s="21" t="str">
        <f aca="false">IF(Tasks[[#This Row],[Task Name]]="","",IF(OR(TakeBaseline="Yes",N(Tasks[[#This Row],[Baseline Duration]])=0),Tasks[[#This Row],[_SpanDays]],Tasks[[#This Row],[Baseline Duration]]))</f>
        <v/>
      </c>
      <c r="BP87" s="85" t="str">
        <f aca="false">IF(Tasks[[#This Row],[Task Name]]="","",IF(OR(TakeBaseline="Yes",N(Tasks[[#This Row],[Baseline Work]])=0),Tasks[[#This Row],[Work]],Tasks[[#This Row],[Baseline Work]]))</f>
        <v/>
      </c>
      <c r="BQ87" s="7"/>
      <c r="BR87" s="7"/>
      <c r="BS87" s="22"/>
      <c r="BT87" s="87"/>
      <c r="BU87" s="42" t="str">
        <f aca="false">IF(Tasks[[#This Row],[Task Name]]="","",MAX(1,N(Tasks[[#This Row],[Level]])))</f>
        <v/>
      </c>
      <c r="BV87" s="42" t="n">
        <f aca="false">ROW()-ROW(Tasks[[#Headers],[ID]])</f>
        <v>82</v>
      </c>
      <c r="BW87" s="42" t="n">
        <f aca="false">IF(OR(Tasks[[#This Row],[Task Name]]="",Tasks[[#This Row],[_Level]]&lt;=1),0,IFERROR(LOOKUP(2,1/(Tasks[[#Headers],[_Level]]:Tasks[[#This Row],[_Level]]=Tasks[[#This Row],[_Level]]-1),ROW(Tasks[[#Headers],[_Level]]:Tasks[[#This Row],[_Level]])),0))</f>
        <v>0</v>
      </c>
      <c r="BX87" s="42" t="n">
        <f aca="false">IFERROR(N(INDEX(Tasks[_Level],Tasks[[#This Row],[_Row]]+1)),0)</f>
        <v>0</v>
      </c>
      <c r="BY87" s="88" t="b">
        <f aca="false">AND(Tasks[[#This Row],[Task Name]]&lt;&gt;"",Tasks[[#This Row],[_NextLevel]]&gt;Tasks[[#This Row],[_Level]])</f>
        <v>0</v>
      </c>
      <c r="BZ87" s="42" t="n">
        <f aca="false">IF(Tasks[[#This Row],[_IsSummary]],COUNTIF(Tasks[WBS],Tasks[[#This Row],[WBS]]&amp;".*"),0)</f>
        <v>0</v>
      </c>
      <c r="CA87" s="42" t="n">
        <f aca="false">IF(AND(Tasks[[#This Row],[Task Name]]&lt;&gt;"",NOT(Tasks[[#This Row],[_IsSummary]])),1,0)</f>
        <v>0</v>
      </c>
      <c r="CB87" s="42" t="n">
        <f aca="false">IF(N(Tasks[[#This Row],[_Pred1UID]])=0,0,IFERROR(MATCH(Tasks[[#This Row],[_Pred1UID]],Tasks[UID],0),-1))</f>
        <v>0</v>
      </c>
      <c r="CC87" s="42" t="n">
        <f aca="false">IF(N(Tasks[[#This Row],[_Pred2UID]])=0,0,IFERROR(MATCH(Tasks[[#This Row],[_Pred2UID]],Tasks[UID],0),-1))</f>
        <v>0</v>
      </c>
      <c r="CD87" s="42" t="n">
        <f aca="false">IF(N(Tasks[[#This Row],[_Pred3UID]])=0,0,IFERROR(MATCH(Tasks[[#This Row],[_Pred3UID]],Tasks[UID],0),-1))</f>
        <v>0</v>
      </c>
      <c r="CE87" s="42" t="n">
        <f aca="false">IF(N(Tasks[[#This Row],[_Pred4UID]])=0,0,IFERROR(MATCH(Tasks[[#This Row],[_Pred4UID]],Tasks[UID],0),-1))</f>
        <v>0</v>
      </c>
      <c r="CF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7" s="89" t="n">
        <f aca="false">IF(OR(Tasks[[#This Row],[_ConstraintCode]]=2,Tasks[[#This Row],[_ConstraintCode]]=3,Tasks[[#This Row],[_ConstraintCode]]=4,Tasks[[#This Row],[_ConstraintCode]]=6),Tasks[[#This Row],[_ConstraintStart]],0)</f>
        <v>0</v>
      </c>
      <c r="CI87" s="89" t="n">
        <f aca="false">IF(OR(Tasks[[#This Row],[_ConstraintCode]]=2,Tasks[[#This Row],[_ConstraintCode]]=3,Tasks[[#This Row],[_ConstraintCode]]=5,Tasks[[#This Row],[_ConstraintCode]]=7),Tasks[[#This Row],[_ConstraintStart]],2958465)</f>
        <v>2958465</v>
      </c>
      <c r="CJ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7" s="89" t="str">
        <f aca="false">IF(NOT(Tasks[[#This Row],[_IsLeaf]]=1),"",IF(N(Tasks[[#This Row],[_Days]])&lt;=0,Tasks[[#This Row],[_LeafCalcStart]],WORKDAY.INTL(Tasks[[#This Row],[_LeafCalcStart]],Tasks[[#This Row],[_Days]]-1,WorkWeek,Holidays)))</f>
        <v/>
      </c>
      <c r="CL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7" s="42" t="str">
        <f aca="false">IF(Tasks[[#This Row],[_Predecessors]]="","",TRIM(MID(SUBSTITUTE(SUBSTITUTE(SUBSTITUTE(UPPER(Tasks[[#This Row],[_Predecessors]]),";",",")," ",""),",",REPT(" ",99)),1,99)))</f>
        <v/>
      </c>
      <c r="CO87" s="42" t="str">
        <f aca="false">IF(Tasks[[#This Row],[_Pred1Text]]="","",IFERROR(VALUE(LEFT(Tasks[[#This Row],[_Pred1Text]],MIN(FIND("F",Tasks[[#This Row],[_Pred1Text]]&amp;"F"),FIND("S",Tasks[[#This Row],[_Pred1Text]]&amp;"S"),FIND("+",Tasks[[#This Row],[_Pred1Text]]&amp;"+"),FIND("-",Tasks[[#This Row],[_Pred1Text]]&amp;"-"))-1)),""))</f>
        <v/>
      </c>
      <c r="CP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7" s="42" t="str">
        <f aca="false">IF(Tasks[[#This Row],[_Pred1Text]]="","",TRIM(MID(SUBSTITUTE(SUBSTITUTE(SUBSTITUTE(UPPER(Tasks[[#This Row],[_Predecessors]]),";",",")," ",""),",",REPT(" ",99)),100,99)))</f>
        <v/>
      </c>
      <c r="CS87" s="42" t="str">
        <f aca="false">IF(Tasks[[#This Row],[_Pred2Text]]="","",IFERROR(VALUE(LEFT(Tasks[[#This Row],[_Pred2Text]],MIN(FIND("F",Tasks[[#This Row],[_Pred2Text]]&amp;"F"),FIND("S",Tasks[[#This Row],[_Pred2Text]]&amp;"S"),FIND("+",Tasks[[#This Row],[_Pred2Text]]&amp;"+"),FIND("-",Tasks[[#This Row],[_Pred2Text]]&amp;"-"))-1)),""))</f>
        <v/>
      </c>
      <c r="CT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7" s="42" t="str">
        <f aca="false">IF(Tasks[[#This Row],[_Pred2Text]]="","",TRIM(MID(SUBSTITUTE(SUBSTITUTE(SUBSTITUTE(UPPER(Tasks[[#This Row],[_Predecessors]]),";",",")," ",""),",",REPT(" ",99)),199,99)))</f>
        <v/>
      </c>
      <c r="CW87" s="42" t="str">
        <f aca="false">IF(Tasks[[#This Row],[_Pred3Text]]="","",IFERROR(VALUE(LEFT(Tasks[[#This Row],[_Pred3Text]],MIN(FIND("F",Tasks[[#This Row],[_Pred3Text]]&amp;"F"),FIND("S",Tasks[[#This Row],[_Pred3Text]]&amp;"S"),FIND("+",Tasks[[#This Row],[_Pred3Text]]&amp;"+"),FIND("-",Tasks[[#This Row],[_Pred3Text]]&amp;"-"))-1)),""))</f>
        <v/>
      </c>
      <c r="CX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7" s="42" t="str">
        <f aca="false">IF(Tasks[[#This Row],[_Pred3Text]]="","",TRIM(MID(SUBSTITUTE(SUBSTITUTE(SUBSTITUTE(UPPER(Tasks[[#This Row],[_Predecessors]]),";",",")," ",""),",",REPT(" ",99)),298,99)))</f>
        <v/>
      </c>
      <c r="DA87" s="42" t="str">
        <f aca="false">IF(Tasks[[#This Row],[_Pred4Text]]="","",IFERROR(VALUE(LEFT(Tasks[[#This Row],[_Pred4Text]],MIN(FIND("F",Tasks[[#This Row],[_Pred4Text]]&amp;"F"),FIND("S",Tasks[[#This Row],[_Pred4Text]]&amp;"S"),FIND("+",Tasks[[#This Row],[_Pred4Text]]&amp;"+"),FIND("-",Tasks[[#This Row],[_Pred4Text]]&amp;"-"))-1)),""))</f>
        <v/>
      </c>
      <c r="DB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7" s="42" t="str">
        <f aca="false">IF(OR(Tasks[[#This Row],[Task Name]]="",Tasks[[#This Row],[_Resources]]=""),"",TRIM(MID(SUBSTITUTE(Tasks[[#This Row],[_Resources]],",",REPT(" ",99)),1,99)))</f>
        <v/>
      </c>
      <c r="DE87" s="42" t="str">
        <f aca="false">IF(Tasks[[#This Row],[_Res1Text]]="","",TRIM(MID(SUBSTITUTE(Tasks[[#This Row],[_Resources]],",",REPT(" ",99)),100,99)))</f>
        <v/>
      </c>
      <c r="DF87" s="42" t="str">
        <f aca="false">IF(Tasks[[#This Row],[_Res2Text]]="","",TRIM(MID(SUBSTITUTE(Tasks[[#This Row],[_Resources]],",",REPT(" ",99)),199,99)))</f>
        <v/>
      </c>
      <c r="DG87" s="42" t="str">
        <f aca="false">IF(Tasks[[#This Row],[_Res3Text]]="","",TRIM(MID(SUBSTITUTE(Tasks[[#This Row],[_Resources]],",",REPT(" ",99)),298,99)))</f>
        <v/>
      </c>
      <c r="DH87" s="42" t="n">
        <f aca="false">IF(Tasks[[#This Row],[_Res1Text]]="",0,IFERROR(MATCH(TRIM(LEFT(Tasks[[#This Row],[_Res1Text]],FIND("[",Tasks[[#This Row],[_Res1Text]]&amp;"[")-1)),res_Name,0),IFERROR(MATCH(TRIM(LEFT(Tasks[[#This Row],[_Res1Text]],FIND("[",Tasks[[#This Row],[_Res1Text]]&amp;"[")-1)),res_Initials,0),0)))</f>
        <v>0</v>
      </c>
      <c r="DI87" s="42" t="n">
        <f aca="false">IF(Tasks[[#This Row],[_Res2Text]]="",0,IFERROR(MATCH(TRIM(LEFT(Tasks[[#This Row],[_Res2Text]],FIND("[",Tasks[[#This Row],[_Res2Text]]&amp;"[")-1)),res_Name,0),IFERROR(MATCH(TRIM(LEFT(Tasks[[#This Row],[_Res2Text]],FIND("[",Tasks[[#This Row],[_Res2Text]]&amp;"[")-1)),res_Initials,0),0)))</f>
        <v>0</v>
      </c>
      <c r="DJ87" s="42" t="n">
        <f aca="false">IF(Tasks[[#This Row],[_Res3Text]]="",0,IFERROR(MATCH(TRIM(LEFT(Tasks[[#This Row],[_Res3Text]],FIND("[",Tasks[[#This Row],[_Res3Text]]&amp;"[")-1)),res_Name,0),IFERROR(MATCH(TRIM(LEFT(Tasks[[#This Row],[_Res3Text]],FIND("[",Tasks[[#This Row],[_Res3Text]]&amp;"[")-1)),res_Initials,0),0)))</f>
        <v>0</v>
      </c>
      <c r="DK87" s="42" t="n">
        <f aca="false">IF(Tasks[[#This Row],[_Res4Text]]="",0,IFERROR(MATCH(TRIM(LEFT(Tasks[[#This Row],[_Res4Text]],FIND("[",Tasks[[#This Row],[_Res4Text]]&amp;"[")-1)),res_Name,0),IFERROR(MATCH(TRIM(LEFT(Tasks[[#This Row],[_Res4Text]],FIND("[",Tasks[[#This Row],[_Res4Text]]&amp;"[")-1)),res_Initials,0),0)))</f>
        <v>0</v>
      </c>
      <c r="DL87" s="42" t="str">
        <f aca="false">IF(Tasks[[#This Row],[_Res1Text]]="","",IF(Tasks[[#This Row],[_Res1Row]]&gt;0,INDEX(res_Name,Tasks[[#This Row],[_Res1Row]]),TRIM(LEFT(Tasks[[#This Row],[_Res1Text]],FIND("[",Tasks[[#This Row],[_Res1Text]]&amp;"[")-1))))</f>
        <v/>
      </c>
      <c r="DM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7" s="42" t="n">
        <f aca="false">IF(NOT(Tasks[[#This Row],[_IsLeaf]]=1),0,(Tasks[[#This Row],[_Resource1]]&lt;&gt;"")+(Tasks[[#This Row],[_Res2]]&lt;&gt;"")+(Tasks[[#This Row],[_Res3]]&lt;&gt;"")+(Tasks[[#This Row],[_Res4]]&lt;&gt;""))</f>
        <v>0</v>
      </c>
      <c r="DO87" s="42" t="str">
        <f aca="false">IF(Tasks[[#This Row],[_Res2Text]]="","",IF(Tasks[[#This Row],[_Res2Row]]&gt;0,INDEX(res_Name,Tasks[[#This Row],[_Res2Row]]),TRIM(LEFT(Tasks[[#This Row],[_Res2Text]],FIND("[",Tasks[[#This Row],[_Res2Text]]&amp;"[")-1))))</f>
        <v/>
      </c>
      <c r="DP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7" s="42" t="n">
        <f aca="false">IF(OR(NOT(Tasks[[#This Row],[_IsLeaf]]=1),Tasks[[#This Row],[_Res2Row]]=0),0,N(Tasks[[#This Row],[_Days]])*HoursPerDay*IF(Tasks[[#This Row],[_Res2Units]]="",DefaultUnits,Tasks[[#This Row],[_Res2Units]]))</f>
        <v>0</v>
      </c>
      <c r="DR87" s="42" t="n">
        <f aca="false">IF(AND(AND(Tasks[[#This Row],[_IsLeaf]]=1,Tasks[[#This Row],[_LeafTotalWork]]&gt;0),Tasks[[#This Row],[_Res2Work]]&gt;0),Tasks[[#This Row],[_Res2Work]]/(Tasks[[#This Row],[_FinishWorkday]]-Tasks[[#This Row],[_StartWorkday]]+1),0)</f>
        <v>0</v>
      </c>
      <c r="DS87" s="42" t="n">
        <f aca="false">Tasks[[#This Row],[_Res2WorkPerWD]]*MAX(0,Tasks[[#This Row],[_StartWorkday]]-1)</f>
        <v>0</v>
      </c>
      <c r="DT87" s="42" t="n">
        <f aca="false">Tasks[[#This Row],[_Res2Work]]*Tasks[[#This Row],[_LeafProgress]]</f>
        <v>0</v>
      </c>
      <c r="DU87" s="42" t="str">
        <f aca="false">IF(Tasks[[#This Row],[_Res3Text]]="","",IF(Tasks[[#This Row],[_Res3Row]]&gt;0,INDEX(res_Name,Tasks[[#This Row],[_Res3Row]]),TRIM(LEFT(Tasks[[#This Row],[_Res3Text]],FIND("[",Tasks[[#This Row],[_Res3Text]]&amp;"[")-1))))</f>
        <v/>
      </c>
      <c r="DV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7" s="42" t="n">
        <f aca="false">IF(OR(NOT(Tasks[[#This Row],[_IsLeaf]]=1),Tasks[[#This Row],[_Res3Row]]=0),0,N(Tasks[[#This Row],[_Days]])*HoursPerDay*IF(Tasks[[#This Row],[_Res3Units]]="",DefaultUnits,Tasks[[#This Row],[_Res3Units]]))</f>
        <v>0</v>
      </c>
      <c r="DX87" s="42" t="n">
        <f aca="false">IF(AND(AND(Tasks[[#This Row],[_IsLeaf]]=1,Tasks[[#This Row],[_LeafTotalWork]]&gt;0),Tasks[[#This Row],[_Res3Work]]&gt;0),Tasks[[#This Row],[_Res3Work]]/(Tasks[[#This Row],[_FinishWorkday]]-Tasks[[#This Row],[_StartWorkday]]+1),0)</f>
        <v>0</v>
      </c>
      <c r="DY87" s="42" t="n">
        <f aca="false">Tasks[[#This Row],[_Res3WorkPerWD]]*MAX(0,Tasks[[#This Row],[_StartWorkday]]-1)</f>
        <v>0</v>
      </c>
      <c r="DZ87" s="42" t="n">
        <f aca="false">Tasks[[#This Row],[_Res3Work]]*Tasks[[#This Row],[_LeafProgress]]</f>
        <v>0</v>
      </c>
      <c r="EA87" s="42" t="str">
        <f aca="false">IF(Tasks[[#This Row],[_Res4Text]]="","",IF(Tasks[[#This Row],[_Res4Row]]&gt;0,INDEX(res_Name,Tasks[[#This Row],[_Res4Row]]),TRIM(LEFT(Tasks[[#This Row],[_Res4Text]],FIND("[",Tasks[[#This Row],[_Res4Text]]&amp;"[")-1))))</f>
        <v/>
      </c>
      <c r="EB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7" s="42" t="n">
        <f aca="false">IF(OR(NOT(Tasks[[#This Row],[_IsLeaf]]=1),Tasks[[#This Row],[_Res4Row]]=0),0,N(Tasks[[#This Row],[_Days]])*HoursPerDay*IF(Tasks[[#This Row],[_Res4Units]]="",DefaultUnits,Tasks[[#This Row],[_Res4Units]]))</f>
        <v>0</v>
      </c>
      <c r="ED87" s="42" t="n">
        <f aca="false">IF(AND(AND(Tasks[[#This Row],[_IsLeaf]]=1,Tasks[[#This Row],[_LeafTotalWork]]&gt;0),Tasks[[#This Row],[_Res4Work]]&gt;0),Tasks[[#This Row],[_Res4Work]]/(Tasks[[#This Row],[_FinishWorkday]]-Tasks[[#This Row],[_StartWorkday]]+1),0)</f>
        <v>0</v>
      </c>
      <c r="EE87" s="42" t="n">
        <f aca="false">Tasks[[#This Row],[_Res4WorkPerWD]]*MAX(0,Tasks[[#This Row],[_StartWorkday]]-1)</f>
        <v>0</v>
      </c>
      <c r="EF87" s="42" t="n">
        <f aca="false">Tasks[[#This Row],[_Res4Work]]*Tasks[[#This Row],[_LeafProgress]]</f>
        <v>0</v>
      </c>
      <c r="EG87" s="42" t="n">
        <f aca="false">IF(ISNUMBER(Tasks[[#This Row],[% Complete]]),Tasks[[#This Row],[% Complete]],IF(Tasks[[#This Row],[Stage]]="",0,IFERROR(INDEX(stg_Pct,MATCH(Tasks[[#This Row],[Stage]],stg_Name,0)),0)))</f>
        <v>0</v>
      </c>
      <c r="EH87" s="42" t="n">
        <f aca="false">IF(NOT(Tasks[[#This Row],[_IsLeaf]]=1),0,IF(N(Tasks[[#This Row],[Actual Finish]])&gt;0,1,MIN(1,Tasks[[#This Row],[_Pct]])))</f>
        <v>0</v>
      </c>
      <c r="EI87" s="42" t="n">
        <f aca="false">IF(OR(NOT(Tasks[[#This Row],[_IsLeaf]]=1),Tasks[[#This Row],[_Res1Row]]=0),0,N(Tasks[[#This Row],[_Days]])*HoursPerDay*IF(Tasks[[#This Row],[_Units1]]="",DefaultUnits,Tasks[[#This Row],[_Units1]]))</f>
        <v>0</v>
      </c>
      <c r="EJ87" s="42" t="n">
        <f aca="false">Tasks[[#This Row],[_LeafWork]]+Tasks[[#This Row],[_Res2Work]]+Tasks[[#This Row],[_Res3Work]]+Tasks[[#This Row],[_Res4Work]]</f>
        <v>0</v>
      </c>
      <c r="EK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7" s="42" t="n">
        <f aca="false">IF(NOT(Tasks[[#This Row],[_IsLeaf]]=1),0,MAX(_xlfn.MAXIFS(Tasks[_Row],Tasks[_Pred1UID],Tasks[[#This Row],[UID]]),_xlfn.MAXIFS(Tasks[_Row],Tasks[_Pred2UID],Tasks[[#This Row],[UID]]),_xlfn.MAXIFS(Tasks[_Row],Tasks[_Pred3UID],Tasks[[#This Row],[UID]]),_xlfn.MAXIFS(Tasks[_Row],Tasks[_Pred4UID],Tasks[[#This Row],[UID]])))</f>
        <v>0</v>
      </c>
      <c r="ET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7" s="89" t="str">
        <f aca="false">IF(NOT(Tasks[[#This Row],[_IsLeaf]]=1),"",IF(N(Tasks[[#This Row],[_Days]])&lt;=0,Tasks[[#This Row],[_LeafLateFinish]],WORKDAY.INTL(Tasks[[#This Row],[_LeafLateFinish]],-(Tasks[[#This Row],[_Days]]-1),WorkWeek,Holidays)))</f>
        <v/>
      </c>
      <c r="EW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7" s="88" t="b">
        <f aca="false">AND(Tasks[[#This Row],[_IsLeaf]]=1,Tasks[[#This Row],[_LeafProgress]]&lt;1,N(Tasks[[#This Row],[_LeafTotalSlack]])&lt;=CriticalSlackDays)</f>
        <v>0</v>
      </c>
      <c r="EY87" s="42" t="n">
        <f aca="false">IF(AND(Tasks[[#This Row],[_IsLeaf]]=1,Tasks[[#This Row],[_ConstraintCode]]=1,Tasks[[#This Row],[Mode]]&lt;&gt;"Manual",N(Tasks[[#This Row],[Actual Start]])=0),MAX(0,N(Tasks[[#This Row],[Free Slack]])),0)</f>
        <v>0</v>
      </c>
      <c r="EZ87" s="89" t="str">
        <f aca="false">IF(NOT(Tasks[[#This Row],[_IsLeaf]]=1),"",IF(Tasks[[#This Row],[_AlapShift]]=0,Tasks[[#This Row],[_LeafCalcStart]],WORKDAY.INTL(Tasks[[#This Row],[_LeafCalcStart]],Tasks[[#This Row],[_AlapShift]],WorkWeek,Holidays)))</f>
        <v/>
      </c>
      <c r="FA87" s="89" t="str">
        <f aca="false">IF(NOT(Tasks[[#This Row],[_IsLeaf]]=1),"",IF(Tasks[[#This Row],[_AlapShift]]=0,Tasks[[#This Row],[_LeafCalcFinish]],WORKDAY.INTL(Tasks[[#This Row],[_LeafCalcFinish]],Tasks[[#This Row],[_AlapShift]],WorkWeek,Holidays)))</f>
        <v/>
      </c>
      <c r="FB87" s="89" t="str">
        <f aca="false">IF(NOT(Tasks[[#This Row],[_IsLeaf]]=1),"",IF(Tasks[[#This Row],[_AlapShift]]=0,Tasks[[#This Row],[_LeafFcstStart]],WORKDAY.INTL(Tasks[[#This Row],[_LeafFcstStart]],Tasks[[#This Row],[_AlapShift]],WorkWeek,Holidays)))</f>
        <v/>
      </c>
      <c r="FC87" s="89" t="str">
        <f aca="false">IF(NOT(Tasks[[#This Row],[_IsLeaf]]=1),"",IF(Tasks[[#This Row],[_AlapShift]]=0,Tasks[[#This Row],[_LeafFcstFinish]],WORKDAY.INTL(Tasks[[#This Row],[_LeafFcstFinish]],Tasks[[#This Row],[_AlapShift]],WorkWeek,Holidays)))</f>
        <v/>
      </c>
      <c r="FD87" s="89" t="str">
        <f aca="false">IF(Tasks[[#This Row],[Task Name]]="","",IF(Tasks[[#This Row],[_IsSummary]],MIN(INDEX(Tasks[_ShownCalcStart],Tasks[[#This Row],[_Row]]+1):INDEX(Tasks[_ShownCalcStart],Tasks[[#This Row],[_Row]]+Tasks[[#This Row],[_Descendants]])),Tasks[[#This Row],[_ShownCalcStart]]))</f>
        <v/>
      </c>
      <c r="FE87" s="89" t="str">
        <f aca="false">IF(Tasks[[#This Row],[Task Name]]="","",IF(Tasks[[#This Row],[_IsSummary]],MAX(INDEX(Tasks[_ShownCalcFinish],Tasks[[#This Row],[_Row]]+1):INDEX(Tasks[_ShownCalcFinish],Tasks[[#This Row],[_Row]]+Tasks[[#This Row],[_Descendants]])),Tasks[[#This Row],[_ShownCalcFinish]]))</f>
        <v/>
      </c>
      <c r="FF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7" s="42" t="n">
        <f aca="false">IF(AND(Tasks[[#This Row],[_IsLeaf]]=1,Tasks[[#This Row],[_LeafTotalWork]]&gt;0),NETWORKDAYS.INTL(ProjectStart,Tasks[[#This Row],[_ShownFcstStart]],WorkWeek,Holidays),0)</f>
        <v>0</v>
      </c>
      <c r="FS87" s="42" t="n">
        <f aca="false">IF(AND(Tasks[[#This Row],[_IsLeaf]]=1,Tasks[[#This Row],[_LeafTotalWork]]&gt;0),MAX(Tasks[[#This Row],[_StartWorkday]],NETWORKDAYS.INTL(ProjectStart,Tasks[[#This Row],[_ShownFcstFinish]],WorkWeek,Holidays)),0)</f>
        <v>0</v>
      </c>
      <c r="FT87" s="42" t="n">
        <f aca="false">IF(AND(Tasks[[#This Row],[_IsLeaf]]=1,Tasks[[#This Row],[_LeafTotalWork]]&gt;0),Tasks[[#This Row],[_LeafWork]]/(Tasks[[#This Row],[_FinishWorkday]]-Tasks[[#This Row],[_StartWorkday]]+1),0)</f>
        <v>0</v>
      </c>
      <c r="FU87" s="42" t="n">
        <f aca="false">Tasks[[#This Row],[_WorkPerWorkday]]*(Tasks[[#This Row],[_StartWorkday]]-1)</f>
        <v>-0</v>
      </c>
      <c r="FV87" s="42" t="n">
        <f aca="false">IF(Tasks[[#This Row],[_IsLeaf]]=1,MAX(N(Tasks[[#This Row],[_Days]]),0.1),0)</f>
        <v>0</v>
      </c>
      <c r="FW87" s="42" t="n">
        <f aca="false">Tasks[[#This Row],[_WeightDur]]*Tasks[[#This Row],[_LeafProgress]]</f>
        <v>0</v>
      </c>
      <c r="FX87" s="42" t="n">
        <f aca="false">Tasks[[#This Row],[_WeightDur]]*Tasks[[#This Row],[_PlannedPct]]</f>
        <v>0</v>
      </c>
      <c r="FY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7" s="42" t="str">
        <f aca="false">IF(AND(Tasks[[#This Row],[_IsLeaf]]=1,N(Tasks[[#This Row],[_Days]])=0,Tasks[[#This Row],[_LeafProgress]]&lt;1),Tasks[[#This Row],[_ShownFcstFinish]]+Tasks[[#This Row],[_Row]]/100000,"")</f>
        <v/>
      </c>
      <c r="GA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7" s="42" t="str">
        <f aca="false">IF(Tasks[[#This Row],[Task Name]]="","",LEFT(Tasks[[#This Row],[WBS]],FIND(".",Tasks[[#This Row],[WBS]]&amp;".")-1))</f>
        <v/>
      </c>
      <c r="GC87" s="42" t="str">
        <f aca="false">IF(AND(Tasks[[#This Row],[Task Name]]&lt;&gt;"",Tasks[[#This Row],[_Level]]=1),Tasks[[#This Row],[_Row]],"")</f>
        <v/>
      </c>
      <c r="GD87" s="42" t="str">
        <f aca="false">IF(AND(Tasks[[#This Row],[_IsLeaf]]=1,N(Tasks[[#This Row],[_Days]])=0),Tasks[[#This Row],[Planned Finish]]+Tasks[[#This Row],[_Row]]/100000,"")</f>
        <v/>
      </c>
      <c r="GE87" s="42" t="str">
        <f aca="false">IF(AND(Tasks[[#This Row],[_IsLeaf]]=1,Tasks[[#This Row],[_LeafProgress]]&lt;1,OR(N(Tasks[[#This Row],[Finish Var]])&gt;0,Tasks[[#This Row],[Status]]="Late Start")),MAX(0,Tasks[[#This Row],[Finish Var]])+1-Tasks[[#This Row],[_Row]]/1000000,"")</f>
        <v/>
      </c>
      <c r="GF87" s="42" t="str">
        <f aca="false">IF(AND(Tasks[[#This Row],[_IsLeaf]]=1,N(Tasks[[#This Row],[Actual Start]])=0,Tasks[[#This Row],[_ShownFcstStart]]&gt;=StatusDate,Tasks[[#This Row],[_ShownFcstStart]]&lt;=LookaheadEnd),Tasks[[#This Row],[_ShownFcstStart]]+Tasks[[#This Row],[_Row]]/100000,"")</f>
        <v/>
      </c>
      <c r="GG87" s="42" t="str">
        <f aca="false">IF(AND(Tasks[[#This Row],[_IsLeaf]]=1,Tasks[[#This Row],[_LeafProgress]]&lt;1,Tasks[[#This Row],[_ShownFcstFinish]]&gt;=StatusDate,Tasks[[#This Row],[_ShownFcstFinish]]&lt;=LookaheadEnd),Tasks[[#This Row],[_ShownFcstFinish]]+Tasks[[#This Row],[_Row]]/100000,"")</f>
        <v/>
      </c>
      <c r="GH87" s="42" t="str">
        <f aca="false">IF(Tasks[[#This Row],[_LeafCritical]],Tasks[[#This Row],[_ShownFcstStart]]+Tasks[[#This Row],[_Row]]/100000,"")</f>
        <v/>
      </c>
      <c r="GI87" s="42" t="n">
        <f aca="false">Tasks[[#This Row],[_LeafWork]]*Tasks[[#This Row],[_LeafProgress]]</f>
        <v>0</v>
      </c>
      <c r="GJ87" s="89" t="str">
        <f aca="false">IF(AND(Tasks[[#This Row],[_IsLeaf]]=1,Tasks[[#This Row],[_LeafProgress]]&gt;=1),IF(N(Tasks[[#This Row],[Actual Finish]])&gt;0,Tasks[[#This Row],[Actual Finish]],Tasks[[#This Row],[_ShownFcstFinish]]),"")</f>
        <v/>
      </c>
      <c r="GK87" s="42" t="n">
        <f aca="false">IF(Tasks[[#This Row],[_IsLeaf]]=1,N(Tasks[[#This Row],[Story Points]]),0)</f>
        <v>0</v>
      </c>
      <c r="GL87" s="42" t="str">
        <f aca="false">""</f>
        <v/>
      </c>
      <c r="GM87" s="88" t="b">
        <f aca="false">IF(Tasks[[#This Row],[Task Name]]="",FALSE(),AND(Tasks[[#This Row],[_IsLeaf]]=1,N(Tasks[[#This Row],[_Days]])=0))</f>
        <v>0</v>
      </c>
      <c r="GN87" s="89" t="n">
        <f aca="false">IF(Tasks[[#This Row],[Task Name]]="",0,IF(AND(Tasks[[#This Row],[_IsLeaf]]=1,NOT(Tasks[[#This Row],[_IsMilestone]]),N(Tasks[[#This Row],[Progress]])&gt;0),Tasks[[#This Row],[Start]],0))</f>
        <v>0</v>
      </c>
      <c r="GO87" s="89" t="n">
        <f aca="false">IF(Tasks[[#This Row],[_DoneFrom]]=0,0,IF(Tasks[[#This Row],[Progress]]&gt;=1,Tasks[[#This Row],[Finish]],MAX(Tasks[[#This Row],[_DoneFrom]],Tasks[[#This Row],[Start]]+ROUND((Tasks[[#This Row],[Finish]]-Tasks[[#This Row],[Start]]+1)*Tasks[[#This Row],[Progress]],0)-1)))</f>
        <v>0</v>
      </c>
      <c r="GP87" s="89" t="n">
        <f aca="false">IF(Tasks[[#This Row],[Task Name]]="",0,IF(OR(NOT(Tasks[[#This Row],[_IsLeaf]]=1),Tasks[[#This Row],[_IsMilestone]],N(Tasks[[#This Row],[Progress]])&gt;=1),0,IF(Tasks[[#This Row],[_DoneTo]]&gt;0,Tasks[[#This Row],[_DoneTo]]+1,Tasks[[#This Row],[Start]])))</f>
        <v>0</v>
      </c>
      <c r="GQ87" s="89" t="n">
        <f aca="false">IF(Tasks[[#This Row],[_RemFrom]]=0,0,Tasks[[#This Row],[Finish]])</f>
        <v>0</v>
      </c>
      <c r="GR87" s="88" t="b">
        <f aca="false">IF(Tasks[[#This Row],[Task Name]]="",FALSE(),OR(NOT(BaselineSet),N(Tasks[[#This Row],[Baseline Start]])&gt;0))</f>
        <v>0</v>
      </c>
      <c r="GS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7" s="90" t="str">
        <f aca="false">IF(Tasks[[#This Row],[_IsLeaf]]=1,Tasks[[#This Row],[_Row]],"")</f>
        <v/>
      </c>
      <c r="GW87" s="90" t="str">
        <f aca="false">IFERROR(INDEX(Tasks[UID],SMALL(Tasks[_PickKey],Tasks[[#This Row],[_Row]]))&amp;" "&amp;INDEX(Tasks[Task Name],SMALL(Tasks[_PickKey],Tasks[[#This Row],[_Row]])),"")</f>
        <v/>
      </c>
      <c r="GX87" s="42" t="str">
        <f aca="false">IF(Tasks[[#This Row],[Task Name]]="","",IF(Tasks[[#This Row],[_IsSummary]],NETWORKDAYS.INTL(Tasks[[#This Row],[Start]],Tasks[[#This Row],[Finish]],WorkWeek,Holidays),N(Tasks[[#This Row],[_Days]])))</f>
        <v/>
      </c>
    </row>
    <row r="88" customFormat="false" ht="15" hidden="false" customHeight="false" outlineLevel="0" collapsed="false">
      <c r="A88" s="21" t="str">
        <f aca="false">IF(Tasks[[#This Row],[Task Name]]="","",COUNTA(Tasks[[#Headers],[Task Name]]:Tasks[[#This Row],[Task Name]])-1)</f>
        <v/>
      </c>
      <c r="B88" s="22" t="n">
        <v>96</v>
      </c>
      <c r="C88" s="22"/>
      <c r="D88" s="23"/>
      <c r="E88" s="22"/>
      <c r="F88" s="23"/>
      <c r="G88" s="22"/>
      <c r="H88" s="22"/>
      <c r="I88" s="23"/>
      <c r="J88" s="22"/>
      <c r="K88" s="22"/>
      <c r="L88" s="23"/>
      <c r="M88" s="22"/>
      <c r="N88" s="22"/>
      <c r="O88" s="23"/>
      <c r="P88" s="22"/>
      <c r="Q88" s="22"/>
      <c r="R88" s="23"/>
      <c r="S88" s="23"/>
      <c r="T88" s="83"/>
      <c r="U88" s="23"/>
      <c r="V88" s="83"/>
      <c r="W88" s="23"/>
      <c r="X88" s="83"/>
      <c r="Y88" s="23"/>
      <c r="Z88" s="83"/>
      <c r="AA88" s="23"/>
      <c r="AB88" s="23"/>
      <c r="AC88" s="7"/>
      <c r="AD88" s="7"/>
      <c r="AE88" s="62" t="str">
        <f aca="false">IF(Tasks[[#This Row],[Task Name]]="","",IF(Tasks[[#This Row],[_IsSummary]],MIN(INDEX(Tasks[_ShownFcstStart],Tasks[[#This Row],[_Row]]+1):INDEX(Tasks[_ShownFcstStart],Tasks[[#This Row],[_Row]]+Tasks[[#This Row],[_Descendants]])),Tasks[[#This Row],[_ShownFcstStart]]))</f>
        <v/>
      </c>
      <c r="AF88" s="62" t="str">
        <f aca="false">IF(Tasks[[#This Row],[Task Name]]="","",IF(Tasks[[#This Row],[_IsSummary]],MAX(INDEX(Tasks[_ShownFcstFinish],Tasks[[#This Row],[_Row]]+1):INDEX(Tasks[_ShownFcstFinish],Tasks[[#This Row],[_Row]]+Tasks[[#This Row],[_Descendants]])),Tasks[[#This Row],[_ShownFcstFinish]]))</f>
        <v/>
      </c>
      <c r="AG88" s="21" t="str">
        <f aca="false">""</f>
        <v/>
      </c>
      <c r="AH88" s="23"/>
      <c r="AI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8" s="7"/>
      <c r="AK88" s="22"/>
      <c r="AL88" s="23"/>
      <c r="AM88" s="7"/>
      <c r="AN88" s="46" t="str">
        <f aca="false">IF(Tasks[[#This Row],[Task Name]]="","",IF(Tasks[[#This Row],[Finish]]&gt;=Tasks[[#This Row],[Planned Finish]],NETWORKDAYS.INTL(Tasks[[#This Row],[Planned Finish]],Tasks[[#This Row],[Finish]],WorkWeek,Holidays)-1,1-NETWORKDAYS.INTL(Tasks[[#This Row],[Finish]],Tasks[[#This Row],[Planned Finish]],WorkWeek,Holidays)))</f>
        <v/>
      </c>
      <c r="AO88" s="21" t="str">
        <f aca="false">IF(Tasks[[#This Row],[Task Name]]="","",IF(Tasks[[#This Row],[Progress]]&gt;=1,"Complete",IF(OR(N(Tasks[[#This Row],[Actual Start]])&gt;0,Tasks[[#This Row],[Progress]]&gt;0),IF(Tasks[[#This Row],[Finish Var]]&gt;0,"Behind","In Progress"),IF(Tasks[[#This Row],[Planned Start]]&lt;StatusDate,"Late Start","Not Started"))))</f>
        <v/>
      </c>
      <c r="AP88" s="21" t="str">
        <f aca="false">IF(Tasks[[#This Row],[Task Name]]="","",IF(IF(Tasks[[#This Row],[_IsSummary]],COUNTIF(INDEX(Tasks[_LeafCritical],Tasks[[#This Row],[_Row]]+1):INDEX(Tasks[_LeafCritical],Tasks[[#This Row],[_Row]]+Tasks[[#This Row],[_Descendants]]),TRUE())&gt;0,Tasks[[#This Row],[_LeafCritical]]),"Yes",""))</f>
        <v/>
      </c>
      <c r="AQ88" s="62" t="str">
        <f aca="false">IF(Tasks[[#This Row],[Task Name]]="","",IF(N(Tasks[[#This Row],[Baseline Start]])&gt;0,Tasks[[#This Row],[Baseline Start]],Tasks[[#This Row],[_CalcStart]]))</f>
        <v/>
      </c>
      <c r="AR88" s="62" t="str">
        <f aca="false">IF(Tasks[[#This Row],[Task Name]]="","",IF(N(Tasks[[#This Row],[Baseline Finish]])&gt;0,Tasks[[#This Row],[Baseline Finish]],Tasks[[#This Row],[_CalcFinish]]))</f>
        <v/>
      </c>
      <c r="AS88" s="46" t="str">
        <f aca="false">IF(Tasks[[#This Row],[Task Name]]="","",IF(Tasks[[#This Row],[Start]]&gt;=Tasks[[#This Row],[Planned Start]],NETWORKDAYS.INTL(Tasks[[#This Row],[Planned Start]],Tasks[[#This Row],[Start]],WorkWeek,Holidays)-1,1-NETWORKDAYS.INTL(Tasks[[#This Row],[Start]],Tasks[[#This Row],[Planned Start]],WorkWeek,Holidays)))</f>
        <v/>
      </c>
      <c r="AT88" s="62" t="str">
        <f aca="false">IF(Tasks[[#This Row],[Task Name]]="","",IF(Tasks[[#This Row],[_IsSummary]],MIN(INDEX(Tasks[_LeafLateStart],Tasks[[#This Row],[_Row]]+1):INDEX(Tasks[_LeafLateStart],Tasks[[#This Row],[_Row]]+Tasks[[#This Row],[_Descendants]])),Tasks[[#This Row],[_LeafLateStart]]))</f>
        <v/>
      </c>
      <c r="AU88" s="62" t="str">
        <f aca="false">IF(Tasks[[#This Row],[Task Name]]="","",IF(Tasks[[#This Row],[_IsSummary]],MAX(INDEX(Tasks[_LeafLateFinish],Tasks[[#This Row],[_Row]]+1):INDEX(Tasks[_LeafLateFinish],Tasks[[#This Row],[_Row]]+Tasks[[#This Row],[_Descendants]])),Tasks[[#This Row],[_LeafLateFinish]]))</f>
        <v/>
      </c>
      <c r="AV88" s="46" t="str">
        <f aca="false">IF(Tasks[[#This Row],[Task Name]]="","",IF(Tasks[[#This Row],[_IsSummary]],MIN(INDEX(Tasks[_LeafTotalSlack],Tasks[[#This Row],[_Row]]+1):INDEX(Tasks[_LeafTotalSlack],Tasks[[#This Row],[_Row]]+Tasks[[#This Row],[_Descendants]])),Tasks[[#This Row],[_LeafTotalSlack]]))</f>
        <v/>
      </c>
      <c r="AW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4"/>
      <c r="BA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t="str">
        <f aca="false">IF(Tasks[[#This Row],[Task Name]]="","",IF(Tasks[[#This Row],[_Level]]&lt;=OutlineShowLevel,"Yes","No"))</f>
        <v/>
      </c>
      <c r="BE88" s="85" t="str">
        <f aca="false">IF(Tasks[[#This Row],[Task Name]]="","",IF(Tasks[[#This Row],[_IsSummary]],SUM(INDEX(Tasks[_LeafTotalWork],Tasks[[#This Row],[_Row]]+1):INDEX(Tasks[_LeafTotalWork],Tasks[[#This Row],[_Row]]+Tasks[[#This Row],[_Descendants]])),Tasks[[#This Row],[_LeafTotalWork]]))</f>
        <v/>
      </c>
      <c r="BF88" s="23"/>
      <c r="BG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t="str">
        <f aca="false">""</f>
        <v/>
      </c>
      <c r="BI88" s="86"/>
      <c r="BJ88" s="22"/>
      <c r="BK88" s="46" t="str">
        <f aca="false">IF(OR(Tasks[[#This Row],[Task Name]]="",Tasks[[#This Row],[Baseline Duration]]=""),"",Tasks[[#This Row],[_SpanDays]]-N(Tasks[[#This Row],[Baseline Duration]]))</f>
        <v/>
      </c>
      <c r="BL88" s="85" t="str">
        <f aca="false">IF(OR(Tasks[[#This Row],[Task Name]]="",Tasks[[#This Row],[Baseline Work]]=""),"",Tasks[[#This Row],[Work]]-N(Tasks[[#This Row],[Baseline Work]]))</f>
        <v/>
      </c>
      <c r="BM88" s="62" t="str">
        <f aca="false">IF(Tasks[[#This Row],[Task Name]]="","",IF(OR(TakeBaseline="Yes",N(Tasks[[#This Row],[Baseline Start]])=0),Tasks[[#This Row],[Start]],Tasks[[#This Row],[Baseline Start]]))</f>
        <v/>
      </c>
      <c r="BN88" s="62" t="str">
        <f aca="false">IF(Tasks[[#This Row],[Task Name]]="","",IF(OR(TakeBaseline="Yes",N(Tasks[[#This Row],[Baseline Finish]])=0),Tasks[[#This Row],[Finish]],Tasks[[#This Row],[Baseline Finish]]))</f>
        <v/>
      </c>
      <c r="BO88" s="21" t="str">
        <f aca="false">IF(Tasks[[#This Row],[Task Name]]="","",IF(OR(TakeBaseline="Yes",N(Tasks[[#This Row],[Baseline Duration]])=0),Tasks[[#This Row],[_SpanDays]],Tasks[[#This Row],[Baseline Duration]]))</f>
        <v/>
      </c>
      <c r="BP88" s="85" t="str">
        <f aca="false">IF(Tasks[[#This Row],[Task Name]]="","",IF(OR(TakeBaseline="Yes",N(Tasks[[#This Row],[Baseline Work]])=0),Tasks[[#This Row],[Work]],Tasks[[#This Row],[Baseline Work]]))</f>
        <v/>
      </c>
      <c r="BQ88" s="7"/>
      <c r="BR88" s="7"/>
      <c r="BS88" s="22"/>
      <c r="BT88" s="87"/>
      <c r="BU88" s="42" t="str">
        <f aca="false">IF(Tasks[[#This Row],[Task Name]]="","",MAX(1,N(Tasks[[#This Row],[Level]])))</f>
        <v/>
      </c>
      <c r="BV88" s="42" t="n">
        <f aca="false">ROW()-ROW(Tasks[[#Headers],[ID]])</f>
        <v>83</v>
      </c>
      <c r="BW88" s="42" t="n">
        <f aca="false">IF(OR(Tasks[[#This Row],[Task Name]]="",Tasks[[#This Row],[_Level]]&lt;=1),0,IFERROR(LOOKUP(2,1/(Tasks[[#Headers],[_Level]]:Tasks[[#This Row],[_Level]]=Tasks[[#This Row],[_Level]]-1),ROW(Tasks[[#Headers],[_Level]]:Tasks[[#This Row],[_Level]])),0))</f>
        <v>0</v>
      </c>
      <c r="BX88" s="42" t="n">
        <f aca="false">IFERROR(N(INDEX(Tasks[_Level],Tasks[[#This Row],[_Row]]+1)),0)</f>
        <v>0</v>
      </c>
      <c r="BY88" s="88" t="b">
        <f aca="false">AND(Tasks[[#This Row],[Task Name]]&lt;&gt;"",Tasks[[#This Row],[_NextLevel]]&gt;Tasks[[#This Row],[_Level]])</f>
        <v>0</v>
      </c>
      <c r="BZ88" s="42" t="n">
        <f aca="false">IF(Tasks[[#This Row],[_IsSummary]],COUNTIF(Tasks[WBS],Tasks[[#This Row],[WBS]]&amp;".*"),0)</f>
        <v>0</v>
      </c>
      <c r="CA88" s="42" t="n">
        <f aca="false">IF(AND(Tasks[[#This Row],[Task Name]]&lt;&gt;"",NOT(Tasks[[#This Row],[_IsSummary]])),1,0)</f>
        <v>0</v>
      </c>
      <c r="CB88" s="42" t="n">
        <f aca="false">IF(N(Tasks[[#This Row],[_Pred1UID]])=0,0,IFERROR(MATCH(Tasks[[#This Row],[_Pred1UID]],Tasks[UID],0),-1))</f>
        <v>0</v>
      </c>
      <c r="CC88" s="42" t="n">
        <f aca="false">IF(N(Tasks[[#This Row],[_Pred2UID]])=0,0,IFERROR(MATCH(Tasks[[#This Row],[_Pred2UID]],Tasks[UID],0),-1))</f>
        <v>0</v>
      </c>
      <c r="CD88" s="42" t="n">
        <f aca="false">IF(N(Tasks[[#This Row],[_Pred3UID]])=0,0,IFERROR(MATCH(Tasks[[#This Row],[_Pred3UID]],Tasks[UID],0),-1))</f>
        <v>0</v>
      </c>
      <c r="CE88" s="42" t="n">
        <f aca="false">IF(N(Tasks[[#This Row],[_Pred4UID]])=0,0,IFERROR(MATCH(Tasks[[#This Row],[_Pred4UID]],Tasks[UID],0),-1))</f>
        <v>0</v>
      </c>
      <c r="CF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8" s="89" t="n">
        <f aca="false">IF(OR(Tasks[[#This Row],[_ConstraintCode]]=2,Tasks[[#This Row],[_ConstraintCode]]=3,Tasks[[#This Row],[_ConstraintCode]]=4,Tasks[[#This Row],[_ConstraintCode]]=6),Tasks[[#This Row],[_ConstraintStart]],0)</f>
        <v>0</v>
      </c>
      <c r="CI88" s="89" t="n">
        <f aca="false">IF(OR(Tasks[[#This Row],[_ConstraintCode]]=2,Tasks[[#This Row],[_ConstraintCode]]=3,Tasks[[#This Row],[_ConstraintCode]]=5,Tasks[[#This Row],[_ConstraintCode]]=7),Tasks[[#This Row],[_ConstraintStart]],2958465)</f>
        <v>2958465</v>
      </c>
      <c r="CJ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8" s="89" t="str">
        <f aca="false">IF(NOT(Tasks[[#This Row],[_IsLeaf]]=1),"",IF(N(Tasks[[#This Row],[_Days]])&lt;=0,Tasks[[#This Row],[_LeafCalcStart]],WORKDAY.INTL(Tasks[[#This Row],[_LeafCalcStart]],Tasks[[#This Row],[_Days]]-1,WorkWeek,Holidays)))</f>
        <v/>
      </c>
      <c r="CL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8" s="42" t="str">
        <f aca="false">IF(Tasks[[#This Row],[_Predecessors]]="","",TRIM(MID(SUBSTITUTE(SUBSTITUTE(SUBSTITUTE(UPPER(Tasks[[#This Row],[_Predecessors]]),";",",")," ",""),",",REPT(" ",99)),1,99)))</f>
        <v/>
      </c>
      <c r="CO88" s="42" t="str">
        <f aca="false">IF(Tasks[[#This Row],[_Pred1Text]]="","",IFERROR(VALUE(LEFT(Tasks[[#This Row],[_Pred1Text]],MIN(FIND("F",Tasks[[#This Row],[_Pred1Text]]&amp;"F"),FIND("S",Tasks[[#This Row],[_Pred1Text]]&amp;"S"),FIND("+",Tasks[[#This Row],[_Pred1Text]]&amp;"+"),FIND("-",Tasks[[#This Row],[_Pred1Text]]&amp;"-"))-1)),""))</f>
        <v/>
      </c>
      <c r="CP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8" s="42" t="str">
        <f aca="false">IF(Tasks[[#This Row],[_Pred1Text]]="","",TRIM(MID(SUBSTITUTE(SUBSTITUTE(SUBSTITUTE(UPPER(Tasks[[#This Row],[_Predecessors]]),";",",")," ",""),",",REPT(" ",99)),100,99)))</f>
        <v/>
      </c>
      <c r="CS88" s="42" t="str">
        <f aca="false">IF(Tasks[[#This Row],[_Pred2Text]]="","",IFERROR(VALUE(LEFT(Tasks[[#This Row],[_Pred2Text]],MIN(FIND("F",Tasks[[#This Row],[_Pred2Text]]&amp;"F"),FIND("S",Tasks[[#This Row],[_Pred2Text]]&amp;"S"),FIND("+",Tasks[[#This Row],[_Pred2Text]]&amp;"+"),FIND("-",Tasks[[#This Row],[_Pred2Text]]&amp;"-"))-1)),""))</f>
        <v/>
      </c>
      <c r="CT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8" s="42" t="str">
        <f aca="false">IF(Tasks[[#This Row],[_Pred2Text]]="","",TRIM(MID(SUBSTITUTE(SUBSTITUTE(SUBSTITUTE(UPPER(Tasks[[#This Row],[_Predecessors]]),";",",")," ",""),",",REPT(" ",99)),199,99)))</f>
        <v/>
      </c>
      <c r="CW88" s="42" t="str">
        <f aca="false">IF(Tasks[[#This Row],[_Pred3Text]]="","",IFERROR(VALUE(LEFT(Tasks[[#This Row],[_Pred3Text]],MIN(FIND("F",Tasks[[#This Row],[_Pred3Text]]&amp;"F"),FIND("S",Tasks[[#This Row],[_Pred3Text]]&amp;"S"),FIND("+",Tasks[[#This Row],[_Pred3Text]]&amp;"+"),FIND("-",Tasks[[#This Row],[_Pred3Text]]&amp;"-"))-1)),""))</f>
        <v/>
      </c>
      <c r="CX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8" s="42" t="str">
        <f aca="false">IF(Tasks[[#This Row],[_Pred3Text]]="","",TRIM(MID(SUBSTITUTE(SUBSTITUTE(SUBSTITUTE(UPPER(Tasks[[#This Row],[_Predecessors]]),";",",")," ",""),",",REPT(" ",99)),298,99)))</f>
        <v/>
      </c>
      <c r="DA88" s="42" t="str">
        <f aca="false">IF(Tasks[[#This Row],[_Pred4Text]]="","",IFERROR(VALUE(LEFT(Tasks[[#This Row],[_Pred4Text]],MIN(FIND("F",Tasks[[#This Row],[_Pred4Text]]&amp;"F"),FIND("S",Tasks[[#This Row],[_Pred4Text]]&amp;"S"),FIND("+",Tasks[[#This Row],[_Pred4Text]]&amp;"+"),FIND("-",Tasks[[#This Row],[_Pred4Text]]&amp;"-"))-1)),""))</f>
        <v/>
      </c>
      <c r="DB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8" s="42" t="str">
        <f aca="false">IF(OR(Tasks[[#This Row],[Task Name]]="",Tasks[[#This Row],[_Resources]]=""),"",TRIM(MID(SUBSTITUTE(Tasks[[#This Row],[_Resources]],",",REPT(" ",99)),1,99)))</f>
        <v/>
      </c>
      <c r="DE88" s="42" t="str">
        <f aca="false">IF(Tasks[[#This Row],[_Res1Text]]="","",TRIM(MID(SUBSTITUTE(Tasks[[#This Row],[_Resources]],",",REPT(" ",99)),100,99)))</f>
        <v/>
      </c>
      <c r="DF88" s="42" t="str">
        <f aca="false">IF(Tasks[[#This Row],[_Res2Text]]="","",TRIM(MID(SUBSTITUTE(Tasks[[#This Row],[_Resources]],",",REPT(" ",99)),199,99)))</f>
        <v/>
      </c>
      <c r="DG88" s="42" t="str">
        <f aca="false">IF(Tasks[[#This Row],[_Res3Text]]="","",TRIM(MID(SUBSTITUTE(Tasks[[#This Row],[_Resources]],",",REPT(" ",99)),298,99)))</f>
        <v/>
      </c>
      <c r="DH88" s="42" t="n">
        <f aca="false">IF(Tasks[[#This Row],[_Res1Text]]="",0,IFERROR(MATCH(TRIM(LEFT(Tasks[[#This Row],[_Res1Text]],FIND("[",Tasks[[#This Row],[_Res1Text]]&amp;"[")-1)),res_Name,0),IFERROR(MATCH(TRIM(LEFT(Tasks[[#This Row],[_Res1Text]],FIND("[",Tasks[[#This Row],[_Res1Text]]&amp;"[")-1)),res_Initials,0),0)))</f>
        <v>0</v>
      </c>
      <c r="DI88" s="42" t="n">
        <f aca="false">IF(Tasks[[#This Row],[_Res2Text]]="",0,IFERROR(MATCH(TRIM(LEFT(Tasks[[#This Row],[_Res2Text]],FIND("[",Tasks[[#This Row],[_Res2Text]]&amp;"[")-1)),res_Name,0),IFERROR(MATCH(TRIM(LEFT(Tasks[[#This Row],[_Res2Text]],FIND("[",Tasks[[#This Row],[_Res2Text]]&amp;"[")-1)),res_Initials,0),0)))</f>
        <v>0</v>
      </c>
      <c r="DJ88" s="42" t="n">
        <f aca="false">IF(Tasks[[#This Row],[_Res3Text]]="",0,IFERROR(MATCH(TRIM(LEFT(Tasks[[#This Row],[_Res3Text]],FIND("[",Tasks[[#This Row],[_Res3Text]]&amp;"[")-1)),res_Name,0),IFERROR(MATCH(TRIM(LEFT(Tasks[[#This Row],[_Res3Text]],FIND("[",Tasks[[#This Row],[_Res3Text]]&amp;"[")-1)),res_Initials,0),0)))</f>
        <v>0</v>
      </c>
      <c r="DK88" s="42" t="n">
        <f aca="false">IF(Tasks[[#This Row],[_Res4Text]]="",0,IFERROR(MATCH(TRIM(LEFT(Tasks[[#This Row],[_Res4Text]],FIND("[",Tasks[[#This Row],[_Res4Text]]&amp;"[")-1)),res_Name,0),IFERROR(MATCH(TRIM(LEFT(Tasks[[#This Row],[_Res4Text]],FIND("[",Tasks[[#This Row],[_Res4Text]]&amp;"[")-1)),res_Initials,0),0)))</f>
        <v>0</v>
      </c>
      <c r="DL88" s="42" t="str">
        <f aca="false">IF(Tasks[[#This Row],[_Res1Text]]="","",IF(Tasks[[#This Row],[_Res1Row]]&gt;0,INDEX(res_Name,Tasks[[#This Row],[_Res1Row]]),TRIM(LEFT(Tasks[[#This Row],[_Res1Text]],FIND("[",Tasks[[#This Row],[_Res1Text]]&amp;"[")-1))))</f>
        <v/>
      </c>
      <c r="DM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8" s="42" t="n">
        <f aca="false">IF(NOT(Tasks[[#This Row],[_IsLeaf]]=1),0,(Tasks[[#This Row],[_Resource1]]&lt;&gt;"")+(Tasks[[#This Row],[_Res2]]&lt;&gt;"")+(Tasks[[#This Row],[_Res3]]&lt;&gt;"")+(Tasks[[#This Row],[_Res4]]&lt;&gt;""))</f>
        <v>0</v>
      </c>
      <c r="DO88" s="42" t="str">
        <f aca="false">IF(Tasks[[#This Row],[_Res2Text]]="","",IF(Tasks[[#This Row],[_Res2Row]]&gt;0,INDEX(res_Name,Tasks[[#This Row],[_Res2Row]]),TRIM(LEFT(Tasks[[#This Row],[_Res2Text]],FIND("[",Tasks[[#This Row],[_Res2Text]]&amp;"[")-1))))</f>
        <v/>
      </c>
      <c r="DP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8" s="42" t="n">
        <f aca="false">IF(OR(NOT(Tasks[[#This Row],[_IsLeaf]]=1),Tasks[[#This Row],[_Res2Row]]=0),0,N(Tasks[[#This Row],[_Days]])*HoursPerDay*IF(Tasks[[#This Row],[_Res2Units]]="",DefaultUnits,Tasks[[#This Row],[_Res2Units]]))</f>
        <v>0</v>
      </c>
      <c r="DR88" s="42" t="n">
        <f aca="false">IF(AND(AND(Tasks[[#This Row],[_IsLeaf]]=1,Tasks[[#This Row],[_LeafTotalWork]]&gt;0),Tasks[[#This Row],[_Res2Work]]&gt;0),Tasks[[#This Row],[_Res2Work]]/(Tasks[[#This Row],[_FinishWorkday]]-Tasks[[#This Row],[_StartWorkday]]+1),0)</f>
        <v>0</v>
      </c>
      <c r="DS88" s="42" t="n">
        <f aca="false">Tasks[[#This Row],[_Res2WorkPerWD]]*MAX(0,Tasks[[#This Row],[_StartWorkday]]-1)</f>
        <v>0</v>
      </c>
      <c r="DT88" s="42" t="n">
        <f aca="false">Tasks[[#This Row],[_Res2Work]]*Tasks[[#This Row],[_LeafProgress]]</f>
        <v>0</v>
      </c>
      <c r="DU88" s="42" t="str">
        <f aca="false">IF(Tasks[[#This Row],[_Res3Text]]="","",IF(Tasks[[#This Row],[_Res3Row]]&gt;0,INDEX(res_Name,Tasks[[#This Row],[_Res3Row]]),TRIM(LEFT(Tasks[[#This Row],[_Res3Text]],FIND("[",Tasks[[#This Row],[_Res3Text]]&amp;"[")-1))))</f>
        <v/>
      </c>
      <c r="DV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8" s="42" t="n">
        <f aca="false">IF(OR(NOT(Tasks[[#This Row],[_IsLeaf]]=1),Tasks[[#This Row],[_Res3Row]]=0),0,N(Tasks[[#This Row],[_Days]])*HoursPerDay*IF(Tasks[[#This Row],[_Res3Units]]="",DefaultUnits,Tasks[[#This Row],[_Res3Units]]))</f>
        <v>0</v>
      </c>
      <c r="DX88" s="42" t="n">
        <f aca="false">IF(AND(AND(Tasks[[#This Row],[_IsLeaf]]=1,Tasks[[#This Row],[_LeafTotalWork]]&gt;0),Tasks[[#This Row],[_Res3Work]]&gt;0),Tasks[[#This Row],[_Res3Work]]/(Tasks[[#This Row],[_FinishWorkday]]-Tasks[[#This Row],[_StartWorkday]]+1),0)</f>
        <v>0</v>
      </c>
      <c r="DY88" s="42" t="n">
        <f aca="false">Tasks[[#This Row],[_Res3WorkPerWD]]*MAX(0,Tasks[[#This Row],[_StartWorkday]]-1)</f>
        <v>0</v>
      </c>
      <c r="DZ88" s="42" t="n">
        <f aca="false">Tasks[[#This Row],[_Res3Work]]*Tasks[[#This Row],[_LeafProgress]]</f>
        <v>0</v>
      </c>
      <c r="EA88" s="42" t="str">
        <f aca="false">IF(Tasks[[#This Row],[_Res4Text]]="","",IF(Tasks[[#This Row],[_Res4Row]]&gt;0,INDEX(res_Name,Tasks[[#This Row],[_Res4Row]]),TRIM(LEFT(Tasks[[#This Row],[_Res4Text]],FIND("[",Tasks[[#This Row],[_Res4Text]]&amp;"[")-1))))</f>
        <v/>
      </c>
      <c r="EB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8" s="42" t="n">
        <f aca="false">IF(OR(NOT(Tasks[[#This Row],[_IsLeaf]]=1),Tasks[[#This Row],[_Res4Row]]=0),0,N(Tasks[[#This Row],[_Days]])*HoursPerDay*IF(Tasks[[#This Row],[_Res4Units]]="",DefaultUnits,Tasks[[#This Row],[_Res4Units]]))</f>
        <v>0</v>
      </c>
      <c r="ED88" s="42" t="n">
        <f aca="false">IF(AND(AND(Tasks[[#This Row],[_IsLeaf]]=1,Tasks[[#This Row],[_LeafTotalWork]]&gt;0),Tasks[[#This Row],[_Res4Work]]&gt;0),Tasks[[#This Row],[_Res4Work]]/(Tasks[[#This Row],[_FinishWorkday]]-Tasks[[#This Row],[_StartWorkday]]+1),0)</f>
        <v>0</v>
      </c>
      <c r="EE88" s="42" t="n">
        <f aca="false">Tasks[[#This Row],[_Res4WorkPerWD]]*MAX(0,Tasks[[#This Row],[_StartWorkday]]-1)</f>
        <v>0</v>
      </c>
      <c r="EF88" s="42" t="n">
        <f aca="false">Tasks[[#This Row],[_Res4Work]]*Tasks[[#This Row],[_LeafProgress]]</f>
        <v>0</v>
      </c>
      <c r="EG88" s="42" t="n">
        <f aca="false">IF(ISNUMBER(Tasks[[#This Row],[% Complete]]),Tasks[[#This Row],[% Complete]],IF(Tasks[[#This Row],[Stage]]="",0,IFERROR(INDEX(stg_Pct,MATCH(Tasks[[#This Row],[Stage]],stg_Name,0)),0)))</f>
        <v>0</v>
      </c>
      <c r="EH88" s="42" t="n">
        <f aca="false">IF(NOT(Tasks[[#This Row],[_IsLeaf]]=1),0,IF(N(Tasks[[#This Row],[Actual Finish]])&gt;0,1,MIN(1,Tasks[[#This Row],[_Pct]])))</f>
        <v>0</v>
      </c>
      <c r="EI88" s="42" t="n">
        <f aca="false">IF(OR(NOT(Tasks[[#This Row],[_IsLeaf]]=1),Tasks[[#This Row],[_Res1Row]]=0),0,N(Tasks[[#This Row],[_Days]])*HoursPerDay*IF(Tasks[[#This Row],[_Units1]]="",DefaultUnits,Tasks[[#This Row],[_Units1]]))</f>
        <v>0</v>
      </c>
      <c r="EJ88" s="42" t="n">
        <f aca="false">Tasks[[#This Row],[_LeafWork]]+Tasks[[#This Row],[_Res2Work]]+Tasks[[#This Row],[_Res3Work]]+Tasks[[#This Row],[_Res4Work]]</f>
        <v>0</v>
      </c>
      <c r="EK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8" s="42" t="n">
        <f aca="false">IF(NOT(Tasks[[#This Row],[_IsLeaf]]=1),0,MAX(_xlfn.MAXIFS(Tasks[_Row],Tasks[_Pred1UID],Tasks[[#This Row],[UID]]),_xlfn.MAXIFS(Tasks[_Row],Tasks[_Pred2UID],Tasks[[#This Row],[UID]]),_xlfn.MAXIFS(Tasks[_Row],Tasks[_Pred3UID],Tasks[[#This Row],[UID]]),_xlfn.MAXIFS(Tasks[_Row],Tasks[_Pred4UID],Tasks[[#This Row],[UID]])))</f>
        <v>0</v>
      </c>
      <c r="ET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8" s="89" t="str">
        <f aca="false">IF(NOT(Tasks[[#This Row],[_IsLeaf]]=1),"",IF(N(Tasks[[#This Row],[_Days]])&lt;=0,Tasks[[#This Row],[_LeafLateFinish]],WORKDAY.INTL(Tasks[[#This Row],[_LeafLateFinish]],-(Tasks[[#This Row],[_Days]]-1),WorkWeek,Holidays)))</f>
        <v/>
      </c>
      <c r="EW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8" s="88" t="b">
        <f aca="false">AND(Tasks[[#This Row],[_IsLeaf]]=1,Tasks[[#This Row],[_LeafProgress]]&lt;1,N(Tasks[[#This Row],[_LeafTotalSlack]])&lt;=CriticalSlackDays)</f>
        <v>0</v>
      </c>
      <c r="EY88" s="42" t="n">
        <f aca="false">IF(AND(Tasks[[#This Row],[_IsLeaf]]=1,Tasks[[#This Row],[_ConstraintCode]]=1,Tasks[[#This Row],[Mode]]&lt;&gt;"Manual",N(Tasks[[#This Row],[Actual Start]])=0),MAX(0,N(Tasks[[#This Row],[Free Slack]])),0)</f>
        <v>0</v>
      </c>
      <c r="EZ88" s="89" t="str">
        <f aca="false">IF(NOT(Tasks[[#This Row],[_IsLeaf]]=1),"",IF(Tasks[[#This Row],[_AlapShift]]=0,Tasks[[#This Row],[_LeafCalcStart]],WORKDAY.INTL(Tasks[[#This Row],[_LeafCalcStart]],Tasks[[#This Row],[_AlapShift]],WorkWeek,Holidays)))</f>
        <v/>
      </c>
      <c r="FA88" s="89" t="str">
        <f aca="false">IF(NOT(Tasks[[#This Row],[_IsLeaf]]=1),"",IF(Tasks[[#This Row],[_AlapShift]]=0,Tasks[[#This Row],[_LeafCalcFinish]],WORKDAY.INTL(Tasks[[#This Row],[_LeafCalcFinish]],Tasks[[#This Row],[_AlapShift]],WorkWeek,Holidays)))</f>
        <v/>
      </c>
      <c r="FB88" s="89" t="str">
        <f aca="false">IF(NOT(Tasks[[#This Row],[_IsLeaf]]=1),"",IF(Tasks[[#This Row],[_AlapShift]]=0,Tasks[[#This Row],[_LeafFcstStart]],WORKDAY.INTL(Tasks[[#This Row],[_LeafFcstStart]],Tasks[[#This Row],[_AlapShift]],WorkWeek,Holidays)))</f>
        <v/>
      </c>
      <c r="FC88" s="89" t="str">
        <f aca="false">IF(NOT(Tasks[[#This Row],[_IsLeaf]]=1),"",IF(Tasks[[#This Row],[_AlapShift]]=0,Tasks[[#This Row],[_LeafFcstFinish]],WORKDAY.INTL(Tasks[[#This Row],[_LeafFcstFinish]],Tasks[[#This Row],[_AlapShift]],WorkWeek,Holidays)))</f>
        <v/>
      </c>
      <c r="FD88" s="89" t="str">
        <f aca="false">IF(Tasks[[#This Row],[Task Name]]="","",IF(Tasks[[#This Row],[_IsSummary]],MIN(INDEX(Tasks[_ShownCalcStart],Tasks[[#This Row],[_Row]]+1):INDEX(Tasks[_ShownCalcStart],Tasks[[#This Row],[_Row]]+Tasks[[#This Row],[_Descendants]])),Tasks[[#This Row],[_ShownCalcStart]]))</f>
        <v/>
      </c>
      <c r="FE88" s="89" t="str">
        <f aca="false">IF(Tasks[[#This Row],[Task Name]]="","",IF(Tasks[[#This Row],[_IsSummary]],MAX(INDEX(Tasks[_ShownCalcFinish],Tasks[[#This Row],[_Row]]+1):INDEX(Tasks[_ShownCalcFinish],Tasks[[#This Row],[_Row]]+Tasks[[#This Row],[_Descendants]])),Tasks[[#This Row],[_ShownCalcFinish]]))</f>
        <v/>
      </c>
      <c r="FF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8" s="42" t="n">
        <f aca="false">IF(AND(Tasks[[#This Row],[_IsLeaf]]=1,Tasks[[#This Row],[_LeafTotalWork]]&gt;0),NETWORKDAYS.INTL(ProjectStart,Tasks[[#This Row],[_ShownFcstStart]],WorkWeek,Holidays),0)</f>
        <v>0</v>
      </c>
      <c r="FS88" s="42" t="n">
        <f aca="false">IF(AND(Tasks[[#This Row],[_IsLeaf]]=1,Tasks[[#This Row],[_LeafTotalWork]]&gt;0),MAX(Tasks[[#This Row],[_StartWorkday]],NETWORKDAYS.INTL(ProjectStart,Tasks[[#This Row],[_ShownFcstFinish]],WorkWeek,Holidays)),0)</f>
        <v>0</v>
      </c>
      <c r="FT88" s="42" t="n">
        <f aca="false">IF(AND(Tasks[[#This Row],[_IsLeaf]]=1,Tasks[[#This Row],[_LeafTotalWork]]&gt;0),Tasks[[#This Row],[_LeafWork]]/(Tasks[[#This Row],[_FinishWorkday]]-Tasks[[#This Row],[_StartWorkday]]+1),0)</f>
        <v>0</v>
      </c>
      <c r="FU88" s="42" t="n">
        <f aca="false">Tasks[[#This Row],[_WorkPerWorkday]]*(Tasks[[#This Row],[_StartWorkday]]-1)</f>
        <v>-0</v>
      </c>
      <c r="FV88" s="42" t="n">
        <f aca="false">IF(Tasks[[#This Row],[_IsLeaf]]=1,MAX(N(Tasks[[#This Row],[_Days]]),0.1),0)</f>
        <v>0</v>
      </c>
      <c r="FW88" s="42" t="n">
        <f aca="false">Tasks[[#This Row],[_WeightDur]]*Tasks[[#This Row],[_LeafProgress]]</f>
        <v>0</v>
      </c>
      <c r="FX88" s="42" t="n">
        <f aca="false">Tasks[[#This Row],[_WeightDur]]*Tasks[[#This Row],[_PlannedPct]]</f>
        <v>0</v>
      </c>
      <c r="FY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8" s="42" t="str">
        <f aca="false">IF(AND(Tasks[[#This Row],[_IsLeaf]]=1,N(Tasks[[#This Row],[_Days]])=0,Tasks[[#This Row],[_LeafProgress]]&lt;1),Tasks[[#This Row],[_ShownFcstFinish]]+Tasks[[#This Row],[_Row]]/100000,"")</f>
        <v/>
      </c>
      <c r="GA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8" s="42" t="str">
        <f aca="false">IF(Tasks[[#This Row],[Task Name]]="","",LEFT(Tasks[[#This Row],[WBS]],FIND(".",Tasks[[#This Row],[WBS]]&amp;".")-1))</f>
        <v/>
      </c>
      <c r="GC88" s="42" t="str">
        <f aca="false">IF(AND(Tasks[[#This Row],[Task Name]]&lt;&gt;"",Tasks[[#This Row],[_Level]]=1),Tasks[[#This Row],[_Row]],"")</f>
        <v/>
      </c>
      <c r="GD88" s="42" t="str">
        <f aca="false">IF(AND(Tasks[[#This Row],[_IsLeaf]]=1,N(Tasks[[#This Row],[_Days]])=0),Tasks[[#This Row],[Planned Finish]]+Tasks[[#This Row],[_Row]]/100000,"")</f>
        <v/>
      </c>
      <c r="GE88" s="42" t="str">
        <f aca="false">IF(AND(Tasks[[#This Row],[_IsLeaf]]=1,Tasks[[#This Row],[_LeafProgress]]&lt;1,OR(N(Tasks[[#This Row],[Finish Var]])&gt;0,Tasks[[#This Row],[Status]]="Late Start")),MAX(0,Tasks[[#This Row],[Finish Var]])+1-Tasks[[#This Row],[_Row]]/1000000,"")</f>
        <v/>
      </c>
      <c r="GF88" s="42" t="str">
        <f aca="false">IF(AND(Tasks[[#This Row],[_IsLeaf]]=1,N(Tasks[[#This Row],[Actual Start]])=0,Tasks[[#This Row],[_ShownFcstStart]]&gt;=StatusDate,Tasks[[#This Row],[_ShownFcstStart]]&lt;=LookaheadEnd),Tasks[[#This Row],[_ShownFcstStart]]+Tasks[[#This Row],[_Row]]/100000,"")</f>
        <v/>
      </c>
      <c r="GG88" s="42" t="str">
        <f aca="false">IF(AND(Tasks[[#This Row],[_IsLeaf]]=1,Tasks[[#This Row],[_LeafProgress]]&lt;1,Tasks[[#This Row],[_ShownFcstFinish]]&gt;=StatusDate,Tasks[[#This Row],[_ShownFcstFinish]]&lt;=LookaheadEnd),Tasks[[#This Row],[_ShownFcstFinish]]+Tasks[[#This Row],[_Row]]/100000,"")</f>
        <v/>
      </c>
      <c r="GH88" s="42" t="str">
        <f aca="false">IF(Tasks[[#This Row],[_LeafCritical]],Tasks[[#This Row],[_ShownFcstStart]]+Tasks[[#This Row],[_Row]]/100000,"")</f>
        <v/>
      </c>
      <c r="GI88" s="42" t="n">
        <f aca="false">Tasks[[#This Row],[_LeafWork]]*Tasks[[#This Row],[_LeafProgress]]</f>
        <v>0</v>
      </c>
      <c r="GJ88" s="89" t="str">
        <f aca="false">IF(AND(Tasks[[#This Row],[_IsLeaf]]=1,Tasks[[#This Row],[_LeafProgress]]&gt;=1),IF(N(Tasks[[#This Row],[Actual Finish]])&gt;0,Tasks[[#This Row],[Actual Finish]],Tasks[[#This Row],[_ShownFcstFinish]]),"")</f>
        <v/>
      </c>
      <c r="GK88" s="42" t="n">
        <f aca="false">IF(Tasks[[#This Row],[_IsLeaf]]=1,N(Tasks[[#This Row],[Story Points]]),0)</f>
        <v>0</v>
      </c>
      <c r="GL88" s="42" t="str">
        <f aca="false">""</f>
        <v/>
      </c>
      <c r="GM88" s="88" t="b">
        <f aca="false">IF(Tasks[[#This Row],[Task Name]]="",FALSE(),AND(Tasks[[#This Row],[_IsLeaf]]=1,N(Tasks[[#This Row],[_Days]])=0))</f>
        <v>0</v>
      </c>
      <c r="GN88" s="89" t="n">
        <f aca="false">IF(Tasks[[#This Row],[Task Name]]="",0,IF(AND(Tasks[[#This Row],[_IsLeaf]]=1,NOT(Tasks[[#This Row],[_IsMilestone]]),N(Tasks[[#This Row],[Progress]])&gt;0),Tasks[[#This Row],[Start]],0))</f>
        <v>0</v>
      </c>
      <c r="GO88" s="89" t="n">
        <f aca="false">IF(Tasks[[#This Row],[_DoneFrom]]=0,0,IF(Tasks[[#This Row],[Progress]]&gt;=1,Tasks[[#This Row],[Finish]],MAX(Tasks[[#This Row],[_DoneFrom]],Tasks[[#This Row],[Start]]+ROUND((Tasks[[#This Row],[Finish]]-Tasks[[#This Row],[Start]]+1)*Tasks[[#This Row],[Progress]],0)-1)))</f>
        <v>0</v>
      </c>
      <c r="GP88" s="89" t="n">
        <f aca="false">IF(Tasks[[#This Row],[Task Name]]="",0,IF(OR(NOT(Tasks[[#This Row],[_IsLeaf]]=1),Tasks[[#This Row],[_IsMilestone]],N(Tasks[[#This Row],[Progress]])&gt;=1),0,IF(Tasks[[#This Row],[_DoneTo]]&gt;0,Tasks[[#This Row],[_DoneTo]]+1,Tasks[[#This Row],[Start]])))</f>
        <v>0</v>
      </c>
      <c r="GQ88" s="89" t="n">
        <f aca="false">IF(Tasks[[#This Row],[_RemFrom]]=0,0,Tasks[[#This Row],[Finish]])</f>
        <v>0</v>
      </c>
      <c r="GR88" s="88" t="b">
        <f aca="false">IF(Tasks[[#This Row],[Task Name]]="",FALSE(),OR(NOT(BaselineSet),N(Tasks[[#This Row],[Baseline Start]])&gt;0))</f>
        <v>0</v>
      </c>
      <c r="GS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8" s="90" t="str">
        <f aca="false">IF(Tasks[[#This Row],[_IsLeaf]]=1,Tasks[[#This Row],[_Row]],"")</f>
        <v/>
      </c>
      <c r="GW88" s="90" t="str">
        <f aca="false">IFERROR(INDEX(Tasks[UID],SMALL(Tasks[_PickKey],Tasks[[#This Row],[_Row]]))&amp;" "&amp;INDEX(Tasks[Task Name],SMALL(Tasks[_PickKey],Tasks[[#This Row],[_Row]])),"")</f>
        <v/>
      </c>
      <c r="GX88" s="42" t="str">
        <f aca="false">IF(Tasks[[#This Row],[Task Name]]="","",IF(Tasks[[#This Row],[_IsSummary]],NETWORKDAYS.INTL(Tasks[[#This Row],[Start]],Tasks[[#This Row],[Finish]],WorkWeek,Holidays),N(Tasks[[#This Row],[_Days]])))</f>
        <v/>
      </c>
    </row>
    <row r="89" customFormat="false" ht="15" hidden="false" customHeight="false" outlineLevel="0" collapsed="false">
      <c r="A89" s="21" t="str">
        <f aca="false">IF(Tasks[[#This Row],[Task Name]]="","",COUNTA(Tasks[[#Headers],[Task Name]]:Tasks[[#This Row],[Task Name]])-1)</f>
        <v/>
      </c>
      <c r="B89" s="22" t="n">
        <v>97</v>
      </c>
      <c r="C89" s="22"/>
      <c r="D89" s="23"/>
      <c r="E89" s="22"/>
      <c r="F89" s="23"/>
      <c r="G89" s="22"/>
      <c r="H89" s="22"/>
      <c r="I89" s="23"/>
      <c r="J89" s="22"/>
      <c r="K89" s="22"/>
      <c r="L89" s="23"/>
      <c r="M89" s="22"/>
      <c r="N89" s="22"/>
      <c r="O89" s="23"/>
      <c r="P89" s="22"/>
      <c r="Q89" s="22"/>
      <c r="R89" s="23"/>
      <c r="S89" s="23"/>
      <c r="T89" s="83"/>
      <c r="U89" s="23"/>
      <c r="V89" s="83"/>
      <c r="W89" s="23"/>
      <c r="X89" s="83"/>
      <c r="Y89" s="23"/>
      <c r="Z89" s="83"/>
      <c r="AA89" s="23"/>
      <c r="AB89" s="23"/>
      <c r="AC89" s="7"/>
      <c r="AD89" s="7"/>
      <c r="AE89" s="62" t="str">
        <f aca="false">IF(Tasks[[#This Row],[Task Name]]="","",IF(Tasks[[#This Row],[_IsSummary]],MIN(INDEX(Tasks[_ShownFcstStart],Tasks[[#This Row],[_Row]]+1):INDEX(Tasks[_ShownFcstStart],Tasks[[#This Row],[_Row]]+Tasks[[#This Row],[_Descendants]])),Tasks[[#This Row],[_ShownFcstStart]]))</f>
        <v/>
      </c>
      <c r="AF89" s="62" t="str">
        <f aca="false">IF(Tasks[[#This Row],[Task Name]]="","",IF(Tasks[[#This Row],[_IsSummary]],MAX(INDEX(Tasks[_ShownFcstFinish],Tasks[[#This Row],[_Row]]+1):INDEX(Tasks[_ShownFcstFinish],Tasks[[#This Row],[_Row]]+Tasks[[#This Row],[_Descendants]])),Tasks[[#This Row],[_ShownFcstFinish]]))</f>
        <v/>
      </c>
      <c r="AG89" s="21" t="str">
        <f aca="false">""</f>
        <v/>
      </c>
      <c r="AH89" s="23"/>
      <c r="AI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89" s="7"/>
      <c r="AK89" s="22"/>
      <c r="AL89" s="23"/>
      <c r="AM89" s="7"/>
      <c r="AN89" s="46" t="str">
        <f aca="false">IF(Tasks[[#This Row],[Task Name]]="","",IF(Tasks[[#This Row],[Finish]]&gt;=Tasks[[#This Row],[Planned Finish]],NETWORKDAYS.INTL(Tasks[[#This Row],[Planned Finish]],Tasks[[#This Row],[Finish]],WorkWeek,Holidays)-1,1-NETWORKDAYS.INTL(Tasks[[#This Row],[Finish]],Tasks[[#This Row],[Planned Finish]],WorkWeek,Holidays)))</f>
        <v/>
      </c>
      <c r="AO89" s="21" t="str">
        <f aca="false">IF(Tasks[[#This Row],[Task Name]]="","",IF(Tasks[[#This Row],[Progress]]&gt;=1,"Complete",IF(OR(N(Tasks[[#This Row],[Actual Start]])&gt;0,Tasks[[#This Row],[Progress]]&gt;0),IF(Tasks[[#This Row],[Finish Var]]&gt;0,"Behind","In Progress"),IF(Tasks[[#This Row],[Planned Start]]&lt;StatusDate,"Late Start","Not Started"))))</f>
        <v/>
      </c>
      <c r="AP89" s="21" t="str">
        <f aca="false">IF(Tasks[[#This Row],[Task Name]]="","",IF(IF(Tasks[[#This Row],[_IsSummary]],COUNTIF(INDEX(Tasks[_LeafCritical],Tasks[[#This Row],[_Row]]+1):INDEX(Tasks[_LeafCritical],Tasks[[#This Row],[_Row]]+Tasks[[#This Row],[_Descendants]]),TRUE())&gt;0,Tasks[[#This Row],[_LeafCritical]]),"Yes",""))</f>
        <v/>
      </c>
      <c r="AQ89" s="62" t="str">
        <f aca="false">IF(Tasks[[#This Row],[Task Name]]="","",IF(N(Tasks[[#This Row],[Baseline Start]])&gt;0,Tasks[[#This Row],[Baseline Start]],Tasks[[#This Row],[_CalcStart]]))</f>
        <v/>
      </c>
      <c r="AR89" s="62" t="str">
        <f aca="false">IF(Tasks[[#This Row],[Task Name]]="","",IF(N(Tasks[[#This Row],[Baseline Finish]])&gt;0,Tasks[[#This Row],[Baseline Finish]],Tasks[[#This Row],[_CalcFinish]]))</f>
        <v/>
      </c>
      <c r="AS89" s="46" t="str">
        <f aca="false">IF(Tasks[[#This Row],[Task Name]]="","",IF(Tasks[[#This Row],[Start]]&gt;=Tasks[[#This Row],[Planned Start]],NETWORKDAYS.INTL(Tasks[[#This Row],[Planned Start]],Tasks[[#This Row],[Start]],WorkWeek,Holidays)-1,1-NETWORKDAYS.INTL(Tasks[[#This Row],[Start]],Tasks[[#This Row],[Planned Start]],WorkWeek,Holidays)))</f>
        <v/>
      </c>
      <c r="AT89" s="62" t="str">
        <f aca="false">IF(Tasks[[#This Row],[Task Name]]="","",IF(Tasks[[#This Row],[_IsSummary]],MIN(INDEX(Tasks[_LeafLateStart],Tasks[[#This Row],[_Row]]+1):INDEX(Tasks[_LeafLateStart],Tasks[[#This Row],[_Row]]+Tasks[[#This Row],[_Descendants]])),Tasks[[#This Row],[_LeafLateStart]]))</f>
        <v/>
      </c>
      <c r="AU89" s="62" t="str">
        <f aca="false">IF(Tasks[[#This Row],[Task Name]]="","",IF(Tasks[[#This Row],[_IsSummary]],MAX(INDEX(Tasks[_LeafLateFinish],Tasks[[#This Row],[_Row]]+1):INDEX(Tasks[_LeafLateFinish],Tasks[[#This Row],[_Row]]+Tasks[[#This Row],[_Descendants]])),Tasks[[#This Row],[_LeafLateFinish]]))</f>
        <v/>
      </c>
      <c r="AV89" s="46" t="str">
        <f aca="false">IF(Tasks[[#This Row],[Task Name]]="","",IF(Tasks[[#This Row],[_IsSummary]],MIN(INDEX(Tasks[_LeafTotalSlack],Tasks[[#This Row],[_Row]]+1):INDEX(Tasks[_LeafTotalSlack],Tasks[[#This Row],[_Row]]+Tasks[[#This Row],[_Descendants]])),Tasks[[#This Row],[_LeafTotalSlack]]))</f>
        <v/>
      </c>
      <c r="AW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4"/>
      <c r="BA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t="str">
        <f aca="false">IF(Tasks[[#This Row],[Task Name]]="","",IF(Tasks[[#This Row],[_Level]]&lt;=OutlineShowLevel,"Yes","No"))</f>
        <v/>
      </c>
      <c r="BE89" s="85" t="str">
        <f aca="false">IF(Tasks[[#This Row],[Task Name]]="","",IF(Tasks[[#This Row],[_IsSummary]],SUM(INDEX(Tasks[_LeafTotalWork],Tasks[[#This Row],[_Row]]+1):INDEX(Tasks[_LeafTotalWork],Tasks[[#This Row],[_Row]]+Tasks[[#This Row],[_Descendants]])),Tasks[[#This Row],[_LeafTotalWork]]))</f>
        <v/>
      </c>
      <c r="BF89" s="23"/>
      <c r="BG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t="str">
        <f aca="false">""</f>
        <v/>
      </c>
      <c r="BI89" s="86"/>
      <c r="BJ89" s="22"/>
      <c r="BK89" s="46" t="str">
        <f aca="false">IF(OR(Tasks[[#This Row],[Task Name]]="",Tasks[[#This Row],[Baseline Duration]]=""),"",Tasks[[#This Row],[_SpanDays]]-N(Tasks[[#This Row],[Baseline Duration]]))</f>
        <v/>
      </c>
      <c r="BL89" s="85" t="str">
        <f aca="false">IF(OR(Tasks[[#This Row],[Task Name]]="",Tasks[[#This Row],[Baseline Work]]=""),"",Tasks[[#This Row],[Work]]-N(Tasks[[#This Row],[Baseline Work]]))</f>
        <v/>
      </c>
      <c r="BM89" s="62" t="str">
        <f aca="false">IF(Tasks[[#This Row],[Task Name]]="","",IF(OR(TakeBaseline="Yes",N(Tasks[[#This Row],[Baseline Start]])=0),Tasks[[#This Row],[Start]],Tasks[[#This Row],[Baseline Start]]))</f>
        <v/>
      </c>
      <c r="BN89" s="62" t="str">
        <f aca="false">IF(Tasks[[#This Row],[Task Name]]="","",IF(OR(TakeBaseline="Yes",N(Tasks[[#This Row],[Baseline Finish]])=0),Tasks[[#This Row],[Finish]],Tasks[[#This Row],[Baseline Finish]]))</f>
        <v/>
      </c>
      <c r="BO89" s="21" t="str">
        <f aca="false">IF(Tasks[[#This Row],[Task Name]]="","",IF(OR(TakeBaseline="Yes",N(Tasks[[#This Row],[Baseline Duration]])=0),Tasks[[#This Row],[_SpanDays]],Tasks[[#This Row],[Baseline Duration]]))</f>
        <v/>
      </c>
      <c r="BP89" s="85" t="str">
        <f aca="false">IF(Tasks[[#This Row],[Task Name]]="","",IF(OR(TakeBaseline="Yes",N(Tasks[[#This Row],[Baseline Work]])=0),Tasks[[#This Row],[Work]],Tasks[[#This Row],[Baseline Work]]))</f>
        <v/>
      </c>
      <c r="BQ89" s="7"/>
      <c r="BR89" s="7"/>
      <c r="BS89" s="22"/>
      <c r="BT89" s="87"/>
      <c r="BU89" s="42" t="str">
        <f aca="false">IF(Tasks[[#This Row],[Task Name]]="","",MAX(1,N(Tasks[[#This Row],[Level]])))</f>
        <v/>
      </c>
      <c r="BV89" s="42" t="n">
        <f aca="false">ROW()-ROW(Tasks[[#Headers],[ID]])</f>
        <v>84</v>
      </c>
      <c r="BW89" s="42" t="n">
        <f aca="false">IF(OR(Tasks[[#This Row],[Task Name]]="",Tasks[[#This Row],[_Level]]&lt;=1),0,IFERROR(LOOKUP(2,1/(Tasks[[#Headers],[_Level]]:Tasks[[#This Row],[_Level]]=Tasks[[#This Row],[_Level]]-1),ROW(Tasks[[#Headers],[_Level]]:Tasks[[#This Row],[_Level]])),0))</f>
        <v>0</v>
      </c>
      <c r="BX89" s="42" t="n">
        <f aca="false">IFERROR(N(INDEX(Tasks[_Level],Tasks[[#This Row],[_Row]]+1)),0)</f>
        <v>0</v>
      </c>
      <c r="BY89" s="88" t="b">
        <f aca="false">AND(Tasks[[#This Row],[Task Name]]&lt;&gt;"",Tasks[[#This Row],[_NextLevel]]&gt;Tasks[[#This Row],[_Level]])</f>
        <v>0</v>
      </c>
      <c r="BZ89" s="42" t="n">
        <f aca="false">IF(Tasks[[#This Row],[_IsSummary]],COUNTIF(Tasks[WBS],Tasks[[#This Row],[WBS]]&amp;".*"),0)</f>
        <v>0</v>
      </c>
      <c r="CA89" s="42" t="n">
        <f aca="false">IF(AND(Tasks[[#This Row],[Task Name]]&lt;&gt;"",NOT(Tasks[[#This Row],[_IsSummary]])),1,0)</f>
        <v>0</v>
      </c>
      <c r="CB89" s="42" t="n">
        <f aca="false">IF(N(Tasks[[#This Row],[_Pred1UID]])=0,0,IFERROR(MATCH(Tasks[[#This Row],[_Pred1UID]],Tasks[UID],0),-1))</f>
        <v>0</v>
      </c>
      <c r="CC89" s="42" t="n">
        <f aca="false">IF(N(Tasks[[#This Row],[_Pred2UID]])=0,0,IFERROR(MATCH(Tasks[[#This Row],[_Pred2UID]],Tasks[UID],0),-1))</f>
        <v>0</v>
      </c>
      <c r="CD89" s="42" t="n">
        <f aca="false">IF(N(Tasks[[#This Row],[_Pred3UID]])=0,0,IFERROR(MATCH(Tasks[[#This Row],[_Pred3UID]],Tasks[UID],0),-1))</f>
        <v>0</v>
      </c>
      <c r="CE89" s="42" t="n">
        <f aca="false">IF(N(Tasks[[#This Row],[_Pred4UID]])=0,0,IFERROR(MATCH(Tasks[[#This Row],[_Pred4UID]],Tasks[UID],0),-1))</f>
        <v>0</v>
      </c>
      <c r="CF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89" s="89" t="n">
        <f aca="false">IF(OR(Tasks[[#This Row],[_ConstraintCode]]=2,Tasks[[#This Row],[_ConstraintCode]]=3,Tasks[[#This Row],[_ConstraintCode]]=4,Tasks[[#This Row],[_ConstraintCode]]=6),Tasks[[#This Row],[_ConstraintStart]],0)</f>
        <v>0</v>
      </c>
      <c r="CI89" s="89" t="n">
        <f aca="false">IF(OR(Tasks[[#This Row],[_ConstraintCode]]=2,Tasks[[#This Row],[_ConstraintCode]]=3,Tasks[[#This Row],[_ConstraintCode]]=5,Tasks[[#This Row],[_ConstraintCode]]=7),Tasks[[#This Row],[_ConstraintStart]],2958465)</f>
        <v>2958465</v>
      </c>
      <c r="CJ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89" s="89" t="str">
        <f aca="false">IF(NOT(Tasks[[#This Row],[_IsLeaf]]=1),"",IF(N(Tasks[[#This Row],[_Days]])&lt;=0,Tasks[[#This Row],[_LeafCalcStart]],WORKDAY.INTL(Tasks[[#This Row],[_LeafCalcStart]],Tasks[[#This Row],[_Days]]-1,WorkWeek,Holidays)))</f>
        <v/>
      </c>
      <c r="CL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89" s="42" t="str">
        <f aca="false">IF(Tasks[[#This Row],[_Predecessors]]="","",TRIM(MID(SUBSTITUTE(SUBSTITUTE(SUBSTITUTE(UPPER(Tasks[[#This Row],[_Predecessors]]),";",",")," ",""),",",REPT(" ",99)),1,99)))</f>
        <v/>
      </c>
      <c r="CO89" s="42" t="str">
        <f aca="false">IF(Tasks[[#This Row],[_Pred1Text]]="","",IFERROR(VALUE(LEFT(Tasks[[#This Row],[_Pred1Text]],MIN(FIND("F",Tasks[[#This Row],[_Pred1Text]]&amp;"F"),FIND("S",Tasks[[#This Row],[_Pred1Text]]&amp;"S"),FIND("+",Tasks[[#This Row],[_Pred1Text]]&amp;"+"),FIND("-",Tasks[[#This Row],[_Pred1Text]]&amp;"-"))-1)),""))</f>
        <v/>
      </c>
      <c r="CP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89" s="42" t="str">
        <f aca="false">IF(Tasks[[#This Row],[_Pred1Text]]="","",TRIM(MID(SUBSTITUTE(SUBSTITUTE(SUBSTITUTE(UPPER(Tasks[[#This Row],[_Predecessors]]),";",",")," ",""),",",REPT(" ",99)),100,99)))</f>
        <v/>
      </c>
      <c r="CS89" s="42" t="str">
        <f aca="false">IF(Tasks[[#This Row],[_Pred2Text]]="","",IFERROR(VALUE(LEFT(Tasks[[#This Row],[_Pred2Text]],MIN(FIND("F",Tasks[[#This Row],[_Pred2Text]]&amp;"F"),FIND("S",Tasks[[#This Row],[_Pred2Text]]&amp;"S"),FIND("+",Tasks[[#This Row],[_Pred2Text]]&amp;"+"),FIND("-",Tasks[[#This Row],[_Pred2Text]]&amp;"-"))-1)),""))</f>
        <v/>
      </c>
      <c r="CT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89" s="42" t="str">
        <f aca="false">IF(Tasks[[#This Row],[_Pred2Text]]="","",TRIM(MID(SUBSTITUTE(SUBSTITUTE(SUBSTITUTE(UPPER(Tasks[[#This Row],[_Predecessors]]),";",",")," ",""),",",REPT(" ",99)),199,99)))</f>
        <v/>
      </c>
      <c r="CW89" s="42" t="str">
        <f aca="false">IF(Tasks[[#This Row],[_Pred3Text]]="","",IFERROR(VALUE(LEFT(Tasks[[#This Row],[_Pred3Text]],MIN(FIND("F",Tasks[[#This Row],[_Pred3Text]]&amp;"F"),FIND("S",Tasks[[#This Row],[_Pred3Text]]&amp;"S"),FIND("+",Tasks[[#This Row],[_Pred3Text]]&amp;"+"),FIND("-",Tasks[[#This Row],[_Pred3Text]]&amp;"-"))-1)),""))</f>
        <v/>
      </c>
      <c r="CX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89" s="42" t="str">
        <f aca="false">IF(Tasks[[#This Row],[_Pred3Text]]="","",TRIM(MID(SUBSTITUTE(SUBSTITUTE(SUBSTITUTE(UPPER(Tasks[[#This Row],[_Predecessors]]),";",",")," ",""),",",REPT(" ",99)),298,99)))</f>
        <v/>
      </c>
      <c r="DA89" s="42" t="str">
        <f aca="false">IF(Tasks[[#This Row],[_Pred4Text]]="","",IFERROR(VALUE(LEFT(Tasks[[#This Row],[_Pred4Text]],MIN(FIND("F",Tasks[[#This Row],[_Pred4Text]]&amp;"F"),FIND("S",Tasks[[#This Row],[_Pred4Text]]&amp;"S"),FIND("+",Tasks[[#This Row],[_Pred4Text]]&amp;"+"),FIND("-",Tasks[[#This Row],[_Pred4Text]]&amp;"-"))-1)),""))</f>
        <v/>
      </c>
      <c r="DB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89" s="42" t="str">
        <f aca="false">IF(OR(Tasks[[#This Row],[Task Name]]="",Tasks[[#This Row],[_Resources]]=""),"",TRIM(MID(SUBSTITUTE(Tasks[[#This Row],[_Resources]],",",REPT(" ",99)),1,99)))</f>
        <v/>
      </c>
      <c r="DE89" s="42" t="str">
        <f aca="false">IF(Tasks[[#This Row],[_Res1Text]]="","",TRIM(MID(SUBSTITUTE(Tasks[[#This Row],[_Resources]],",",REPT(" ",99)),100,99)))</f>
        <v/>
      </c>
      <c r="DF89" s="42" t="str">
        <f aca="false">IF(Tasks[[#This Row],[_Res2Text]]="","",TRIM(MID(SUBSTITUTE(Tasks[[#This Row],[_Resources]],",",REPT(" ",99)),199,99)))</f>
        <v/>
      </c>
      <c r="DG89" s="42" t="str">
        <f aca="false">IF(Tasks[[#This Row],[_Res3Text]]="","",TRIM(MID(SUBSTITUTE(Tasks[[#This Row],[_Resources]],",",REPT(" ",99)),298,99)))</f>
        <v/>
      </c>
      <c r="DH89" s="42" t="n">
        <f aca="false">IF(Tasks[[#This Row],[_Res1Text]]="",0,IFERROR(MATCH(TRIM(LEFT(Tasks[[#This Row],[_Res1Text]],FIND("[",Tasks[[#This Row],[_Res1Text]]&amp;"[")-1)),res_Name,0),IFERROR(MATCH(TRIM(LEFT(Tasks[[#This Row],[_Res1Text]],FIND("[",Tasks[[#This Row],[_Res1Text]]&amp;"[")-1)),res_Initials,0),0)))</f>
        <v>0</v>
      </c>
      <c r="DI89" s="42" t="n">
        <f aca="false">IF(Tasks[[#This Row],[_Res2Text]]="",0,IFERROR(MATCH(TRIM(LEFT(Tasks[[#This Row],[_Res2Text]],FIND("[",Tasks[[#This Row],[_Res2Text]]&amp;"[")-1)),res_Name,0),IFERROR(MATCH(TRIM(LEFT(Tasks[[#This Row],[_Res2Text]],FIND("[",Tasks[[#This Row],[_Res2Text]]&amp;"[")-1)),res_Initials,0),0)))</f>
        <v>0</v>
      </c>
      <c r="DJ89" s="42" t="n">
        <f aca="false">IF(Tasks[[#This Row],[_Res3Text]]="",0,IFERROR(MATCH(TRIM(LEFT(Tasks[[#This Row],[_Res3Text]],FIND("[",Tasks[[#This Row],[_Res3Text]]&amp;"[")-1)),res_Name,0),IFERROR(MATCH(TRIM(LEFT(Tasks[[#This Row],[_Res3Text]],FIND("[",Tasks[[#This Row],[_Res3Text]]&amp;"[")-1)),res_Initials,0),0)))</f>
        <v>0</v>
      </c>
      <c r="DK89" s="42" t="n">
        <f aca="false">IF(Tasks[[#This Row],[_Res4Text]]="",0,IFERROR(MATCH(TRIM(LEFT(Tasks[[#This Row],[_Res4Text]],FIND("[",Tasks[[#This Row],[_Res4Text]]&amp;"[")-1)),res_Name,0),IFERROR(MATCH(TRIM(LEFT(Tasks[[#This Row],[_Res4Text]],FIND("[",Tasks[[#This Row],[_Res4Text]]&amp;"[")-1)),res_Initials,0),0)))</f>
        <v>0</v>
      </c>
      <c r="DL89" s="42" t="str">
        <f aca="false">IF(Tasks[[#This Row],[_Res1Text]]="","",IF(Tasks[[#This Row],[_Res1Row]]&gt;0,INDEX(res_Name,Tasks[[#This Row],[_Res1Row]]),TRIM(LEFT(Tasks[[#This Row],[_Res1Text]],FIND("[",Tasks[[#This Row],[_Res1Text]]&amp;"[")-1))))</f>
        <v/>
      </c>
      <c r="DM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89" s="42" t="n">
        <f aca="false">IF(NOT(Tasks[[#This Row],[_IsLeaf]]=1),0,(Tasks[[#This Row],[_Resource1]]&lt;&gt;"")+(Tasks[[#This Row],[_Res2]]&lt;&gt;"")+(Tasks[[#This Row],[_Res3]]&lt;&gt;"")+(Tasks[[#This Row],[_Res4]]&lt;&gt;""))</f>
        <v>0</v>
      </c>
      <c r="DO89" s="42" t="str">
        <f aca="false">IF(Tasks[[#This Row],[_Res2Text]]="","",IF(Tasks[[#This Row],[_Res2Row]]&gt;0,INDEX(res_Name,Tasks[[#This Row],[_Res2Row]]),TRIM(LEFT(Tasks[[#This Row],[_Res2Text]],FIND("[",Tasks[[#This Row],[_Res2Text]]&amp;"[")-1))))</f>
        <v/>
      </c>
      <c r="DP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89" s="42" t="n">
        <f aca="false">IF(OR(NOT(Tasks[[#This Row],[_IsLeaf]]=1),Tasks[[#This Row],[_Res2Row]]=0),0,N(Tasks[[#This Row],[_Days]])*HoursPerDay*IF(Tasks[[#This Row],[_Res2Units]]="",DefaultUnits,Tasks[[#This Row],[_Res2Units]]))</f>
        <v>0</v>
      </c>
      <c r="DR89" s="42" t="n">
        <f aca="false">IF(AND(AND(Tasks[[#This Row],[_IsLeaf]]=1,Tasks[[#This Row],[_LeafTotalWork]]&gt;0),Tasks[[#This Row],[_Res2Work]]&gt;0),Tasks[[#This Row],[_Res2Work]]/(Tasks[[#This Row],[_FinishWorkday]]-Tasks[[#This Row],[_StartWorkday]]+1),0)</f>
        <v>0</v>
      </c>
      <c r="DS89" s="42" t="n">
        <f aca="false">Tasks[[#This Row],[_Res2WorkPerWD]]*MAX(0,Tasks[[#This Row],[_StartWorkday]]-1)</f>
        <v>0</v>
      </c>
      <c r="DT89" s="42" t="n">
        <f aca="false">Tasks[[#This Row],[_Res2Work]]*Tasks[[#This Row],[_LeafProgress]]</f>
        <v>0</v>
      </c>
      <c r="DU89" s="42" t="str">
        <f aca="false">IF(Tasks[[#This Row],[_Res3Text]]="","",IF(Tasks[[#This Row],[_Res3Row]]&gt;0,INDEX(res_Name,Tasks[[#This Row],[_Res3Row]]),TRIM(LEFT(Tasks[[#This Row],[_Res3Text]],FIND("[",Tasks[[#This Row],[_Res3Text]]&amp;"[")-1))))</f>
        <v/>
      </c>
      <c r="DV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89" s="42" t="n">
        <f aca="false">IF(OR(NOT(Tasks[[#This Row],[_IsLeaf]]=1),Tasks[[#This Row],[_Res3Row]]=0),0,N(Tasks[[#This Row],[_Days]])*HoursPerDay*IF(Tasks[[#This Row],[_Res3Units]]="",DefaultUnits,Tasks[[#This Row],[_Res3Units]]))</f>
        <v>0</v>
      </c>
      <c r="DX89" s="42" t="n">
        <f aca="false">IF(AND(AND(Tasks[[#This Row],[_IsLeaf]]=1,Tasks[[#This Row],[_LeafTotalWork]]&gt;0),Tasks[[#This Row],[_Res3Work]]&gt;0),Tasks[[#This Row],[_Res3Work]]/(Tasks[[#This Row],[_FinishWorkday]]-Tasks[[#This Row],[_StartWorkday]]+1),0)</f>
        <v>0</v>
      </c>
      <c r="DY89" s="42" t="n">
        <f aca="false">Tasks[[#This Row],[_Res3WorkPerWD]]*MAX(0,Tasks[[#This Row],[_StartWorkday]]-1)</f>
        <v>0</v>
      </c>
      <c r="DZ89" s="42" t="n">
        <f aca="false">Tasks[[#This Row],[_Res3Work]]*Tasks[[#This Row],[_LeafProgress]]</f>
        <v>0</v>
      </c>
      <c r="EA89" s="42" t="str">
        <f aca="false">IF(Tasks[[#This Row],[_Res4Text]]="","",IF(Tasks[[#This Row],[_Res4Row]]&gt;0,INDEX(res_Name,Tasks[[#This Row],[_Res4Row]]),TRIM(LEFT(Tasks[[#This Row],[_Res4Text]],FIND("[",Tasks[[#This Row],[_Res4Text]]&amp;"[")-1))))</f>
        <v/>
      </c>
      <c r="EB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89" s="42" t="n">
        <f aca="false">IF(OR(NOT(Tasks[[#This Row],[_IsLeaf]]=1),Tasks[[#This Row],[_Res4Row]]=0),0,N(Tasks[[#This Row],[_Days]])*HoursPerDay*IF(Tasks[[#This Row],[_Res4Units]]="",DefaultUnits,Tasks[[#This Row],[_Res4Units]]))</f>
        <v>0</v>
      </c>
      <c r="ED89" s="42" t="n">
        <f aca="false">IF(AND(AND(Tasks[[#This Row],[_IsLeaf]]=1,Tasks[[#This Row],[_LeafTotalWork]]&gt;0),Tasks[[#This Row],[_Res4Work]]&gt;0),Tasks[[#This Row],[_Res4Work]]/(Tasks[[#This Row],[_FinishWorkday]]-Tasks[[#This Row],[_StartWorkday]]+1),0)</f>
        <v>0</v>
      </c>
      <c r="EE89" s="42" t="n">
        <f aca="false">Tasks[[#This Row],[_Res4WorkPerWD]]*MAX(0,Tasks[[#This Row],[_StartWorkday]]-1)</f>
        <v>0</v>
      </c>
      <c r="EF89" s="42" t="n">
        <f aca="false">Tasks[[#This Row],[_Res4Work]]*Tasks[[#This Row],[_LeafProgress]]</f>
        <v>0</v>
      </c>
      <c r="EG89" s="42" t="n">
        <f aca="false">IF(ISNUMBER(Tasks[[#This Row],[% Complete]]),Tasks[[#This Row],[% Complete]],IF(Tasks[[#This Row],[Stage]]="",0,IFERROR(INDEX(stg_Pct,MATCH(Tasks[[#This Row],[Stage]],stg_Name,0)),0)))</f>
        <v>0</v>
      </c>
      <c r="EH89" s="42" t="n">
        <f aca="false">IF(NOT(Tasks[[#This Row],[_IsLeaf]]=1),0,IF(N(Tasks[[#This Row],[Actual Finish]])&gt;0,1,MIN(1,Tasks[[#This Row],[_Pct]])))</f>
        <v>0</v>
      </c>
      <c r="EI89" s="42" t="n">
        <f aca="false">IF(OR(NOT(Tasks[[#This Row],[_IsLeaf]]=1),Tasks[[#This Row],[_Res1Row]]=0),0,N(Tasks[[#This Row],[_Days]])*HoursPerDay*IF(Tasks[[#This Row],[_Units1]]="",DefaultUnits,Tasks[[#This Row],[_Units1]]))</f>
        <v>0</v>
      </c>
      <c r="EJ89" s="42" t="n">
        <f aca="false">Tasks[[#This Row],[_LeafWork]]+Tasks[[#This Row],[_Res2Work]]+Tasks[[#This Row],[_Res3Work]]+Tasks[[#This Row],[_Res4Work]]</f>
        <v>0</v>
      </c>
      <c r="EK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89" s="42" t="n">
        <f aca="false">IF(NOT(Tasks[[#This Row],[_IsLeaf]]=1),0,MAX(_xlfn.MAXIFS(Tasks[_Row],Tasks[_Pred1UID],Tasks[[#This Row],[UID]]),_xlfn.MAXIFS(Tasks[_Row],Tasks[_Pred2UID],Tasks[[#This Row],[UID]]),_xlfn.MAXIFS(Tasks[_Row],Tasks[_Pred3UID],Tasks[[#This Row],[UID]]),_xlfn.MAXIFS(Tasks[_Row],Tasks[_Pred4UID],Tasks[[#This Row],[UID]])))</f>
        <v>0</v>
      </c>
      <c r="ET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89" s="89" t="str">
        <f aca="false">IF(NOT(Tasks[[#This Row],[_IsLeaf]]=1),"",IF(N(Tasks[[#This Row],[_Days]])&lt;=0,Tasks[[#This Row],[_LeafLateFinish]],WORKDAY.INTL(Tasks[[#This Row],[_LeafLateFinish]],-(Tasks[[#This Row],[_Days]]-1),WorkWeek,Holidays)))</f>
        <v/>
      </c>
      <c r="EW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89" s="88" t="b">
        <f aca="false">AND(Tasks[[#This Row],[_IsLeaf]]=1,Tasks[[#This Row],[_LeafProgress]]&lt;1,N(Tasks[[#This Row],[_LeafTotalSlack]])&lt;=CriticalSlackDays)</f>
        <v>0</v>
      </c>
      <c r="EY89" s="42" t="n">
        <f aca="false">IF(AND(Tasks[[#This Row],[_IsLeaf]]=1,Tasks[[#This Row],[_ConstraintCode]]=1,Tasks[[#This Row],[Mode]]&lt;&gt;"Manual",N(Tasks[[#This Row],[Actual Start]])=0),MAX(0,N(Tasks[[#This Row],[Free Slack]])),0)</f>
        <v>0</v>
      </c>
      <c r="EZ89" s="89" t="str">
        <f aca="false">IF(NOT(Tasks[[#This Row],[_IsLeaf]]=1),"",IF(Tasks[[#This Row],[_AlapShift]]=0,Tasks[[#This Row],[_LeafCalcStart]],WORKDAY.INTL(Tasks[[#This Row],[_LeafCalcStart]],Tasks[[#This Row],[_AlapShift]],WorkWeek,Holidays)))</f>
        <v/>
      </c>
      <c r="FA89" s="89" t="str">
        <f aca="false">IF(NOT(Tasks[[#This Row],[_IsLeaf]]=1),"",IF(Tasks[[#This Row],[_AlapShift]]=0,Tasks[[#This Row],[_LeafCalcFinish]],WORKDAY.INTL(Tasks[[#This Row],[_LeafCalcFinish]],Tasks[[#This Row],[_AlapShift]],WorkWeek,Holidays)))</f>
        <v/>
      </c>
      <c r="FB89" s="89" t="str">
        <f aca="false">IF(NOT(Tasks[[#This Row],[_IsLeaf]]=1),"",IF(Tasks[[#This Row],[_AlapShift]]=0,Tasks[[#This Row],[_LeafFcstStart]],WORKDAY.INTL(Tasks[[#This Row],[_LeafFcstStart]],Tasks[[#This Row],[_AlapShift]],WorkWeek,Holidays)))</f>
        <v/>
      </c>
      <c r="FC89" s="89" t="str">
        <f aca="false">IF(NOT(Tasks[[#This Row],[_IsLeaf]]=1),"",IF(Tasks[[#This Row],[_AlapShift]]=0,Tasks[[#This Row],[_LeafFcstFinish]],WORKDAY.INTL(Tasks[[#This Row],[_LeafFcstFinish]],Tasks[[#This Row],[_AlapShift]],WorkWeek,Holidays)))</f>
        <v/>
      </c>
      <c r="FD89" s="89" t="str">
        <f aca="false">IF(Tasks[[#This Row],[Task Name]]="","",IF(Tasks[[#This Row],[_IsSummary]],MIN(INDEX(Tasks[_ShownCalcStart],Tasks[[#This Row],[_Row]]+1):INDEX(Tasks[_ShownCalcStart],Tasks[[#This Row],[_Row]]+Tasks[[#This Row],[_Descendants]])),Tasks[[#This Row],[_ShownCalcStart]]))</f>
        <v/>
      </c>
      <c r="FE89" s="89" t="str">
        <f aca="false">IF(Tasks[[#This Row],[Task Name]]="","",IF(Tasks[[#This Row],[_IsSummary]],MAX(INDEX(Tasks[_ShownCalcFinish],Tasks[[#This Row],[_Row]]+1):INDEX(Tasks[_ShownCalcFinish],Tasks[[#This Row],[_Row]]+Tasks[[#This Row],[_Descendants]])),Tasks[[#This Row],[_ShownCalcFinish]]))</f>
        <v/>
      </c>
      <c r="FF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89" s="42" t="n">
        <f aca="false">IF(AND(Tasks[[#This Row],[_IsLeaf]]=1,Tasks[[#This Row],[_LeafTotalWork]]&gt;0),NETWORKDAYS.INTL(ProjectStart,Tasks[[#This Row],[_ShownFcstStart]],WorkWeek,Holidays),0)</f>
        <v>0</v>
      </c>
      <c r="FS89" s="42" t="n">
        <f aca="false">IF(AND(Tasks[[#This Row],[_IsLeaf]]=1,Tasks[[#This Row],[_LeafTotalWork]]&gt;0),MAX(Tasks[[#This Row],[_StartWorkday]],NETWORKDAYS.INTL(ProjectStart,Tasks[[#This Row],[_ShownFcstFinish]],WorkWeek,Holidays)),0)</f>
        <v>0</v>
      </c>
      <c r="FT89" s="42" t="n">
        <f aca="false">IF(AND(Tasks[[#This Row],[_IsLeaf]]=1,Tasks[[#This Row],[_LeafTotalWork]]&gt;0),Tasks[[#This Row],[_LeafWork]]/(Tasks[[#This Row],[_FinishWorkday]]-Tasks[[#This Row],[_StartWorkday]]+1),0)</f>
        <v>0</v>
      </c>
      <c r="FU89" s="42" t="n">
        <f aca="false">Tasks[[#This Row],[_WorkPerWorkday]]*(Tasks[[#This Row],[_StartWorkday]]-1)</f>
        <v>-0</v>
      </c>
      <c r="FV89" s="42" t="n">
        <f aca="false">IF(Tasks[[#This Row],[_IsLeaf]]=1,MAX(N(Tasks[[#This Row],[_Days]]),0.1),0)</f>
        <v>0</v>
      </c>
      <c r="FW89" s="42" t="n">
        <f aca="false">Tasks[[#This Row],[_WeightDur]]*Tasks[[#This Row],[_LeafProgress]]</f>
        <v>0</v>
      </c>
      <c r="FX89" s="42" t="n">
        <f aca="false">Tasks[[#This Row],[_WeightDur]]*Tasks[[#This Row],[_PlannedPct]]</f>
        <v>0</v>
      </c>
      <c r="FY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89" s="42" t="str">
        <f aca="false">IF(AND(Tasks[[#This Row],[_IsLeaf]]=1,N(Tasks[[#This Row],[_Days]])=0,Tasks[[#This Row],[_LeafProgress]]&lt;1),Tasks[[#This Row],[_ShownFcstFinish]]+Tasks[[#This Row],[_Row]]/100000,"")</f>
        <v/>
      </c>
      <c r="GA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89" s="42" t="str">
        <f aca="false">IF(Tasks[[#This Row],[Task Name]]="","",LEFT(Tasks[[#This Row],[WBS]],FIND(".",Tasks[[#This Row],[WBS]]&amp;".")-1))</f>
        <v/>
      </c>
      <c r="GC89" s="42" t="str">
        <f aca="false">IF(AND(Tasks[[#This Row],[Task Name]]&lt;&gt;"",Tasks[[#This Row],[_Level]]=1),Tasks[[#This Row],[_Row]],"")</f>
        <v/>
      </c>
      <c r="GD89" s="42" t="str">
        <f aca="false">IF(AND(Tasks[[#This Row],[_IsLeaf]]=1,N(Tasks[[#This Row],[_Days]])=0),Tasks[[#This Row],[Planned Finish]]+Tasks[[#This Row],[_Row]]/100000,"")</f>
        <v/>
      </c>
      <c r="GE89" s="42" t="str">
        <f aca="false">IF(AND(Tasks[[#This Row],[_IsLeaf]]=1,Tasks[[#This Row],[_LeafProgress]]&lt;1,OR(N(Tasks[[#This Row],[Finish Var]])&gt;0,Tasks[[#This Row],[Status]]="Late Start")),MAX(0,Tasks[[#This Row],[Finish Var]])+1-Tasks[[#This Row],[_Row]]/1000000,"")</f>
        <v/>
      </c>
      <c r="GF89" s="42" t="str">
        <f aca="false">IF(AND(Tasks[[#This Row],[_IsLeaf]]=1,N(Tasks[[#This Row],[Actual Start]])=0,Tasks[[#This Row],[_ShownFcstStart]]&gt;=StatusDate,Tasks[[#This Row],[_ShownFcstStart]]&lt;=LookaheadEnd),Tasks[[#This Row],[_ShownFcstStart]]+Tasks[[#This Row],[_Row]]/100000,"")</f>
        <v/>
      </c>
      <c r="GG89" s="42" t="str">
        <f aca="false">IF(AND(Tasks[[#This Row],[_IsLeaf]]=1,Tasks[[#This Row],[_LeafProgress]]&lt;1,Tasks[[#This Row],[_ShownFcstFinish]]&gt;=StatusDate,Tasks[[#This Row],[_ShownFcstFinish]]&lt;=LookaheadEnd),Tasks[[#This Row],[_ShownFcstFinish]]+Tasks[[#This Row],[_Row]]/100000,"")</f>
        <v/>
      </c>
      <c r="GH89" s="42" t="str">
        <f aca="false">IF(Tasks[[#This Row],[_LeafCritical]],Tasks[[#This Row],[_ShownFcstStart]]+Tasks[[#This Row],[_Row]]/100000,"")</f>
        <v/>
      </c>
      <c r="GI89" s="42" t="n">
        <f aca="false">Tasks[[#This Row],[_LeafWork]]*Tasks[[#This Row],[_LeafProgress]]</f>
        <v>0</v>
      </c>
      <c r="GJ89" s="89" t="str">
        <f aca="false">IF(AND(Tasks[[#This Row],[_IsLeaf]]=1,Tasks[[#This Row],[_LeafProgress]]&gt;=1),IF(N(Tasks[[#This Row],[Actual Finish]])&gt;0,Tasks[[#This Row],[Actual Finish]],Tasks[[#This Row],[_ShownFcstFinish]]),"")</f>
        <v/>
      </c>
      <c r="GK89" s="42" t="n">
        <f aca="false">IF(Tasks[[#This Row],[_IsLeaf]]=1,N(Tasks[[#This Row],[Story Points]]),0)</f>
        <v>0</v>
      </c>
      <c r="GL89" s="42" t="str">
        <f aca="false">""</f>
        <v/>
      </c>
      <c r="GM89" s="88" t="b">
        <f aca="false">IF(Tasks[[#This Row],[Task Name]]="",FALSE(),AND(Tasks[[#This Row],[_IsLeaf]]=1,N(Tasks[[#This Row],[_Days]])=0))</f>
        <v>0</v>
      </c>
      <c r="GN89" s="89" t="n">
        <f aca="false">IF(Tasks[[#This Row],[Task Name]]="",0,IF(AND(Tasks[[#This Row],[_IsLeaf]]=1,NOT(Tasks[[#This Row],[_IsMilestone]]),N(Tasks[[#This Row],[Progress]])&gt;0),Tasks[[#This Row],[Start]],0))</f>
        <v>0</v>
      </c>
      <c r="GO89" s="89" t="n">
        <f aca="false">IF(Tasks[[#This Row],[_DoneFrom]]=0,0,IF(Tasks[[#This Row],[Progress]]&gt;=1,Tasks[[#This Row],[Finish]],MAX(Tasks[[#This Row],[_DoneFrom]],Tasks[[#This Row],[Start]]+ROUND((Tasks[[#This Row],[Finish]]-Tasks[[#This Row],[Start]]+1)*Tasks[[#This Row],[Progress]],0)-1)))</f>
        <v>0</v>
      </c>
      <c r="GP89" s="89" t="n">
        <f aca="false">IF(Tasks[[#This Row],[Task Name]]="",0,IF(OR(NOT(Tasks[[#This Row],[_IsLeaf]]=1),Tasks[[#This Row],[_IsMilestone]],N(Tasks[[#This Row],[Progress]])&gt;=1),0,IF(Tasks[[#This Row],[_DoneTo]]&gt;0,Tasks[[#This Row],[_DoneTo]]+1,Tasks[[#This Row],[Start]])))</f>
        <v>0</v>
      </c>
      <c r="GQ89" s="89" t="n">
        <f aca="false">IF(Tasks[[#This Row],[_RemFrom]]=0,0,Tasks[[#This Row],[Finish]])</f>
        <v>0</v>
      </c>
      <c r="GR89" s="88" t="b">
        <f aca="false">IF(Tasks[[#This Row],[Task Name]]="",FALSE(),OR(NOT(BaselineSet),N(Tasks[[#This Row],[Baseline Start]])&gt;0))</f>
        <v>0</v>
      </c>
      <c r="GS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89" s="90" t="str">
        <f aca="false">IF(Tasks[[#This Row],[_IsLeaf]]=1,Tasks[[#This Row],[_Row]],"")</f>
        <v/>
      </c>
      <c r="GW89" s="90" t="str">
        <f aca="false">IFERROR(INDEX(Tasks[UID],SMALL(Tasks[_PickKey],Tasks[[#This Row],[_Row]]))&amp;" "&amp;INDEX(Tasks[Task Name],SMALL(Tasks[_PickKey],Tasks[[#This Row],[_Row]])),"")</f>
        <v/>
      </c>
      <c r="GX89" s="42" t="str">
        <f aca="false">IF(Tasks[[#This Row],[Task Name]]="","",IF(Tasks[[#This Row],[_IsSummary]],NETWORKDAYS.INTL(Tasks[[#This Row],[Start]],Tasks[[#This Row],[Finish]],WorkWeek,Holidays),N(Tasks[[#This Row],[_Days]])))</f>
        <v/>
      </c>
    </row>
    <row r="90" customFormat="false" ht="15" hidden="false" customHeight="false" outlineLevel="0" collapsed="false">
      <c r="A90" s="21" t="str">
        <f aca="false">IF(Tasks[[#This Row],[Task Name]]="","",COUNTA(Tasks[[#Headers],[Task Name]]:Tasks[[#This Row],[Task Name]])-1)</f>
        <v/>
      </c>
      <c r="B90" s="22" t="n">
        <v>98</v>
      </c>
      <c r="C90" s="22"/>
      <c r="D90" s="23"/>
      <c r="E90" s="22"/>
      <c r="F90" s="23"/>
      <c r="G90" s="22"/>
      <c r="H90" s="22"/>
      <c r="I90" s="23"/>
      <c r="J90" s="22"/>
      <c r="K90" s="22"/>
      <c r="L90" s="23"/>
      <c r="M90" s="22"/>
      <c r="N90" s="22"/>
      <c r="O90" s="23"/>
      <c r="P90" s="22"/>
      <c r="Q90" s="22"/>
      <c r="R90" s="23"/>
      <c r="S90" s="23"/>
      <c r="T90" s="83"/>
      <c r="U90" s="23"/>
      <c r="V90" s="83"/>
      <c r="W90" s="23"/>
      <c r="X90" s="83"/>
      <c r="Y90" s="23"/>
      <c r="Z90" s="83"/>
      <c r="AA90" s="23"/>
      <c r="AB90" s="23"/>
      <c r="AC90" s="7"/>
      <c r="AD90" s="7"/>
      <c r="AE90" s="62" t="str">
        <f aca="false">IF(Tasks[[#This Row],[Task Name]]="","",IF(Tasks[[#This Row],[_IsSummary]],MIN(INDEX(Tasks[_ShownFcstStart],Tasks[[#This Row],[_Row]]+1):INDEX(Tasks[_ShownFcstStart],Tasks[[#This Row],[_Row]]+Tasks[[#This Row],[_Descendants]])),Tasks[[#This Row],[_ShownFcstStart]]))</f>
        <v/>
      </c>
      <c r="AF90" s="62" t="str">
        <f aca="false">IF(Tasks[[#This Row],[Task Name]]="","",IF(Tasks[[#This Row],[_IsSummary]],MAX(INDEX(Tasks[_ShownFcstFinish],Tasks[[#This Row],[_Row]]+1):INDEX(Tasks[_ShownFcstFinish],Tasks[[#This Row],[_Row]]+Tasks[[#This Row],[_Descendants]])),Tasks[[#This Row],[_ShownFcstFinish]]))</f>
        <v/>
      </c>
      <c r="AG90" s="21" t="str">
        <f aca="false">""</f>
        <v/>
      </c>
      <c r="AH90" s="23"/>
      <c r="AI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0" s="7"/>
      <c r="AK90" s="22"/>
      <c r="AL90" s="23"/>
      <c r="AM90" s="7"/>
      <c r="AN90" s="46" t="str">
        <f aca="false">IF(Tasks[[#This Row],[Task Name]]="","",IF(Tasks[[#This Row],[Finish]]&gt;=Tasks[[#This Row],[Planned Finish]],NETWORKDAYS.INTL(Tasks[[#This Row],[Planned Finish]],Tasks[[#This Row],[Finish]],WorkWeek,Holidays)-1,1-NETWORKDAYS.INTL(Tasks[[#This Row],[Finish]],Tasks[[#This Row],[Planned Finish]],WorkWeek,Holidays)))</f>
        <v/>
      </c>
      <c r="AO90" s="21" t="str">
        <f aca="false">IF(Tasks[[#This Row],[Task Name]]="","",IF(Tasks[[#This Row],[Progress]]&gt;=1,"Complete",IF(OR(N(Tasks[[#This Row],[Actual Start]])&gt;0,Tasks[[#This Row],[Progress]]&gt;0),IF(Tasks[[#This Row],[Finish Var]]&gt;0,"Behind","In Progress"),IF(Tasks[[#This Row],[Planned Start]]&lt;StatusDate,"Late Start","Not Started"))))</f>
        <v/>
      </c>
      <c r="AP90" s="21" t="str">
        <f aca="false">IF(Tasks[[#This Row],[Task Name]]="","",IF(IF(Tasks[[#This Row],[_IsSummary]],COUNTIF(INDEX(Tasks[_LeafCritical],Tasks[[#This Row],[_Row]]+1):INDEX(Tasks[_LeafCritical],Tasks[[#This Row],[_Row]]+Tasks[[#This Row],[_Descendants]]),TRUE())&gt;0,Tasks[[#This Row],[_LeafCritical]]),"Yes",""))</f>
        <v/>
      </c>
      <c r="AQ90" s="62" t="str">
        <f aca="false">IF(Tasks[[#This Row],[Task Name]]="","",IF(N(Tasks[[#This Row],[Baseline Start]])&gt;0,Tasks[[#This Row],[Baseline Start]],Tasks[[#This Row],[_CalcStart]]))</f>
        <v/>
      </c>
      <c r="AR90" s="62" t="str">
        <f aca="false">IF(Tasks[[#This Row],[Task Name]]="","",IF(N(Tasks[[#This Row],[Baseline Finish]])&gt;0,Tasks[[#This Row],[Baseline Finish]],Tasks[[#This Row],[_CalcFinish]]))</f>
        <v/>
      </c>
      <c r="AS90" s="46" t="str">
        <f aca="false">IF(Tasks[[#This Row],[Task Name]]="","",IF(Tasks[[#This Row],[Start]]&gt;=Tasks[[#This Row],[Planned Start]],NETWORKDAYS.INTL(Tasks[[#This Row],[Planned Start]],Tasks[[#This Row],[Start]],WorkWeek,Holidays)-1,1-NETWORKDAYS.INTL(Tasks[[#This Row],[Start]],Tasks[[#This Row],[Planned Start]],WorkWeek,Holidays)))</f>
        <v/>
      </c>
      <c r="AT90" s="62" t="str">
        <f aca="false">IF(Tasks[[#This Row],[Task Name]]="","",IF(Tasks[[#This Row],[_IsSummary]],MIN(INDEX(Tasks[_LeafLateStart],Tasks[[#This Row],[_Row]]+1):INDEX(Tasks[_LeafLateStart],Tasks[[#This Row],[_Row]]+Tasks[[#This Row],[_Descendants]])),Tasks[[#This Row],[_LeafLateStart]]))</f>
        <v/>
      </c>
      <c r="AU90" s="62" t="str">
        <f aca="false">IF(Tasks[[#This Row],[Task Name]]="","",IF(Tasks[[#This Row],[_IsSummary]],MAX(INDEX(Tasks[_LeafLateFinish],Tasks[[#This Row],[_Row]]+1):INDEX(Tasks[_LeafLateFinish],Tasks[[#This Row],[_Row]]+Tasks[[#This Row],[_Descendants]])),Tasks[[#This Row],[_LeafLateFinish]]))</f>
        <v/>
      </c>
      <c r="AV90" s="46" t="str">
        <f aca="false">IF(Tasks[[#This Row],[Task Name]]="","",IF(Tasks[[#This Row],[_IsSummary]],MIN(INDEX(Tasks[_LeafTotalSlack],Tasks[[#This Row],[_Row]]+1):INDEX(Tasks[_LeafTotalSlack],Tasks[[#This Row],[_Row]]+Tasks[[#This Row],[_Descendants]])),Tasks[[#This Row],[_LeafTotalSlack]]))</f>
        <v/>
      </c>
      <c r="AW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4"/>
      <c r="BA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t="str">
        <f aca="false">IF(Tasks[[#This Row],[Task Name]]="","",IF(Tasks[[#This Row],[_Level]]&lt;=OutlineShowLevel,"Yes","No"))</f>
        <v/>
      </c>
      <c r="BE90" s="85" t="str">
        <f aca="false">IF(Tasks[[#This Row],[Task Name]]="","",IF(Tasks[[#This Row],[_IsSummary]],SUM(INDEX(Tasks[_LeafTotalWork],Tasks[[#This Row],[_Row]]+1):INDEX(Tasks[_LeafTotalWork],Tasks[[#This Row],[_Row]]+Tasks[[#This Row],[_Descendants]])),Tasks[[#This Row],[_LeafTotalWork]]))</f>
        <v/>
      </c>
      <c r="BF90" s="23"/>
      <c r="BG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t="str">
        <f aca="false">""</f>
        <v/>
      </c>
      <c r="BI90" s="86"/>
      <c r="BJ90" s="22"/>
      <c r="BK90" s="46" t="str">
        <f aca="false">IF(OR(Tasks[[#This Row],[Task Name]]="",Tasks[[#This Row],[Baseline Duration]]=""),"",Tasks[[#This Row],[_SpanDays]]-N(Tasks[[#This Row],[Baseline Duration]]))</f>
        <v/>
      </c>
      <c r="BL90" s="85" t="str">
        <f aca="false">IF(OR(Tasks[[#This Row],[Task Name]]="",Tasks[[#This Row],[Baseline Work]]=""),"",Tasks[[#This Row],[Work]]-N(Tasks[[#This Row],[Baseline Work]]))</f>
        <v/>
      </c>
      <c r="BM90" s="62" t="str">
        <f aca="false">IF(Tasks[[#This Row],[Task Name]]="","",IF(OR(TakeBaseline="Yes",N(Tasks[[#This Row],[Baseline Start]])=0),Tasks[[#This Row],[Start]],Tasks[[#This Row],[Baseline Start]]))</f>
        <v/>
      </c>
      <c r="BN90" s="62" t="str">
        <f aca="false">IF(Tasks[[#This Row],[Task Name]]="","",IF(OR(TakeBaseline="Yes",N(Tasks[[#This Row],[Baseline Finish]])=0),Tasks[[#This Row],[Finish]],Tasks[[#This Row],[Baseline Finish]]))</f>
        <v/>
      </c>
      <c r="BO90" s="21" t="str">
        <f aca="false">IF(Tasks[[#This Row],[Task Name]]="","",IF(OR(TakeBaseline="Yes",N(Tasks[[#This Row],[Baseline Duration]])=0),Tasks[[#This Row],[_SpanDays]],Tasks[[#This Row],[Baseline Duration]]))</f>
        <v/>
      </c>
      <c r="BP90" s="85" t="str">
        <f aca="false">IF(Tasks[[#This Row],[Task Name]]="","",IF(OR(TakeBaseline="Yes",N(Tasks[[#This Row],[Baseline Work]])=0),Tasks[[#This Row],[Work]],Tasks[[#This Row],[Baseline Work]]))</f>
        <v/>
      </c>
      <c r="BQ90" s="7"/>
      <c r="BR90" s="7"/>
      <c r="BS90" s="22"/>
      <c r="BT90" s="87"/>
      <c r="BU90" s="42" t="str">
        <f aca="false">IF(Tasks[[#This Row],[Task Name]]="","",MAX(1,N(Tasks[[#This Row],[Level]])))</f>
        <v/>
      </c>
      <c r="BV90" s="42" t="n">
        <f aca="false">ROW()-ROW(Tasks[[#Headers],[ID]])</f>
        <v>85</v>
      </c>
      <c r="BW90" s="42" t="n">
        <f aca="false">IF(OR(Tasks[[#This Row],[Task Name]]="",Tasks[[#This Row],[_Level]]&lt;=1),0,IFERROR(LOOKUP(2,1/(Tasks[[#Headers],[_Level]]:Tasks[[#This Row],[_Level]]=Tasks[[#This Row],[_Level]]-1),ROW(Tasks[[#Headers],[_Level]]:Tasks[[#This Row],[_Level]])),0))</f>
        <v>0</v>
      </c>
      <c r="BX90" s="42" t="n">
        <f aca="false">IFERROR(N(INDEX(Tasks[_Level],Tasks[[#This Row],[_Row]]+1)),0)</f>
        <v>0</v>
      </c>
      <c r="BY90" s="88" t="b">
        <f aca="false">AND(Tasks[[#This Row],[Task Name]]&lt;&gt;"",Tasks[[#This Row],[_NextLevel]]&gt;Tasks[[#This Row],[_Level]])</f>
        <v>0</v>
      </c>
      <c r="BZ90" s="42" t="n">
        <f aca="false">IF(Tasks[[#This Row],[_IsSummary]],COUNTIF(Tasks[WBS],Tasks[[#This Row],[WBS]]&amp;".*"),0)</f>
        <v>0</v>
      </c>
      <c r="CA90" s="42" t="n">
        <f aca="false">IF(AND(Tasks[[#This Row],[Task Name]]&lt;&gt;"",NOT(Tasks[[#This Row],[_IsSummary]])),1,0)</f>
        <v>0</v>
      </c>
      <c r="CB90" s="42" t="n">
        <f aca="false">IF(N(Tasks[[#This Row],[_Pred1UID]])=0,0,IFERROR(MATCH(Tasks[[#This Row],[_Pred1UID]],Tasks[UID],0),-1))</f>
        <v>0</v>
      </c>
      <c r="CC90" s="42" t="n">
        <f aca="false">IF(N(Tasks[[#This Row],[_Pred2UID]])=0,0,IFERROR(MATCH(Tasks[[#This Row],[_Pred2UID]],Tasks[UID],0),-1))</f>
        <v>0</v>
      </c>
      <c r="CD90" s="42" t="n">
        <f aca="false">IF(N(Tasks[[#This Row],[_Pred3UID]])=0,0,IFERROR(MATCH(Tasks[[#This Row],[_Pred3UID]],Tasks[UID],0),-1))</f>
        <v>0</v>
      </c>
      <c r="CE90" s="42" t="n">
        <f aca="false">IF(N(Tasks[[#This Row],[_Pred4UID]])=0,0,IFERROR(MATCH(Tasks[[#This Row],[_Pred4UID]],Tasks[UID],0),-1))</f>
        <v>0</v>
      </c>
      <c r="CF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0" s="89" t="n">
        <f aca="false">IF(OR(Tasks[[#This Row],[_ConstraintCode]]=2,Tasks[[#This Row],[_ConstraintCode]]=3,Tasks[[#This Row],[_ConstraintCode]]=4,Tasks[[#This Row],[_ConstraintCode]]=6),Tasks[[#This Row],[_ConstraintStart]],0)</f>
        <v>0</v>
      </c>
      <c r="CI90" s="89" t="n">
        <f aca="false">IF(OR(Tasks[[#This Row],[_ConstraintCode]]=2,Tasks[[#This Row],[_ConstraintCode]]=3,Tasks[[#This Row],[_ConstraintCode]]=5,Tasks[[#This Row],[_ConstraintCode]]=7),Tasks[[#This Row],[_ConstraintStart]],2958465)</f>
        <v>2958465</v>
      </c>
      <c r="CJ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0" s="89" t="str">
        <f aca="false">IF(NOT(Tasks[[#This Row],[_IsLeaf]]=1),"",IF(N(Tasks[[#This Row],[_Days]])&lt;=0,Tasks[[#This Row],[_LeafCalcStart]],WORKDAY.INTL(Tasks[[#This Row],[_LeafCalcStart]],Tasks[[#This Row],[_Days]]-1,WorkWeek,Holidays)))</f>
        <v/>
      </c>
      <c r="CL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0" s="42" t="str">
        <f aca="false">IF(Tasks[[#This Row],[_Predecessors]]="","",TRIM(MID(SUBSTITUTE(SUBSTITUTE(SUBSTITUTE(UPPER(Tasks[[#This Row],[_Predecessors]]),";",",")," ",""),",",REPT(" ",99)),1,99)))</f>
        <v/>
      </c>
      <c r="CO90" s="42" t="str">
        <f aca="false">IF(Tasks[[#This Row],[_Pred1Text]]="","",IFERROR(VALUE(LEFT(Tasks[[#This Row],[_Pred1Text]],MIN(FIND("F",Tasks[[#This Row],[_Pred1Text]]&amp;"F"),FIND("S",Tasks[[#This Row],[_Pred1Text]]&amp;"S"),FIND("+",Tasks[[#This Row],[_Pred1Text]]&amp;"+"),FIND("-",Tasks[[#This Row],[_Pred1Text]]&amp;"-"))-1)),""))</f>
        <v/>
      </c>
      <c r="CP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0" s="42" t="str">
        <f aca="false">IF(Tasks[[#This Row],[_Pred1Text]]="","",TRIM(MID(SUBSTITUTE(SUBSTITUTE(SUBSTITUTE(UPPER(Tasks[[#This Row],[_Predecessors]]),";",",")," ",""),",",REPT(" ",99)),100,99)))</f>
        <v/>
      </c>
      <c r="CS90" s="42" t="str">
        <f aca="false">IF(Tasks[[#This Row],[_Pred2Text]]="","",IFERROR(VALUE(LEFT(Tasks[[#This Row],[_Pred2Text]],MIN(FIND("F",Tasks[[#This Row],[_Pred2Text]]&amp;"F"),FIND("S",Tasks[[#This Row],[_Pred2Text]]&amp;"S"),FIND("+",Tasks[[#This Row],[_Pred2Text]]&amp;"+"),FIND("-",Tasks[[#This Row],[_Pred2Text]]&amp;"-"))-1)),""))</f>
        <v/>
      </c>
      <c r="CT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0" s="42" t="str">
        <f aca="false">IF(Tasks[[#This Row],[_Pred2Text]]="","",TRIM(MID(SUBSTITUTE(SUBSTITUTE(SUBSTITUTE(UPPER(Tasks[[#This Row],[_Predecessors]]),";",",")," ",""),",",REPT(" ",99)),199,99)))</f>
        <v/>
      </c>
      <c r="CW90" s="42" t="str">
        <f aca="false">IF(Tasks[[#This Row],[_Pred3Text]]="","",IFERROR(VALUE(LEFT(Tasks[[#This Row],[_Pred3Text]],MIN(FIND("F",Tasks[[#This Row],[_Pred3Text]]&amp;"F"),FIND("S",Tasks[[#This Row],[_Pred3Text]]&amp;"S"),FIND("+",Tasks[[#This Row],[_Pred3Text]]&amp;"+"),FIND("-",Tasks[[#This Row],[_Pred3Text]]&amp;"-"))-1)),""))</f>
        <v/>
      </c>
      <c r="CX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0" s="42" t="str">
        <f aca="false">IF(Tasks[[#This Row],[_Pred3Text]]="","",TRIM(MID(SUBSTITUTE(SUBSTITUTE(SUBSTITUTE(UPPER(Tasks[[#This Row],[_Predecessors]]),";",",")," ",""),",",REPT(" ",99)),298,99)))</f>
        <v/>
      </c>
      <c r="DA90" s="42" t="str">
        <f aca="false">IF(Tasks[[#This Row],[_Pred4Text]]="","",IFERROR(VALUE(LEFT(Tasks[[#This Row],[_Pred4Text]],MIN(FIND("F",Tasks[[#This Row],[_Pred4Text]]&amp;"F"),FIND("S",Tasks[[#This Row],[_Pred4Text]]&amp;"S"),FIND("+",Tasks[[#This Row],[_Pred4Text]]&amp;"+"),FIND("-",Tasks[[#This Row],[_Pred4Text]]&amp;"-"))-1)),""))</f>
        <v/>
      </c>
      <c r="DB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0" s="42" t="str">
        <f aca="false">IF(OR(Tasks[[#This Row],[Task Name]]="",Tasks[[#This Row],[_Resources]]=""),"",TRIM(MID(SUBSTITUTE(Tasks[[#This Row],[_Resources]],",",REPT(" ",99)),1,99)))</f>
        <v/>
      </c>
      <c r="DE90" s="42" t="str">
        <f aca="false">IF(Tasks[[#This Row],[_Res1Text]]="","",TRIM(MID(SUBSTITUTE(Tasks[[#This Row],[_Resources]],",",REPT(" ",99)),100,99)))</f>
        <v/>
      </c>
      <c r="DF90" s="42" t="str">
        <f aca="false">IF(Tasks[[#This Row],[_Res2Text]]="","",TRIM(MID(SUBSTITUTE(Tasks[[#This Row],[_Resources]],",",REPT(" ",99)),199,99)))</f>
        <v/>
      </c>
      <c r="DG90" s="42" t="str">
        <f aca="false">IF(Tasks[[#This Row],[_Res3Text]]="","",TRIM(MID(SUBSTITUTE(Tasks[[#This Row],[_Resources]],",",REPT(" ",99)),298,99)))</f>
        <v/>
      </c>
      <c r="DH90" s="42" t="n">
        <f aca="false">IF(Tasks[[#This Row],[_Res1Text]]="",0,IFERROR(MATCH(TRIM(LEFT(Tasks[[#This Row],[_Res1Text]],FIND("[",Tasks[[#This Row],[_Res1Text]]&amp;"[")-1)),res_Name,0),IFERROR(MATCH(TRIM(LEFT(Tasks[[#This Row],[_Res1Text]],FIND("[",Tasks[[#This Row],[_Res1Text]]&amp;"[")-1)),res_Initials,0),0)))</f>
        <v>0</v>
      </c>
      <c r="DI90" s="42" t="n">
        <f aca="false">IF(Tasks[[#This Row],[_Res2Text]]="",0,IFERROR(MATCH(TRIM(LEFT(Tasks[[#This Row],[_Res2Text]],FIND("[",Tasks[[#This Row],[_Res2Text]]&amp;"[")-1)),res_Name,0),IFERROR(MATCH(TRIM(LEFT(Tasks[[#This Row],[_Res2Text]],FIND("[",Tasks[[#This Row],[_Res2Text]]&amp;"[")-1)),res_Initials,0),0)))</f>
        <v>0</v>
      </c>
      <c r="DJ90" s="42" t="n">
        <f aca="false">IF(Tasks[[#This Row],[_Res3Text]]="",0,IFERROR(MATCH(TRIM(LEFT(Tasks[[#This Row],[_Res3Text]],FIND("[",Tasks[[#This Row],[_Res3Text]]&amp;"[")-1)),res_Name,0),IFERROR(MATCH(TRIM(LEFT(Tasks[[#This Row],[_Res3Text]],FIND("[",Tasks[[#This Row],[_Res3Text]]&amp;"[")-1)),res_Initials,0),0)))</f>
        <v>0</v>
      </c>
      <c r="DK90" s="42" t="n">
        <f aca="false">IF(Tasks[[#This Row],[_Res4Text]]="",0,IFERROR(MATCH(TRIM(LEFT(Tasks[[#This Row],[_Res4Text]],FIND("[",Tasks[[#This Row],[_Res4Text]]&amp;"[")-1)),res_Name,0),IFERROR(MATCH(TRIM(LEFT(Tasks[[#This Row],[_Res4Text]],FIND("[",Tasks[[#This Row],[_Res4Text]]&amp;"[")-1)),res_Initials,0),0)))</f>
        <v>0</v>
      </c>
      <c r="DL90" s="42" t="str">
        <f aca="false">IF(Tasks[[#This Row],[_Res1Text]]="","",IF(Tasks[[#This Row],[_Res1Row]]&gt;0,INDEX(res_Name,Tasks[[#This Row],[_Res1Row]]),TRIM(LEFT(Tasks[[#This Row],[_Res1Text]],FIND("[",Tasks[[#This Row],[_Res1Text]]&amp;"[")-1))))</f>
        <v/>
      </c>
      <c r="DM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0" s="42" t="n">
        <f aca="false">IF(NOT(Tasks[[#This Row],[_IsLeaf]]=1),0,(Tasks[[#This Row],[_Resource1]]&lt;&gt;"")+(Tasks[[#This Row],[_Res2]]&lt;&gt;"")+(Tasks[[#This Row],[_Res3]]&lt;&gt;"")+(Tasks[[#This Row],[_Res4]]&lt;&gt;""))</f>
        <v>0</v>
      </c>
      <c r="DO90" s="42" t="str">
        <f aca="false">IF(Tasks[[#This Row],[_Res2Text]]="","",IF(Tasks[[#This Row],[_Res2Row]]&gt;0,INDEX(res_Name,Tasks[[#This Row],[_Res2Row]]),TRIM(LEFT(Tasks[[#This Row],[_Res2Text]],FIND("[",Tasks[[#This Row],[_Res2Text]]&amp;"[")-1))))</f>
        <v/>
      </c>
      <c r="DP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0" s="42" t="n">
        <f aca="false">IF(OR(NOT(Tasks[[#This Row],[_IsLeaf]]=1),Tasks[[#This Row],[_Res2Row]]=0),0,N(Tasks[[#This Row],[_Days]])*HoursPerDay*IF(Tasks[[#This Row],[_Res2Units]]="",DefaultUnits,Tasks[[#This Row],[_Res2Units]]))</f>
        <v>0</v>
      </c>
      <c r="DR90" s="42" t="n">
        <f aca="false">IF(AND(AND(Tasks[[#This Row],[_IsLeaf]]=1,Tasks[[#This Row],[_LeafTotalWork]]&gt;0),Tasks[[#This Row],[_Res2Work]]&gt;0),Tasks[[#This Row],[_Res2Work]]/(Tasks[[#This Row],[_FinishWorkday]]-Tasks[[#This Row],[_StartWorkday]]+1),0)</f>
        <v>0</v>
      </c>
      <c r="DS90" s="42" t="n">
        <f aca="false">Tasks[[#This Row],[_Res2WorkPerWD]]*MAX(0,Tasks[[#This Row],[_StartWorkday]]-1)</f>
        <v>0</v>
      </c>
      <c r="DT90" s="42" t="n">
        <f aca="false">Tasks[[#This Row],[_Res2Work]]*Tasks[[#This Row],[_LeafProgress]]</f>
        <v>0</v>
      </c>
      <c r="DU90" s="42" t="str">
        <f aca="false">IF(Tasks[[#This Row],[_Res3Text]]="","",IF(Tasks[[#This Row],[_Res3Row]]&gt;0,INDEX(res_Name,Tasks[[#This Row],[_Res3Row]]),TRIM(LEFT(Tasks[[#This Row],[_Res3Text]],FIND("[",Tasks[[#This Row],[_Res3Text]]&amp;"[")-1))))</f>
        <v/>
      </c>
      <c r="DV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0" s="42" t="n">
        <f aca="false">IF(OR(NOT(Tasks[[#This Row],[_IsLeaf]]=1),Tasks[[#This Row],[_Res3Row]]=0),0,N(Tasks[[#This Row],[_Days]])*HoursPerDay*IF(Tasks[[#This Row],[_Res3Units]]="",DefaultUnits,Tasks[[#This Row],[_Res3Units]]))</f>
        <v>0</v>
      </c>
      <c r="DX90" s="42" t="n">
        <f aca="false">IF(AND(AND(Tasks[[#This Row],[_IsLeaf]]=1,Tasks[[#This Row],[_LeafTotalWork]]&gt;0),Tasks[[#This Row],[_Res3Work]]&gt;0),Tasks[[#This Row],[_Res3Work]]/(Tasks[[#This Row],[_FinishWorkday]]-Tasks[[#This Row],[_StartWorkday]]+1),0)</f>
        <v>0</v>
      </c>
      <c r="DY90" s="42" t="n">
        <f aca="false">Tasks[[#This Row],[_Res3WorkPerWD]]*MAX(0,Tasks[[#This Row],[_StartWorkday]]-1)</f>
        <v>0</v>
      </c>
      <c r="DZ90" s="42" t="n">
        <f aca="false">Tasks[[#This Row],[_Res3Work]]*Tasks[[#This Row],[_LeafProgress]]</f>
        <v>0</v>
      </c>
      <c r="EA90" s="42" t="str">
        <f aca="false">IF(Tasks[[#This Row],[_Res4Text]]="","",IF(Tasks[[#This Row],[_Res4Row]]&gt;0,INDEX(res_Name,Tasks[[#This Row],[_Res4Row]]),TRIM(LEFT(Tasks[[#This Row],[_Res4Text]],FIND("[",Tasks[[#This Row],[_Res4Text]]&amp;"[")-1))))</f>
        <v/>
      </c>
      <c r="EB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0" s="42" t="n">
        <f aca="false">IF(OR(NOT(Tasks[[#This Row],[_IsLeaf]]=1),Tasks[[#This Row],[_Res4Row]]=0),0,N(Tasks[[#This Row],[_Days]])*HoursPerDay*IF(Tasks[[#This Row],[_Res4Units]]="",DefaultUnits,Tasks[[#This Row],[_Res4Units]]))</f>
        <v>0</v>
      </c>
      <c r="ED90" s="42" t="n">
        <f aca="false">IF(AND(AND(Tasks[[#This Row],[_IsLeaf]]=1,Tasks[[#This Row],[_LeafTotalWork]]&gt;0),Tasks[[#This Row],[_Res4Work]]&gt;0),Tasks[[#This Row],[_Res4Work]]/(Tasks[[#This Row],[_FinishWorkday]]-Tasks[[#This Row],[_StartWorkday]]+1),0)</f>
        <v>0</v>
      </c>
      <c r="EE90" s="42" t="n">
        <f aca="false">Tasks[[#This Row],[_Res4WorkPerWD]]*MAX(0,Tasks[[#This Row],[_StartWorkday]]-1)</f>
        <v>0</v>
      </c>
      <c r="EF90" s="42" t="n">
        <f aca="false">Tasks[[#This Row],[_Res4Work]]*Tasks[[#This Row],[_LeafProgress]]</f>
        <v>0</v>
      </c>
      <c r="EG90" s="42" t="n">
        <f aca="false">IF(ISNUMBER(Tasks[[#This Row],[% Complete]]),Tasks[[#This Row],[% Complete]],IF(Tasks[[#This Row],[Stage]]="",0,IFERROR(INDEX(stg_Pct,MATCH(Tasks[[#This Row],[Stage]],stg_Name,0)),0)))</f>
        <v>0</v>
      </c>
      <c r="EH90" s="42" t="n">
        <f aca="false">IF(NOT(Tasks[[#This Row],[_IsLeaf]]=1),0,IF(N(Tasks[[#This Row],[Actual Finish]])&gt;0,1,MIN(1,Tasks[[#This Row],[_Pct]])))</f>
        <v>0</v>
      </c>
      <c r="EI90" s="42" t="n">
        <f aca="false">IF(OR(NOT(Tasks[[#This Row],[_IsLeaf]]=1),Tasks[[#This Row],[_Res1Row]]=0),0,N(Tasks[[#This Row],[_Days]])*HoursPerDay*IF(Tasks[[#This Row],[_Units1]]="",DefaultUnits,Tasks[[#This Row],[_Units1]]))</f>
        <v>0</v>
      </c>
      <c r="EJ90" s="42" t="n">
        <f aca="false">Tasks[[#This Row],[_LeafWork]]+Tasks[[#This Row],[_Res2Work]]+Tasks[[#This Row],[_Res3Work]]+Tasks[[#This Row],[_Res4Work]]</f>
        <v>0</v>
      </c>
      <c r="EK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0" s="42" t="n">
        <f aca="false">IF(NOT(Tasks[[#This Row],[_IsLeaf]]=1),0,MAX(_xlfn.MAXIFS(Tasks[_Row],Tasks[_Pred1UID],Tasks[[#This Row],[UID]]),_xlfn.MAXIFS(Tasks[_Row],Tasks[_Pred2UID],Tasks[[#This Row],[UID]]),_xlfn.MAXIFS(Tasks[_Row],Tasks[_Pred3UID],Tasks[[#This Row],[UID]]),_xlfn.MAXIFS(Tasks[_Row],Tasks[_Pred4UID],Tasks[[#This Row],[UID]])))</f>
        <v>0</v>
      </c>
      <c r="ET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0" s="89" t="str">
        <f aca="false">IF(NOT(Tasks[[#This Row],[_IsLeaf]]=1),"",IF(N(Tasks[[#This Row],[_Days]])&lt;=0,Tasks[[#This Row],[_LeafLateFinish]],WORKDAY.INTL(Tasks[[#This Row],[_LeafLateFinish]],-(Tasks[[#This Row],[_Days]]-1),WorkWeek,Holidays)))</f>
        <v/>
      </c>
      <c r="EW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0" s="88" t="b">
        <f aca="false">AND(Tasks[[#This Row],[_IsLeaf]]=1,Tasks[[#This Row],[_LeafProgress]]&lt;1,N(Tasks[[#This Row],[_LeafTotalSlack]])&lt;=CriticalSlackDays)</f>
        <v>0</v>
      </c>
      <c r="EY90" s="42" t="n">
        <f aca="false">IF(AND(Tasks[[#This Row],[_IsLeaf]]=1,Tasks[[#This Row],[_ConstraintCode]]=1,Tasks[[#This Row],[Mode]]&lt;&gt;"Manual",N(Tasks[[#This Row],[Actual Start]])=0),MAX(0,N(Tasks[[#This Row],[Free Slack]])),0)</f>
        <v>0</v>
      </c>
      <c r="EZ90" s="89" t="str">
        <f aca="false">IF(NOT(Tasks[[#This Row],[_IsLeaf]]=1),"",IF(Tasks[[#This Row],[_AlapShift]]=0,Tasks[[#This Row],[_LeafCalcStart]],WORKDAY.INTL(Tasks[[#This Row],[_LeafCalcStart]],Tasks[[#This Row],[_AlapShift]],WorkWeek,Holidays)))</f>
        <v/>
      </c>
      <c r="FA90" s="89" t="str">
        <f aca="false">IF(NOT(Tasks[[#This Row],[_IsLeaf]]=1),"",IF(Tasks[[#This Row],[_AlapShift]]=0,Tasks[[#This Row],[_LeafCalcFinish]],WORKDAY.INTL(Tasks[[#This Row],[_LeafCalcFinish]],Tasks[[#This Row],[_AlapShift]],WorkWeek,Holidays)))</f>
        <v/>
      </c>
      <c r="FB90" s="89" t="str">
        <f aca="false">IF(NOT(Tasks[[#This Row],[_IsLeaf]]=1),"",IF(Tasks[[#This Row],[_AlapShift]]=0,Tasks[[#This Row],[_LeafFcstStart]],WORKDAY.INTL(Tasks[[#This Row],[_LeafFcstStart]],Tasks[[#This Row],[_AlapShift]],WorkWeek,Holidays)))</f>
        <v/>
      </c>
      <c r="FC90" s="89" t="str">
        <f aca="false">IF(NOT(Tasks[[#This Row],[_IsLeaf]]=1),"",IF(Tasks[[#This Row],[_AlapShift]]=0,Tasks[[#This Row],[_LeafFcstFinish]],WORKDAY.INTL(Tasks[[#This Row],[_LeafFcstFinish]],Tasks[[#This Row],[_AlapShift]],WorkWeek,Holidays)))</f>
        <v/>
      </c>
      <c r="FD90" s="89" t="str">
        <f aca="false">IF(Tasks[[#This Row],[Task Name]]="","",IF(Tasks[[#This Row],[_IsSummary]],MIN(INDEX(Tasks[_ShownCalcStart],Tasks[[#This Row],[_Row]]+1):INDEX(Tasks[_ShownCalcStart],Tasks[[#This Row],[_Row]]+Tasks[[#This Row],[_Descendants]])),Tasks[[#This Row],[_ShownCalcStart]]))</f>
        <v/>
      </c>
      <c r="FE90" s="89" t="str">
        <f aca="false">IF(Tasks[[#This Row],[Task Name]]="","",IF(Tasks[[#This Row],[_IsSummary]],MAX(INDEX(Tasks[_ShownCalcFinish],Tasks[[#This Row],[_Row]]+1):INDEX(Tasks[_ShownCalcFinish],Tasks[[#This Row],[_Row]]+Tasks[[#This Row],[_Descendants]])),Tasks[[#This Row],[_ShownCalcFinish]]))</f>
        <v/>
      </c>
      <c r="FF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0" s="42" t="n">
        <f aca="false">IF(AND(Tasks[[#This Row],[_IsLeaf]]=1,Tasks[[#This Row],[_LeafTotalWork]]&gt;0),NETWORKDAYS.INTL(ProjectStart,Tasks[[#This Row],[_ShownFcstStart]],WorkWeek,Holidays),0)</f>
        <v>0</v>
      </c>
      <c r="FS90" s="42" t="n">
        <f aca="false">IF(AND(Tasks[[#This Row],[_IsLeaf]]=1,Tasks[[#This Row],[_LeafTotalWork]]&gt;0),MAX(Tasks[[#This Row],[_StartWorkday]],NETWORKDAYS.INTL(ProjectStart,Tasks[[#This Row],[_ShownFcstFinish]],WorkWeek,Holidays)),0)</f>
        <v>0</v>
      </c>
      <c r="FT90" s="42" t="n">
        <f aca="false">IF(AND(Tasks[[#This Row],[_IsLeaf]]=1,Tasks[[#This Row],[_LeafTotalWork]]&gt;0),Tasks[[#This Row],[_LeafWork]]/(Tasks[[#This Row],[_FinishWorkday]]-Tasks[[#This Row],[_StartWorkday]]+1),0)</f>
        <v>0</v>
      </c>
      <c r="FU90" s="42" t="n">
        <f aca="false">Tasks[[#This Row],[_WorkPerWorkday]]*(Tasks[[#This Row],[_StartWorkday]]-1)</f>
        <v>-0</v>
      </c>
      <c r="FV90" s="42" t="n">
        <f aca="false">IF(Tasks[[#This Row],[_IsLeaf]]=1,MAX(N(Tasks[[#This Row],[_Days]]),0.1),0)</f>
        <v>0</v>
      </c>
      <c r="FW90" s="42" t="n">
        <f aca="false">Tasks[[#This Row],[_WeightDur]]*Tasks[[#This Row],[_LeafProgress]]</f>
        <v>0</v>
      </c>
      <c r="FX90" s="42" t="n">
        <f aca="false">Tasks[[#This Row],[_WeightDur]]*Tasks[[#This Row],[_PlannedPct]]</f>
        <v>0</v>
      </c>
      <c r="FY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0" s="42" t="str">
        <f aca="false">IF(AND(Tasks[[#This Row],[_IsLeaf]]=1,N(Tasks[[#This Row],[_Days]])=0,Tasks[[#This Row],[_LeafProgress]]&lt;1),Tasks[[#This Row],[_ShownFcstFinish]]+Tasks[[#This Row],[_Row]]/100000,"")</f>
        <v/>
      </c>
      <c r="GA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0" s="42" t="str">
        <f aca="false">IF(Tasks[[#This Row],[Task Name]]="","",LEFT(Tasks[[#This Row],[WBS]],FIND(".",Tasks[[#This Row],[WBS]]&amp;".")-1))</f>
        <v/>
      </c>
      <c r="GC90" s="42" t="str">
        <f aca="false">IF(AND(Tasks[[#This Row],[Task Name]]&lt;&gt;"",Tasks[[#This Row],[_Level]]=1),Tasks[[#This Row],[_Row]],"")</f>
        <v/>
      </c>
      <c r="GD90" s="42" t="str">
        <f aca="false">IF(AND(Tasks[[#This Row],[_IsLeaf]]=1,N(Tasks[[#This Row],[_Days]])=0),Tasks[[#This Row],[Planned Finish]]+Tasks[[#This Row],[_Row]]/100000,"")</f>
        <v/>
      </c>
      <c r="GE90" s="42" t="str">
        <f aca="false">IF(AND(Tasks[[#This Row],[_IsLeaf]]=1,Tasks[[#This Row],[_LeafProgress]]&lt;1,OR(N(Tasks[[#This Row],[Finish Var]])&gt;0,Tasks[[#This Row],[Status]]="Late Start")),MAX(0,Tasks[[#This Row],[Finish Var]])+1-Tasks[[#This Row],[_Row]]/1000000,"")</f>
        <v/>
      </c>
      <c r="GF90" s="42" t="str">
        <f aca="false">IF(AND(Tasks[[#This Row],[_IsLeaf]]=1,N(Tasks[[#This Row],[Actual Start]])=0,Tasks[[#This Row],[_ShownFcstStart]]&gt;=StatusDate,Tasks[[#This Row],[_ShownFcstStart]]&lt;=LookaheadEnd),Tasks[[#This Row],[_ShownFcstStart]]+Tasks[[#This Row],[_Row]]/100000,"")</f>
        <v/>
      </c>
      <c r="GG90" s="42" t="str">
        <f aca="false">IF(AND(Tasks[[#This Row],[_IsLeaf]]=1,Tasks[[#This Row],[_LeafProgress]]&lt;1,Tasks[[#This Row],[_ShownFcstFinish]]&gt;=StatusDate,Tasks[[#This Row],[_ShownFcstFinish]]&lt;=LookaheadEnd),Tasks[[#This Row],[_ShownFcstFinish]]+Tasks[[#This Row],[_Row]]/100000,"")</f>
        <v/>
      </c>
      <c r="GH90" s="42" t="str">
        <f aca="false">IF(Tasks[[#This Row],[_LeafCritical]],Tasks[[#This Row],[_ShownFcstStart]]+Tasks[[#This Row],[_Row]]/100000,"")</f>
        <v/>
      </c>
      <c r="GI90" s="42" t="n">
        <f aca="false">Tasks[[#This Row],[_LeafWork]]*Tasks[[#This Row],[_LeafProgress]]</f>
        <v>0</v>
      </c>
      <c r="GJ90" s="89" t="str">
        <f aca="false">IF(AND(Tasks[[#This Row],[_IsLeaf]]=1,Tasks[[#This Row],[_LeafProgress]]&gt;=1),IF(N(Tasks[[#This Row],[Actual Finish]])&gt;0,Tasks[[#This Row],[Actual Finish]],Tasks[[#This Row],[_ShownFcstFinish]]),"")</f>
        <v/>
      </c>
      <c r="GK90" s="42" t="n">
        <f aca="false">IF(Tasks[[#This Row],[_IsLeaf]]=1,N(Tasks[[#This Row],[Story Points]]),0)</f>
        <v>0</v>
      </c>
      <c r="GL90" s="42" t="str">
        <f aca="false">""</f>
        <v/>
      </c>
      <c r="GM90" s="88" t="b">
        <f aca="false">IF(Tasks[[#This Row],[Task Name]]="",FALSE(),AND(Tasks[[#This Row],[_IsLeaf]]=1,N(Tasks[[#This Row],[_Days]])=0))</f>
        <v>0</v>
      </c>
      <c r="GN90" s="89" t="n">
        <f aca="false">IF(Tasks[[#This Row],[Task Name]]="",0,IF(AND(Tasks[[#This Row],[_IsLeaf]]=1,NOT(Tasks[[#This Row],[_IsMilestone]]),N(Tasks[[#This Row],[Progress]])&gt;0),Tasks[[#This Row],[Start]],0))</f>
        <v>0</v>
      </c>
      <c r="GO90" s="89" t="n">
        <f aca="false">IF(Tasks[[#This Row],[_DoneFrom]]=0,0,IF(Tasks[[#This Row],[Progress]]&gt;=1,Tasks[[#This Row],[Finish]],MAX(Tasks[[#This Row],[_DoneFrom]],Tasks[[#This Row],[Start]]+ROUND((Tasks[[#This Row],[Finish]]-Tasks[[#This Row],[Start]]+1)*Tasks[[#This Row],[Progress]],0)-1)))</f>
        <v>0</v>
      </c>
      <c r="GP90" s="89" t="n">
        <f aca="false">IF(Tasks[[#This Row],[Task Name]]="",0,IF(OR(NOT(Tasks[[#This Row],[_IsLeaf]]=1),Tasks[[#This Row],[_IsMilestone]],N(Tasks[[#This Row],[Progress]])&gt;=1),0,IF(Tasks[[#This Row],[_DoneTo]]&gt;0,Tasks[[#This Row],[_DoneTo]]+1,Tasks[[#This Row],[Start]])))</f>
        <v>0</v>
      </c>
      <c r="GQ90" s="89" t="n">
        <f aca="false">IF(Tasks[[#This Row],[_RemFrom]]=0,0,Tasks[[#This Row],[Finish]])</f>
        <v>0</v>
      </c>
      <c r="GR90" s="88" t="b">
        <f aca="false">IF(Tasks[[#This Row],[Task Name]]="",FALSE(),OR(NOT(BaselineSet),N(Tasks[[#This Row],[Baseline Start]])&gt;0))</f>
        <v>0</v>
      </c>
      <c r="GS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0" s="90" t="str">
        <f aca="false">IF(Tasks[[#This Row],[_IsLeaf]]=1,Tasks[[#This Row],[_Row]],"")</f>
        <v/>
      </c>
      <c r="GW90" s="90" t="str">
        <f aca="false">IFERROR(INDEX(Tasks[UID],SMALL(Tasks[_PickKey],Tasks[[#This Row],[_Row]]))&amp;" "&amp;INDEX(Tasks[Task Name],SMALL(Tasks[_PickKey],Tasks[[#This Row],[_Row]])),"")</f>
        <v/>
      </c>
      <c r="GX90" s="42" t="str">
        <f aca="false">IF(Tasks[[#This Row],[Task Name]]="","",IF(Tasks[[#This Row],[_IsSummary]],NETWORKDAYS.INTL(Tasks[[#This Row],[Start]],Tasks[[#This Row],[Finish]],WorkWeek,Holidays),N(Tasks[[#This Row],[_Days]])))</f>
        <v/>
      </c>
    </row>
    <row r="91" customFormat="false" ht="15" hidden="false" customHeight="false" outlineLevel="0" collapsed="false">
      <c r="A91" s="21" t="str">
        <f aca="false">IF(Tasks[[#This Row],[Task Name]]="","",COUNTA(Tasks[[#Headers],[Task Name]]:Tasks[[#This Row],[Task Name]])-1)</f>
        <v/>
      </c>
      <c r="B91" s="22" t="n">
        <v>99</v>
      </c>
      <c r="C91" s="22"/>
      <c r="D91" s="23"/>
      <c r="E91" s="22"/>
      <c r="F91" s="23"/>
      <c r="G91" s="22"/>
      <c r="H91" s="22"/>
      <c r="I91" s="23"/>
      <c r="J91" s="22"/>
      <c r="K91" s="22"/>
      <c r="L91" s="23"/>
      <c r="M91" s="22"/>
      <c r="N91" s="22"/>
      <c r="O91" s="23"/>
      <c r="P91" s="22"/>
      <c r="Q91" s="22"/>
      <c r="R91" s="23"/>
      <c r="S91" s="23"/>
      <c r="T91" s="83"/>
      <c r="U91" s="23"/>
      <c r="V91" s="83"/>
      <c r="W91" s="23"/>
      <c r="X91" s="83"/>
      <c r="Y91" s="23"/>
      <c r="Z91" s="83"/>
      <c r="AA91" s="23"/>
      <c r="AB91" s="23"/>
      <c r="AC91" s="7"/>
      <c r="AD91" s="7"/>
      <c r="AE91" s="62" t="str">
        <f aca="false">IF(Tasks[[#This Row],[Task Name]]="","",IF(Tasks[[#This Row],[_IsSummary]],MIN(INDEX(Tasks[_ShownFcstStart],Tasks[[#This Row],[_Row]]+1):INDEX(Tasks[_ShownFcstStart],Tasks[[#This Row],[_Row]]+Tasks[[#This Row],[_Descendants]])),Tasks[[#This Row],[_ShownFcstStart]]))</f>
        <v/>
      </c>
      <c r="AF91" s="62" t="str">
        <f aca="false">IF(Tasks[[#This Row],[Task Name]]="","",IF(Tasks[[#This Row],[_IsSummary]],MAX(INDEX(Tasks[_ShownFcstFinish],Tasks[[#This Row],[_Row]]+1):INDEX(Tasks[_ShownFcstFinish],Tasks[[#This Row],[_Row]]+Tasks[[#This Row],[_Descendants]])),Tasks[[#This Row],[_ShownFcstFinish]]))</f>
        <v/>
      </c>
      <c r="AG91" s="21" t="str">
        <f aca="false">""</f>
        <v/>
      </c>
      <c r="AH91" s="23"/>
      <c r="AI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1" s="7"/>
      <c r="AK91" s="22"/>
      <c r="AL91" s="23"/>
      <c r="AM91" s="7"/>
      <c r="AN91" s="46" t="str">
        <f aca="false">IF(Tasks[[#This Row],[Task Name]]="","",IF(Tasks[[#This Row],[Finish]]&gt;=Tasks[[#This Row],[Planned Finish]],NETWORKDAYS.INTL(Tasks[[#This Row],[Planned Finish]],Tasks[[#This Row],[Finish]],WorkWeek,Holidays)-1,1-NETWORKDAYS.INTL(Tasks[[#This Row],[Finish]],Tasks[[#This Row],[Planned Finish]],WorkWeek,Holidays)))</f>
        <v/>
      </c>
      <c r="AO91" s="21" t="str">
        <f aca="false">IF(Tasks[[#This Row],[Task Name]]="","",IF(Tasks[[#This Row],[Progress]]&gt;=1,"Complete",IF(OR(N(Tasks[[#This Row],[Actual Start]])&gt;0,Tasks[[#This Row],[Progress]]&gt;0),IF(Tasks[[#This Row],[Finish Var]]&gt;0,"Behind","In Progress"),IF(Tasks[[#This Row],[Planned Start]]&lt;StatusDate,"Late Start","Not Started"))))</f>
        <v/>
      </c>
      <c r="AP91" s="21" t="str">
        <f aca="false">IF(Tasks[[#This Row],[Task Name]]="","",IF(IF(Tasks[[#This Row],[_IsSummary]],COUNTIF(INDEX(Tasks[_LeafCritical],Tasks[[#This Row],[_Row]]+1):INDEX(Tasks[_LeafCritical],Tasks[[#This Row],[_Row]]+Tasks[[#This Row],[_Descendants]]),TRUE())&gt;0,Tasks[[#This Row],[_LeafCritical]]),"Yes",""))</f>
        <v/>
      </c>
      <c r="AQ91" s="62" t="str">
        <f aca="false">IF(Tasks[[#This Row],[Task Name]]="","",IF(N(Tasks[[#This Row],[Baseline Start]])&gt;0,Tasks[[#This Row],[Baseline Start]],Tasks[[#This Row],[_CalcStart]]))</f>
        <v/>
      </c>
      <c r="AR91" s="62" t="str">
        <f aca="false">IF(Tasks[[#This Row],[Task Name]]="","",IF(N(Tasks[[#This Row],[Baseline Finish]])&gt;0,Tasks[[#This Row],[Baseline Finish]],Tasks[[#This Row],[_CalcFinish]]))</f>
        <v/>
      </c>
      <c r="AS91" s="46" t="str">
        <f aca="false">IF(Tasks[[#This Row],[Task Name]]="","",IF(Tasks[[#This Row],[Start]]&gt;=Tasks[[#This Row],[Planned Start]],NETWORKDAYS.INTL(Tasks[[#This Row],[Planned Start]],Tasks[[#This Row],[Start]],WorkWeek,Holidays)-1,1-NETWORKDAYS.INTL(Tasks[[#This Row],[Start]],Tasks[[#This Row],[Planned Start]],WorkWeek,Holidays)))</f>
        <v/>
      </c>
      <c r="AT91" s="62" t="str">
        <f aca="false">IF(Tasks[[#This Row],[Task Name]]="","",IF(Tasks[[#This Row],[_IsSummary]],MIN(INDEX(Tasks[_LeafLateStart],Tasks[[#This Row],[_Row]]+1):INDEX(Tasks[_LeafLateStart],Tasks[[#This Row],[_Row]]+Tasks[[#This Row],[_Descendants]])),Tasks[[#This Row],[_LeafLateStart]]))</f>
        <v/>
      </c>
      <c r="AU91" s="62" t="str">
        <f aca="false">IF(Tasks[[#This Row],[Task Name]]="","",IF(Tasks[[#This Row],[_IsSummary]],MAX(INDEX(Tasks[_LeafLateFinish],Tasks[[#This Row],[_Row]]+1):INDEX(Tasks[_LeafLateFinish],Tasks[[#This Row],[_Row]]+Tasks[[#This Row],[_Descendants]])),Tasks[[#This Row],[_LeafLateFinish]]))</f>
        <v/>
      </c>
      <c r="AV91" s="46" t="str">
        <f aca="false">IF(Tasks[[#This Row],[Task Name]]="","",IF(Tasks[[#This Row],[_IsSummary]],MIN(INDEX(Tasks[_LeafTotalSlack],Tasks[[#This Row],[_Row]]+1):INDEX(Tasks[_LeafTotalSlack],Tasks[[#This Row],[_Row]]+Tasks[[#This Row],[_Descendants]])),Tasks[[#This Row],[_LeafTotalSlack]]))</f>
        <v/>
      </c>
      <c r="AW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4"/>
      <c r="BA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t="str">
        <f aca="false">IF(Tasks[[#This Row],[Task Name]]="","",IF(Tasks[[#This Row],[_Level]]&lt;=OutlineShowLevel,"Yes","No"))</f>
        <v/>
      </c>
      <c r="BE91" s="85" t="str">
        <f aca="false">IF(Tasks[[#This Row],[Task Name]]="","",IF(Tasks[[#This Row],[_IsSummary]],SUM(INDEX(Tasks[_LeafTotalWork],Tasks[[#This Row],[_Row]]+1):INDEX(Tasks[_LeafTotalWork],Tasks[[#This Row],[_Row]]+Tasks[[#This Row],[_Descendants]])),Tasks[[#This Row],[_LeafTotalWork]]))</f>
        <v/>
      </c>
      <c r="BF91" s="23"/>
      <c r="BG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t="str">
        <f aca="false">""</f>
        <v/>
      </c>
      <c r="BI91" s="86"/>
      <c r="BJ91" s="22"/>
      <c r="BK91" s="46" t="str">
        <f aca="false">IF(OR(Tasks[[#This Row],[Task Name]]="",Tasks[[#This Row],[Baseline Duration]]=""),"",Tasks[[#This Row],[_SpanDays]]-N(Tasks[[#This Row],[Baseline Duration]]))</f>
        <v/>
      </c>
      <c r="BL91" s="85" t="str">
        <f aca="false">IF(OR(Tasks[[#This Row],[Task Name]]="",Tasks[[#This Row],[Baseline Work]]=""),"",Tasks[[#This Row],[Work]]-N(Tasks[[#This Row],[Baseline Work]]))</f>
        <v/>
      </c>
      <c r="BM91" s="62" t="str">
        <f aca="false">IF(Tasks[[#This Row],[Task Name]]="","",IF(OR(TakeBaseline="Yes",N(Tasks[[#This Row],[Baseline Start]])=0),Tasks[[#This Row],[Start]],Tasks[[#This Row],[Baseline Start]]))</f>
        <v/>
      </c>
      <c r="BN91" s="62" t="str">
        <f aca="false">IF(Tasks[[#This Row],[Task Name]]="","",IF(OR(TakeBaseline="Yes",N(Tasks[[#This Row],[Baseline Finish]])=0),Tasks[[#This Row],[Finish]],Tasks[[#This Row],[Baseline Finish]]))</f>
        <v/>
      </c>
      <c r="BO91" s="21" t="str">
        <f aca="false">IF(Tasks[[#This Row],[Task Name]]="","",IF(OR(TakeBaseline="Yes",N(Tasks[[#This Row],[Baseline Duration]])=0),Tasks[[#This Row],[_SpanDays]],Tasks[[#This Row],[Baseline Duration]]))</f>
        <v/>
      </c>
      <c r="BP91" s="85" t="str">
        <f aca="false">IF(Tasks[[#This Row],[Task Name]]="","",IF(OR(TakeBaseline="Yes",N(Tasks[[#This Row],[Baseline Work]])=0),Tasks[[#This Row],[Work]],Tasks[[#This Row],[Baseline Work]]))</f>
        <v/>
      </c>
      <c r="BQ91" s="7"/>
      <c r="BR91" s="7"/>
      <c r="BS91" s="22"/>
      <c r="BT91" s="87"/>
      <c r="BU91" s="42" t="str">
        <f aca="false">IF(Tasks[[#This Row],[Task Name]]="","",MAX(1,N(Tasks[[#This Row],[Level]])))</f>
        <v/>
      </c>
      <c r="BV91" s="42" t="n">
        <f aca="false">ROW()-ROW(Tasks[[#Headers],[ID]])</f>
        <v>86</v>
      </c>
      <c r="BW91" s="42" t="n">
        <f aca="false">IF(OR(Tasks[[#This Row],[Task Name]]="",Tasks[[#This Row],[_Level]]&lt;=1),0,IFERROR(LOOKUP(2,1/(Tasks[[#Headers],[_Level]]:Tasks[[#This Row],[_Level]]=Tasks[[#This Row],[_Level]]-1),ROW(Tasks[[#Headers],[_Level]]:Tasks[[#This Row],[_Level]])),0))</f>
        <v>0</v>
      </c>
      <c r="BX91" s="42" t="n">
        <f aca="false">IFERROR(N(INDEX(Tasks[_Level],Tasks[[#This Row],[_Row]]+1)),0)</f>
        <v>0</v>
      </c>
      <c r="BY91" s="88" t="b">
        <f aca="false">AND(Tasks[[#This Row],[Task Name]]&lt;&gt;"",Tasks[[#This Row],[_NextLevel]]&gt;Tasks[[#This Row],[_Level]])</f>
        <v>0</v>
      </c>
      <c r="BZ91" s="42" t="n">
        <f aca="false">IF(Tasks[[#This Row],[_IsSummary]],COUNTIF(Tasks[WBS],Tasks[[#This Row],[WBS]]&amp;".*"),0)</f>
        <v>0</v>
      </c>
      <c r="CA91" s="42" t="n">
        <f aca="false">IF(AND(Tasks[[#This Row],[Task Name]]&lt;&gt;"",NOT(Tasks[[#This Row],[_IsSummary]])),1,0)</f>
        <v>0</v>
      </c>
      <c r="CB91" s="42" t="n">
        <f aca="false">IF(N(Tasks[[#This Row],[_Pred1UID]])=0,0,IFERROR(MATCH(Tasks[[#This Row],[_Pred1UID]],Tasks[UID],0),-1))</f>
        <v>0</v>
      </c>
      <c r="CC91" s="42" t="n">
        <f aca="false">IF(N(Tasks[[#This Row],[_Pred2UID]])=0,0,IFERROR(MATCH(Tasks[[#This Row],[_Pred2UID]],Tasks[UID],0),-1))</f>
        <v>0</v>
      </c>
      <c r="CD91" s="42" t="n">
        <f aca="false">IF(N(Tasks[[#This Row],[_Pred3UID]])=0,0,IFERROR(MATCH(Tasks[[#This Row],[_Pred3UID]],Tasks[UID],0),-1))</f>
        <v>0</v>
      </c>
      <c r="CE91" s="42" t="n">
        <f aca="false">IF(N(Tasks[[#This Row],[_Pred4UID]])=0,0,IFERROR(MATCH(Tasks[[#This Row],[_Pred4UID]],Tasks[UID],0),-1))</f>
        <v>0</v>
      </c>
      <c r="CF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1" s="89" t="n">
        <f aca="false">IF(OR(Tasks[[#This Row],[_ConstraintCode]]=2,Tasks[[#This Row],[_ConstraintCode]]=3,Tasks[[#This Row],[_ConstraintCode]]=4,Tasks[[#This Row],[_ConstraintCode]]=6),Tasks[[#This Row],[_ConstraintStart]],0)</f>
        <v>0</v>
      </c>
      <c r="CI91" s="89" t="n">
        <f aca="false">IF(OR(Tasks[[#This Row],[_ConstraintCode]]=2,Tasks[[#This Row],[_ConstraintCode]]=3,Tasks[[#This Row],[_ConstraintCode]]=5,Tasks[[#This Row],[_ConstraintCode]]=7),Tasks[[#This Row],[_ConstraintStart]],2958465)</f>
        <v>2958465</v>
      </c>
      <c r="CJ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1" s="89" t="str">
        <f aca="false">IF(NOT(Tasks[[#This Row],[_IsLeaf]]=1),"",IF(N(Tasks[[#This Row],[_Days]])&lt;=0,Tasks[[#This Row],[_LeafCalcStart]],WORKDAY.INTL(Tasks[[#This Row],[_LeafCalcStart]],Tasks[[#This Row],[_Days]]-1,WorkWeek,Holidays)))</f>
        <v/>
      </c>
      <c r="CL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1" s="42" t="str">
        <f aca="false">IF(Tasks[[#This Row],[_Predecessors]]="","",TRIM(MID(SUBSTITUTE(SUBSTITUTE(SUBSTITUTE(UPPER(Tasks[[#This Row],[_Predecessors]]),";",",")," ",""),",",REPT(" ",99)),1,99)))</f>
        <v/>
      </c>
      <c r="CO91" s="42" t="str">
        <f aca="false">IF(Tasks[[#This Row],[_Pred1Text]]="","",IFERROR(VALUE(LEFT(Tasks[[#This Row],[_Pred1Text]],MIN(FIND("F",Tasks[[#This Row],[_Pred1Text]]&amp;"F"),FIND("S",Tasks[[#This Row],[_Pred1Text]]&amp;"S"),FIND("+",Tasks[[#This Row],[_Pred1Text]]&amp;"+"),FIND("-",Tasks[[#This Row],[_Pred1Text]]&amp;"-"))-1)),""))</f>
        <v/>
      </c>
      <c r="CP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1" s="42" t="str">
        <f aca="false">IF(Tasks[[#This Row],[_Pred1Text]]="","",TRIM(MID(SUBSTITUTE(SUBSTITUTE(SUBSTITUTE(UPPER(Tasks[[#This Row],[_Predecessors]]),";",",")," ",""),",",REPT(" ",99)),100,99)))</f>
        <v/>
      </c>
      <c r="CS91" s="42" t="str">
        <f aca="false">IF(Tasks[[#This Row],[_Pred2Text]]="","",IFERROR(VALUE(LEFT(Tasks[[#This Row],[_Pred2Text]],MIN(FIND("F",Tasks[[#This Row],[_Pred2Text]]&amp;"F"),FIND("S",Tasks[[#This Row],[_Pred2Text]]&amp;"S"),FIND("+",Tasks[[#This Row],[_Pred2Text]]&amp;"+"),FIND("-",Tasks[[#This Row],[_Pred2Text]]&amp;"-"))-1)),""))</f>
        <v/>
      </c>
      <c r="CT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1" s="42" t="str">
        <f aca="false">IF(Tasks[[#This Row],[_Pred2Text]]="","",TRIM(MID(SUBSTITUTE(SUBSTITUTE(SUBSTITUTE(UPPER(Tasks[[#This Row],[_Predecessors]]),";",",")," ",""),",",REPT(" ",99)),199,99)))</f>
        <v/>
      </c>
      <c r="CW91" s="42" t="str">
        <f aca="false">IF(Tasks[[#This Row],[_Pred3Text]]="","",IFERROR(VALUE(LEFT(Tasks[[#This Row],[_Pred3Text]],MIN(FIND("F",Tasks[[#This Row],[_Pred3Text]]&amp;"F"),FIND("S",Tasks[[#This Row],[_Pred3Text]]&amp;"S"),FIND("+",Tasks[[#This Row],[_Pred3Text]]&amp;"+"),FIND("-",Tasks[[#This Row],[_Pred3Text]]&amp;"-"))-1)),""))</f>
        <v/>
      </c>
      <c r="CX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1" s="42" t="str">
        <f aca="false">IF(Tasks[[#This Row],[_Pred3Text]]="","",TRIM(MID(SUBSTITUTE(SUBSTITUTE(SUBSTITUTE(UPPER(Tasks[[#This Row],[_Predecessors]]),";",",")," ",""),",",REPT(" ",99)),298,99)))</f>
        <v/>
      </c>
      <c r="DA91" s="42" t="str">
        <f aca="false">IF(Tasks[[#This Row],[_Pred4Text]]="","",IFERROR(VALUE(LEFT(Tasks[[#This Row],[_Pred4Text]],MIN(FIND("F",Tasks[[#This Row],[_Pred4Text]]&amp;"F"),FIND("S",Tasks[[#This Row],[_Pred4Text]]&amp;"S"),FIND("+",Tasks[[#This Row],[_Pred4Text]]&amp;"+"),FIND("-",Tasks[[#This Row],[_Pred4Text]]&amp;"-"))-1)),""))</f>
        <v/>
      </c>
      <c r="DB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1" s="42" t="str">
        <f aca="false">IF(OR(Tasks[[#This Row],[Task Name]]="",Tasks[[#This Row],[_Resources]]=""),"",TRIM(MID(SUBSTITUTE(Tasks[[#This Row],[_Resources]],",",REPT(" ",99)),1,99)))</f>
        <v/>
      </c>
      <c r="DE91" s="42" t="str">
        <f aca="false">IF(Tasks[[#This Row],[_Res1Text]]="","",TRIM(MID(SUBSTITUTE(Tasks[[#This Row],[_Resources]],",",REPT(" ",99)),100,99)))</f>
        <v/>
      </c>
      <c r="DF91" s="42" t="str">
        <f aca="false">IF(Tasks[[#This Row],[_Res2Text]]="","",TRIM(MID(SUBSTITUTE(Tasks[[#This Row],[_Resources]],",",REPT(" ",99)),199,99)))</f>
        <v/>
      </c>
      <c r="DG91" s="42" t="str">
        <f aca="false">IF(Tasks[[#This Row],[_Res3Text]]="","",TRIM(MID(SUBSTITUTE(Tasks[[#This Row],[_Resources]],",",REPT(" ",99)),298,99)))</f>
        <v/>
      </c>
      <c r="DH91" s="42" t="n">
        <f aca="false">IF(Tasks[[#This Row],[_Res1Text]]="",0,IFERROR(MATCH(TRIM(LEFT(Tasks[[#This Row],[_Res1Text]],FIND("[",Tasks[[#This Row],[_Res1Text]]&amp;"[")-1)),res_Name,0),IFERROR(MATCH(TRIM(LEFT(Tasks[[#This Row],[_Res1Text]],FIND("[",Tasks[[#This Row],[_Res1Text]]&amp;"[")-1)),res_Initials,0),0)))</f>
        <v>0</v>
      </c>
      <c r="DI91" s="42" t="n">
        <f aca="false">IF(Tasks[[#This Row],[_Res2Text]]="",0,IFERROR(MATCH(TRIM(LEFT(Tasks[[#This Row],[_Res2Text]],FIND("[",Tasks[[#This Row],[_Res2Text]]&amp;"[")-1)),res_Name,0),IFERROR(MATCH(TRIM(LEFT(Tasks[[#This Row],[_Res2Text]],FIND("[",Tasks[[#This Row],[_Res2Text]]&amp;"[")-1)),res_Initials,0),0)))</f>
        <v>0</v>
      </c>
      <c r="DJ91" s="42" t="n">
        <f aca="false">IF(Tasks[[#This Row],[_Res3Text]]="",0,IFERROR(MATCH(TRIM(LEFT(Tasks[[#This Row],[_Res3Text]],FIND("[",Tasks[[#This Row],[_Res3Text]]&amp;"[")-1)),res_Name,0),IFERROR(MATCH(TRIM(LEFT(Tasks[[#This Row],[_Res3Text]],FIND("[",Tasks[[#This Row],[_Res3Text]]&amp;"[")-1)),res_Initials,0),0)))</f>
        <v>0</v>
      </c>
      <c r="DK91" s="42" t="n">
        <f aca="false">IF(Tasks[[#This Row],[_Res4Text]]="",0,IFERROR(MATCH(TRIM(LEFT(Tasks[[#This Row],[_Res4Text]],FIND("[",Tasks[[#This Row],[_Res4Text]]&amp;"[")-1)),res_Name,0),IFERROR(MATCH(TRIM(LEFT(Tasks[[#This Row],[_Res4Text]],FIND("[",Tasks[[#This Row],[_Res4Text]]&amp;"[")-1)),res_Initials,0),0)))</f>
        <v>0</v>
      </c>
      <c r="DL91" s="42" t="str">
        <f aca="false">IF(Tasks[[#This Row],[_Res1Text]]="","",IF(Tasks[[#This Row],[_Res1Row]]&gt;0,INDEX(res_Name,Tasks[[#This Row],[_Res1Row]]),TRIM(LEFT(Tasks[[#This Row],[_Res1Text]],FIND("[",Tasks[[#This Row],[_Res1Text]]&amp;"[")-1))))</f>
        <v/>
      </c>
      <c r="DM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1" s="42" t="n">
        <f aca="false">IF(NOT(Tasks[[#This Row],[_IsLeaf]]=1),0,(Tasks[[#This Row],[_Resource1]]&lt;&gt;"")+(Tasks[[#This Row],[_Res2]]&lt;&gt;"")+(Tasks[[#This Row],[_Res3]]&lt;&gt;"")+(Tasks[[#This Row],[_Res4]]&lt;&gt;""))</f>
        <v>0</v>
      </c>
      <c r="DO91" s="42" t="str">
        <f aca="false">IF(Tasks[[#This Row],[_Res2Text]]="","",IF(Tasks[[#This Row],[_Res2Row]]&gt;0,INDEX(res_Name,Tasks[[#This Row],[_Res2Row]]),TRIM(LEFT(Tasks[[#This Row],[_Res2Text]],FIND("[",Tasks[[#This Row],[_Res2Text]]&amp;"[")-1))))</f>
        <v/>
      </c>
      <c r="DP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1" s="42" t="n">
        <f aca="false">IF(OR(NOT(Tasks[[#This Row],[_IsLeaf]]=1),Tasks[[#This Row],[_Res2Row]]=0),0,N(Tasks[[#This Row],[_Days]])*HoursPerDay*IF(Tasks[[#This Row],[_Res2Units]]="",DefaultUnits,Tasks[[#This Row],[_Res2Units]]))</f>
        <v>0</v>
      </c>
      <c r="DR91" s="42" t="n">
        <f aca="false">IF(AND(AND(Tasks[[#This Row],[_IsLeaf]]=1,Tasks[[#This Row],[_LeafTotalWork]]&gt;0),Tasks[[#This Row],[_Res2Work]]&gt;0),Tasks[[#This Row],[_Res2Work]]/(Tasks[[#This Row],[_FinishWorkday]]-Tasks[[#This Row],[_StartWorkday]]+1),0)</f>
        <v>0</v>
      </c>
      <c r="DS91" s="42" t="n">
        <f aca="false">Tasks[[#This Row],[_Res2WorkPerWD]]*MAX(0,Tasks[[#This Row],[_StartWorkday]]-1)</f>
        <v>0</v>
      </c>
      <c r="DT91" s="42" t="n">
        <f aca="false">Tasks[[#This Row],[_Res2Work]]*Tasks[[#This Row],[_LeafProgress]]</f>
        <v>0</v>
      </c>
      <c r="DU91" s="42" t="str">
        <f aca="false">IF(Tasks[[#This Row],[_Res3Text]]="","",IF(Tasks[[#This Row],[_Res3Row]]&gt;0,INDEX(res_Name,Tasks[[#This Row],[_Res3Row]]),TRIM(LEFT(Tasks[[#This Row],[_Res3Text]],FIND("[",Tasks[[#This Row],[_Res3Text]]&amp;"[")-1))))</f>
        <v/>
      </c>
      <c r="DV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1" s="42" t="n">
        <f aca="false">IF(OR(NOT(Tasks[[#This Row],[_IsLeaf]]=1),Tasks[[#This Row],[_Res3Row]]=0),0,N(Tasks[[#This Row],[_Days]])*HoursPerDay*IF(Tasks[[#This Row],[_Res3Units]]="",DefaultUnits,Tasks[[#This Row],[_Res3Units]]))</f>
        <v>0</v>
      </c>
      <c r="DX91" s="42" t="n">
        <f aca="false">IF(AND(AND(Tasks[[#This Row],[_IsLeaf]]=1,Tasks[[#This Row],[_LeafTotalWork]]&gt;0),Tasks[[#This Row],[_Res3Work]]&gt;0),Tasks[[#This Row],[_Res3Work]]/(Tasks[[#This Row],[_FinishWorkday]]-Tasks[[#This Row],[_StartWorkday]]+1),0)</f>
        <v>0</v>
      </c>
      <c r="DY91" s="42" t="n">
        <f aca="false">Tasks[[#This Row],[_Res3WorkPerWD]]*MAX(0,Tasks[[#This Row],[_StartWorkday]]-1)</f>
        <v>0</v>
      </c>
      <c r="DZ91" s="42" t="n">
        <f aca="false">Tasks[[#This Row],[_Res3Work]]*Tasks[[#This Row],[_LeafProgress]]</f>
        <v>0</v>
      </c>
      <c r="EA91" s="42" t="str">
        <f aca="false">IF(Tasks[[#This Row],[_Res4Text]]="","",IF(Tasks[[#This Row],[_Res4Row]]&gt;0,INDEX(res_Name,Tasks[[#This Row],[_Res4Row]]),TRIM(LEFT(Tasks[[#This Row],[_Res4Text]],FIND("[",Tasks[[#This Row],[_Res4Text]]&amp;"[")-1))))</f>
        <v/>
      </c>
      <c r="EB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1" s="42" t="n">
        <f aca="false">IF(OR(NOT(Tasks[[#This Row],[_IsLeaf]]=1),Tasks[[#This Row],[_Res4Row]]=0),0,N(Tasks[[#This Row],[_Days]])*HoursPerDay*IF(Tasks[[#This Row],[_Res4Units]]="",DefaultUnits,Tasks[[#This Row],[_Res4Units]]))</f>
        <v>0</v>
      </c>
      <c r="ED91" s="42" t="n">
        <f aca="false">IF(AND(AND(Tasks[[#This Row],[_IsLeaf]]=1,Tasks[[#This Row],[_LeafTotalWork]]&gt;0),Tasks[[#This Row],[_Res4Work]]&gt;0),Tasks[[#This Row],[_Res4Work]]/(Tasks[[#This Row],[_FinishWorkday]]-Tasks[[#This Row],[_StartWorkday]]+1),0)</f>
        <v>0</v>
      </c>
      <c r="EE91" s="42" t="n">
        <f aca="false">Tasks[[#This Row],[_Res4WorkPerWD]]*MAX(0,Tasks[[#This Row],[_StartWorkday]]-1)</f>
        <v>0</v>
      </c>
      <c r="EF91" s="42" t="n">
        <f aca="false">Tasks[[#This Row],[_Res4Work]]*Tasks[[#This Row],[_LeafProgress]]</f>
        <v>0</v>
      </c>
      <c r="EG91" s="42" t="n">
        <f aca="false">IF(ISNUMBER(Tasks[[#This Row],[% Complete]]),Tasks[[#This Row],[% Complete]],IF(Tasks[[#This Row],[Stage]]="",0,IFERROR(INDEX(stg_Pct,MATCH(Tasks[[#This Row],[Stage]],stg_Name,0)),0)))</f>
        <v>0</v>
      </c>
      <c r="EH91" s="42" t="n">
        <f aca="false">IF(NOT(Tasks[[#This Row],[_IsLeaf]]=1),0,IF(N(Tasks[[#This Row],[Actual Finish]])&gt;0,1,MIN(1,Tasks[[#This Row],[_Pct]])))</f>
        <v>0</v>
      </c>
      <c r="EI91" s="42" t="n">
        <f aca="false">IF(OR(NOT(Tasks[[#This Row],[_IsLeaf]]=1),Tasks[[#This Row],[_Res1Row]]=0),0,N(Tasks[[#This Row],[_Days]])*HoursPerDay*IF(Tasks[[#This Row],[_Units1]]="",DefaultUnits,Tasks[[#This Row],[_Units1]]))</f>
        <v>0</v>
      </c>
      <c r="EJ91" s="42" t="n">
        <f aca="false">Tasks[[#This Row],[_LeafWork]]+Tasks[[#This Row],[_Res2Work]]+Tasks[[#This Row],[_Res3Work]]+Tasks[[#This Row],[_Res4Work]]</f>
        <v>0</v>
      </c>
      <c r="EK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1" s="42" t="n">
        <f aca="false">IF(NOT(Tasks[[#This Row],[_IsLeaf]]=1),0,MAX(_xlfn.MAXIFS(Tasks[_Row],Tasks[_Pred1UID],Tasks[[#This Row],[UID]]),_xlfn.MAXIFS(Tasks[_Row],Tasks[_Pred2UID],Tasks[[#This Row],[UID]]),_xlfn.MAXIFS(Tasks[_Row],Tasks[_Pred3UID],Tasks[[#This Row],[UID]]),_xlfn.MAXIFS(Tasks[_Row],Tasks[_Pred4UID],Tasks[[#This Row],[UID]])))</f>
        <v>0</v>
      </c>
      <c r="ET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1" s="89" t="str">
        <f aca="false">IF(NOT(Tasks[[#This Row],[_IsLeaf]]=1),"",IF(N(Tasks[[#This Row],[_Days]])&lt;=0,Tasks[[#This Row],[_LeafLateFinish]],WORKDAY.INTL(Tasks[[#This Row],[_LeafLateFinish]],-(Tasks[[#This Row],[_Days]]-1),WorkWeek,Holidays)))</f>
        <v/>
      </c>
      <c r="EW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1" s="88" t="b">
        <f aca="false">AND(Tasks[[#This Row],[_IsLeaf]]=1,Tasks[[#This Row],[_LeafProgress]]&lt;1,N(Tasks[[#This Row],[_LeafTotalSlack]])&lt;=CriticalSlackDays)</f>
        <v>0</v>
      </c>
      <c r="EY91" s="42" t="n">
        <f aca="false">IF(AND(Tasks[[#This Row],[_IsLeaf]]=1,Tasks[[#This Row],[_ConstraintCode]]=1,Tasks[[#This Row],[Mode]]&lt;&gt;"Manual",N(Tasks[[#This Row],[Actual Start]])=0),MAX(0,N(Tasks[[#This Row],[Free Slack]])),0)</f>
        <v>0</v>
      </c>
      <c r="EZ91" s="89" t="str">
        <f aca="false">IF(NOT(Tasks[[#This Row],[_IsLeaf]]=1),"",IF(Tasks[[#This Row],[_AlapShift]]=0,Tasks[[#This Row],[_LeafCalcStart]],WORKDAY.INTL(Tasks[[#This Row],[_LeafCalcStart]],Tasks[[#This Row],[_AlapShift]],WorkWeek,Holidays)))</f>
        <v/>
      </c>
      <c r="FA91" s="89" t="str">
        <f aca="false">IF(NOT(Tasks[[#This Row],[_IsLeaf]]=1),"",IF(Tasks[[#This Row],[_AlapShift]]=0,Tasks[[#This Row],[_LeafCalcFinish]],WORKDAY.INTL(Tasks[[#This Row],[_LeafCalcFinish]],Tasks[[#This Row],[_AlapShift]],WorkWeek,Holidays)))</f>
        <v/>
      </c>
      <c r="FB91" s="89" t="str">
        <f aca="false">IF(NOT(Tasks[[#This Row],[_IsLeaf]]=1),"",IF(Tasks[[#This Row],[_AlapShift]]=0,Tasks[[#This Row],[_LeafFcstStart]],WORKDAY.INTL(Tasks[[#This Row],[_LeafFcstStart]],Tasks[[#This Row],[_AlapShift]],WorkWeek,Holidays)))</f>
        <v/>
      </c>
      <c r="FC91" s="89" t="str">
        <f aca="false">IF(NOT(Tasks[[#This Row],[_IsLeaf]]=1),"",IF(Tasks[[#This Row],[_AlapShift]]=0,Tasks[[#This Row],[_LeafFcstFinish]],WORKDAY.INTL(Tasks[[#This Row],[_LeafFcstFinish]],Tasks[[#This Row],[_AlapShift]],WorkWeek,Holidays)))</f>
        <v/>
      </c>
      <c r="FD91" s="89" t="str">
        <f aca="false">IF(Tasks[[#This Row],[Task Name]]="","",IF(Tasks[[#This Row],[_IsSummary]],MIN(INDEX(Tasks[_ShownCalcStart],Tasks[[#This Row],[_Row]]+1):INDEX(Tasks[_ShownCalcStart],Tasks[[#This Row],[_Row]]+Tasks[[#This Row],[_Descendants]])),Tasks[[#This Row],[_ShownCalcStart]]))</f>
        <v/>
      </c>
      <c r="FE91" s="89" t="str">
        <f aca="false">IF(Tasks[[#This Row],[Task Name]]="","",IF(Tasks[[#This Row],[_IsSummary]],MAX(INDEX(Tasks[_ShownCalcFinish],Tasks[[#This Row],[_Row]]+1):INDEX(Tasks[_ShownCalcFinish],Tasks[[#This Row],[_Row]]+Tasks[[#This Row],[_Descendants]])),Tasks[[#This Row],[_ShownCalcFinish]]))</f>
        <v/>
      </c>
      <c r="FF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1" s="42" t="n">
        <f aca="false">IF(AND(Tasks[[#This Row],[_IsLeaf]]=1,Tasks[[#This Row],[_LeafTotalWork]]&gt;0),NETWORKDAYS.INTL(ProjectStart,Tasks[[#This Row],[_ShownFcstStart]],WorkWeek,Holidays),0)</f>
        <v>0</v>
      </c>
      <c r="FS91" s="42" t="n">
        <f aca="false">IF(AND(Tasks[[#This Row],[_IsLeaf]]=1,Tasks[[#This Row],[_LeafTotalWork]]&gt;0),MAX(Tasks[[#This Row],[_StartWorkday]],NETWORKDAYS.INTL(ProjectStart,Tasks[[#This Row],[_ShownFcstFinish]],WorkWeek,Holidays)),0)</f>
        <v>0</v>
      </c>
      <c r="FT91" s="42" t="n">
        <f aca="false">IF(AND(Tasks[[#This Row],[_IsLeaf]]=1,Tasks[[#This Row],[_LeafTotalWork]]&gt;0),Tasks[[#This Row],[_LeafWork]]/(Tasks[[#This Row],[_FinishWorkday]]-Tasks[[#This Row],[_StartWorkday]]+1),0)</f>
        <v>0</v>
      </c>
      <c r="FU91" s="42" t="n">
        <f aca="false">Tasks[[#This Row],[_WorkPerWorkday]]*(Tasks[[#This Row],[_StartWorkday]]-1)</f>
        <v>-0</v>
      </c>
      <c r="FV91" s="42" t="n">
        <f aca="false">IF(Tasks[[#This Row],[_IsLeaf]]=1,MAX(N(Tasks[[#This Row],[_Days]]),0.1),0)</f>
        <v>0</v>
      </c>
      <c r="FW91" s="42" t="n">
        <f aca="false">Tasks[[#This Row],[_WeightDur]]*Tasks[[#This Row],[_LeafProgress]]</f>
        <v>0</v>
      </c>
      <c r="FX91" s="42" t="n">
        <f aca="false">Tasks[[#This Row],[_WeightDur]]*Tasks[[#This Row],[_PlannedPct]]</f>
        <v>0</v>
      </c>
      <c r="FY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1" s="42" t="str">
        <f aca="false">IF(AND(Tasks[[#This Row],[_IsLeaf]]=1,N(Tasks[[#This Row],[_Days]])=0,Tasks[[#This Row],[_LeafProgress]]&lt;1),Tasks[[#This Row],[_ShownFcstFinish]]+Tasks[[#This Row],[_Row]]/100000,"")</f>
        <v/>
      </c>
      <c r="GA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1" s="42" t="str">
        <f aca="false">IF(Tasks[[#This Row],[Task Name]]="","",LEFT(Tasks[[#This Row],[WBS]],FIND(".",Tasks[[#This Row],[WBS]]&amp;".")-1))</f>
        <v/>
      </c>
      <c r="GC91" s="42" t="str">
        <f aca="false">IF(AND(Tasks[[#This Row],[Task Name]]&lt;&gt;"",Tasks[[#This Row],[_Level]]=1),Tasks[[#This Row],[_Row]],"")</f>
        <v/>
      </c>
      <c r="GD91" s="42" t="str">
        <f aca="false">IF(AND(Tasks[[#This Row],[_IsLeaf]]=1,N(Tasks[[#This Row],[_Days]])=0),Tasks[[#This Row],[Planned Finish]]+Tasks[[#This Row],[_Row]]/100000,"")</f>
        <v/>
      </c>
      <c r="GE91" s="42" t="str">
        <f aca="false">IF(AND(Tasks[[#This Row],[_IsLeaf]]=1,Tasks[[#This Row],[_LeafProgress]]&lt;1,OR(N(Tasks[[#This Row],[Finish Var]])&gt;0,Tasks[[#This Row],[Status]]="Late Start")),MAX(0,Tasks[[#This Row],[Finish Var]])+1-Tasks[[#This Row],[_Row]]/1000000,"")</f>
        <v/>
      </c>
      <c r="GF91" s="42" t="str">
        <f aca="false">IF(AND(Tasks[[#This Row],[_IsLeaf]]=1,N(Tasks[[#This Row],[Actual Start]])=0,Tasks[[#This Row],[_ShownFcstStart]]&gt;=StatusDate,Tasks[[#This Row],[_ShownFcstStart]]&lt;=LookaheadEnd),Tasks[[#This Row],[_ShownFcstStart]]+Tasks[[#This Row],[_Row]]/100000,"")</f>
        <v/>
      </c>
      <c r="GG91" s="42" t="str">
        <f aca="false">IF(AND(Tasks[[#This Row],[_IsLeaf]]=1,Tasks[[#This Row],[_LeafProgress]]&lt;1,Tasks[[#This Row],[_ShownFcstFinish]]&gt;=StatusDate,Tasks[[#This Row],[_ShownFcstFinish]]&lt;=LookaheadEnd),Tasks[[#This Row],[_ShownFcstFinish]]+Tasks[[#This Row],[_Row]]/100000,"")</f>
        <v/>
      </c>
      <c r="GH91" s="42" t="str">
        <f aca="false">IF(Tasks[[#This Row],[_LeafCritical]],Tasks[[#This Row],[_ShownFcstStart]]+Tasks[[#This Row],[_Row]]/100000,"")</f>
        <v/>
      </c>
      <c r="GI91" s="42" t="n">
        <f aca="false">Tasks[[#This Row],[_LeafWork]]*Tasks[[#This Row],[_LeafProgress]]</f>
        <v>0</v>
      </c>
      <c r="GJ91" s="89" t="str">
        <f aca="false">IF(AND(Tasks[[#This Row],[_IsLeaf]]=1,Tasks[[#This Row],[_LeafProgress]]&gt;=1),IF(N(Tasks[[#This Row],[Actual Finish]])&gt;0,Tasks[[#This Row],[Actual Finish]],Tasks[[#This Row],[_ShownFcstFinish]]),"")</f>
        <v/>
      </c>
      <c r="GK91" s="42" t="n">
        <f aca="false">IF(Tasks[[#This Row],[_IsLeaf]]=1,N(Tasks[[#This Row],[Story Points]]),0)</f>
        <v>0</v>
      </c>
      <c r="GL91" s="42" t="str">
        <f aca="false">""</f>
        <v/>
      </c>
      <c r="GM91" s="88" t="b">
        <f aca="false">IF(Tasks[[#This Row],[Task Name]]="",FALSE(),AND(Tasks[[#This Row],[_IsLeaf]]=1,N(Tasks[[#This Row],[_Days]])=0))</f>
        <v>0</v>
      </c>
      <c r="GN91" s="89" t="n">
        <f aca="false">IF(Tasks[[#This Row],[Task Name]]="",0,IF(AND(Tasks[[#This Row],[_IsLeaf]]=1,NOT(Tasks[[#This Row],[_IsMilestone]]),N(Tasks[[#This Row],[Progress]])&gt;0),Tasks[[#This Row],[Start]],0))</f>
        <v>0</v>
      </c>
      <c r="GO91" s="89" t="n">
        <f aca="false">IF(Tasks[[#This Row],[_DoneFrom]]=0,0,IF(Tasks[[#This Row],[Progress]]&gt;=1,Tasks[[#This Row],[Finish]],MAX(Tasks[[#This Row],[_DoneFrom]],Tasks[[#This Row],[Start]]+ROUND((Tasks[[#This Row],[Finish]]-Tasks[[#This Row],[Start]]+1)*Tasks[[#This Row],[Progress]],0)-1)))</f>
        <v>0</v>
      </c>
      <c r="GP91" s="89" t="n">
        <f aca="false">IF(Tasks[[#This Row],[Task Name]]="",0,IF(OR(NOT(Tasks[[#This Row],[_IsLeaf]]=1),Tasks[[#This Row],[_IsMilestone]],N(Tasks[[#This Row],[Progress]])&gt;=1),0,IF(Tasks[[#This Row],[_DoneTo]]&gt;0,Tasks[[#This Row],[_DoneTo]]+1,Tasks[[#This Row],[Start]])))</f>
        <v>0</v>
      </c>
      <c r="GQ91" s="89" t="n">
        <f aca="false">IF(Tasks[[#This Row],[_RemFrom]]=0,0,Tasks[[#This Row],[Finish]])</f>
        <v>0</v>
      </c>
      <c r="GR91" s="88" t="b">
        <f aca="false">IF(Tasks[[#This Row],[Task Name]]="",FALSE(),OR(NOT(BaselineSet),N(Tasks[[#This Row],[Baseline Start]])&gt;0))</f>
        <v>0</v>
      </c>
      <c r="GS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1" s="90" t="str">
        <f aca="false">IF(Tasks[[#This Row],[_IsLeaf]]=1,Tasks[[#This Row],[_Row]],"")</f>
        <v/>
      </c>
      <c r="GW91" s="90" t="str">
        <f aca="false">IFERROR(INDEX(Tasks[UID],SMALL(Tasks[_PickKey],Tasks[[#This Row],[_Row]]))&amp;" "&amp;INDEX(Tasks[Task Name],SMALL(Tasks[_PickKey],Tasks[[#This Row],[_Row]])),"")</f>
        <v/>
      </c>
      <c r="GX91" s="42" t="str">
        <f aca="false">IF(Tasks[[#This Row],[Task Name]]="","",IF(Tasks[[#This Row],[_IsSummary]],NETWORKDAYS.INTL(Tasks[[#This Row],[Start]],Tasks[[#This Row],[Finish]],WorkWeek,Holidays),N(Tasks[[#This Row],[_Days]])))</f>
        <v/>
      </c>
    </row>
    <row r="92" customFormat="false" ht="15" hidden="false" customHeight="false" outlineLevel="0" collapsed="false">
      <c r="A92" s="21" t="str">
        <f aca="false">IF(Tasks[[#This Row],[Task Name]]="","",COUNTA(Tasks[[#Headers],[Task Name]]:Tasks[[#This Row],[Task Name]])-1)</f>
        <v/>
      </c>
      <c r="B92" s="22" t="n">
        <v>100</v>
      </c>
      <c r="C92" s="22"/>
      <c r="D92" s="23"/>
      <c r="E92" s="22"/>
      <c r="F92" s="23"/>
      <c r="G92" s="22"/>
      <c r="H92" s="22"/>
      <c r="I92" s="23"/>
      <c r="J92" s="22"/>
      <c r="K92" s="22"/>
      <c r="L92" s="23"/>
      <c r="M92" s="22"/>
      <c r="N92" s="22"/>
      <c r="O92" s="23"/>
      <c r="P92" s="22"/>
      <c r="Q92" s="22"/>
      <c r="R92" s="23"/>
      <c r="S92" s="23"/>
      <c r="T92" s="83"/>
      <c r="U92" s="23"/>
      <c r="V92" s="83"/>
      <c r="W92" s="23"/>
      <c r="X92" s="83"/>
      <c r="Y92" s="23"/>
      <c r="Z92" s="83"/>
      <c r="AA92" s="23"/>
      <c r="AB92" s="23"/>
      <c r="AC92" s="7"/>
      <c r="AD92" s="7"/>
      <c r="AE92" s="62" t="str">
        <f aca="false">IF(Tasks[[#This Row],[Task Name]]="","",IF(Tasks[[#This Row],[_IsSummary]],MIN(INDEX(Tasks[_ShownFcstStart],Tasks[[#This Row],[_Row]]+1):INDEX(Tasks[_ShownFcstStart],Tasks[[#This Row],[_Row]]+Tasks[[#This Row],[_Descendants]])),Tasks[[#This Row],[_ShownFcstStart]]))</f>
        <v/>
      </c>
      <c r="AF92" s="62" t="str">
        <f aca="false">IF(Tasks[[#This Row],[Task Name]]="","",IF(Tasks[[#This Row],[_IsSummary]],MAX(INDEX(Tasks[_ShownFcstFinish],Tasks[[#This Row],[_Row]]+1):INDEX(Tasks[_ShownFcstFinish],Tasks[[#This Row],[_Row]]+Tasks[[#This Row],[_Descendants]])),Tasks[[#This Row],[_ShownFcstFinish]]))</f>
        <v/>
      </c>
      <c r="AG92" s="21" t="str">
        <f aca="false">""</f>
        <v/>
      </c>
      <c r="AH92" s="23"/>
      <c r="AI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2" s="7"/>
      <c r="AK92" s="22"/>
      <c r="AL92" s="23"/>
      <c r="AM92" s="7"/>
      <c r="AN92" s="46" t="str">
        <f aca="false">IF(Tasks[[#This Row],[Task Name]]="","",IF(Tasks[[#This Row],[Finish]]&gt;=Tasks[[#This Row],[Planned Finish]],NETWORKDAYS.INTL(Tasks[[#This Row],[Planned Finish]],Tasks[[#This Row],[Finish]],WorkWeek,Holidays)-1,1-NETWORKDAYS.INTL(Tasks[[#This Row],[Finish]],Tasks[[#This Row],[Planned Finish]],WorkWeek,Holidays)))</f>
        <v/>
      </c>
      <c r="AO92" s="21" t="str">
        <f aca="false">IF(Tasks[[#This Row],[Task Name]]="","",IF(Tasks[[#This Row],[Progress]]&gt;=1,"Complete",IF(OR(N(Tasks[[#This Row],[Actual Start]])&gt;0,Tasks[[#This Row],[Progress]]&gt;0),IF(Tasks[[#This Row],[Finish Var]]&gt;0,"Behind","In Progress"),IF(Tasks[[#This Row],[Planned Start]]&lt;StatusDate,"Late Start","Not Started"))))</f>
        <v/>
      </c>
      <c r="AP92" s="21" t="str">
        <f aca="false">IF(Tasks[[#This Row],[Task Name]]="","",IF(IF(Tasks[[#This Row],[_IsSummary]],COUNTIF(INDEX(Tasks[_LeafCritical],Tasks[[#This Row],[_Row]]+1):INDEX(Tasks[_LeafCritical],Tasks[[#This Row],[_Row]]+Tasks[[#This Row],[_Descendants]]),TRUE())&gt;0,Tasks[[#This Row],[_LeafCritical]]),"Yes",""))</f>
        <v/>
      </c>
      <c r="AQ92" s="62" t="str">
        <f aca="false">IF(Tasks[[#This Row],[Task Name]]="","",IF(N(Tasks[[#This Row],[Baseline Start]])&gt;0,Tasks[[#This Row],[Baseline Start]],Tasks[[#This Row],[_CalcStart]]))</f>
        <v/>
      </c>
      <c r="AR92" s="62" t="str">
        <f aca="false">IF(Tasks[[#This Row],[Task Name]]="","",IF(N(Tasks[[#This Row],[Baseline Finish]])&gt;0,Tasks[[#This Row],[Baseline Finish]],Tasks[[#This Row],[_CalcFinish]]))</f>
        <v/>
      </c>
      <c r="AS92" s="46" t="str">
        <f aca="false">IF(Tasks[[#This Row],[Task Name]]="","",IF(Tasks[[#This Row],[Start]]&gt;=Tasks[[#This Row],[Planned Start]],NETWORKDAYS.INTL(Tasks[[#This Row],[Planned Start]],Tasks[[#This Row],[Start]],WorkWeek,Holidays)-1,1-NETWORKDAYS.INTL(Tasks[[#This Row],[Start]],Tasks[[#This Row],[Planned Start]],WorkWeek,Holidays)))</f>
        <v/>
      </c>
      <c r="AT92" s="62" t="str">
        <f aca="false">IF(Tasks[[#This Row],[Task Name]]="","",IF(Tasks[[#This Row],[_IsSummary]],MIN(INDEX(Tasks[_LeafLateStart],Tasks[[#This Row],[_Row]]+1):INDEX(Tasks[_LeafLateStart],Tasks[[#This Row],[_Row]]+Tasks[[#This Row],[_Descendants]])),Tasks[[#This Row],[_LeafLateStart]]))</f>
        <v/>
      </c>
      <c r="AU92" s="62" t="str">
        <f aca="false">IF(Tasks[[#This Row],[Task Name]]="","",IF(Tasks[[#This Row],[_IsSummary]],MAX(INDEX(Tasks[_LeafLateFinish],Tasks[[#This Row],[_Row]]+1):INDEX(Tasks[_LeafLateFinish],Tasks[[#This Row],[_Row]]+Tasks[[#This Row],[_Descendants]])),Tasks[[#This Row],[_LeafLateFinish]]))</f>
        <v/>
      </c>
      <c r="AV92" s="46" t="str">
        <f aca="false">IF(Tasks[[#This Row],[Task Name]]="","",IF(Tasks[[#This Row],[_IsSummary]],MIN(INDEX(Tasks[_LeafTotalSlack],Tasks[[#This Row],[_Row]]+1):INDEX(Tasks[_LeafTotalSlack],Tasks[[#This Row],[_Row]]+Tasks[[#This Row],[_Descendants]])),Tasks[[#This Row],[_LeafTotalSlack]]))</f>
        <v/>
      </c>
      <c r="AW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4"/>
      <c r="BA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t="str">
        <f aca="false">IF(Tasks[[#This Row],[Task Name]]="","",IF(Tasks[[#This Row],[_Level]]&lt;=OutlineShowLevel,"Yes","No"))</f>
        <v/>
      </c>
      <c r="BE92" s="85" t="str">
        <f aca="false">IF(Tasks[[#This Row],[Task Name]]="","",IF(Tasks[[#This Row],[_IsSummary]],SUM(INDEX(Tasks[_LeafTotalWork],Tasks[[#This Row],[_Row]]+1):INDEX(Tasks[_LeafTotalWork],Tasks[[#This Row],[_Row]]+Tasks[[#This Row],[_Descendants]])),Tasks[[#This Row],[_LeafTotalWork]]))</f>
        <v/>
      </c>
      <c r="BF92" s="23"/>
      <c r="BG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t="str">
        <f aca="false">""</f>
        <v/>
      </c>
      <c r="BI92" s="86"/>
      <c r="BJ92" s="22"/>
      <c r="BK92" s="46" t="str">
        <f aca="false">IF(OR(Tasks[[#This Row],[Task Name]]="",Tasks[[#This Row],[Baseline Duration]]=""),"",Tasks[[#This Row],[_SpanDays]]-N(Tasks[[#This Row],[Baseline Duration]]))</f>
        <v/>
      </c>
      <c r="BL92" s="85" t="str">
        <f aca="false">IF(OR(Tasks[[#This Row],[Task Name]]="",Tasks[[#This Row],[Baseline Work]]=""),"",Tasks[[#This Row],[Work]]-N(Tasks[[#This Row],[Baseline Work]]))</f>
        <v/>
      </c>
      <c r="BM92" s="62" t="str">
        <f aca="false">IF(Tasks[[#This Row],[Task Name]]="","",IF(OR(TakeBaseline="Yes",N(Tasks[[#This Row],[Baseline Start]])=0),Tasks[[#This Row],[Start]],Tasks[[#This Row],[Baseline Start]]))</f>
        <v/>
      </c>
      <c r="BN92" s="62" t="str">
        <f aca="false">IF(Tasks[[#This Row],[Task Name]]="","",IF(OR(TakeBaseline="Yes",N(Tasks[[#This Row],[Baseline Finish]])=0),Tasks[[#This Row],[Finish]],Tasks[[#This Row],[Baseline Finish]]))</f>
        <v/>
      </c>
      <c r="BO92" s="21" t="str">
        <f aca="false">IF(Tasks[[#This Row],[Task Name]]="","",IF(OR(TakeBaseline="Yes",N(Tasks[[#This Row],[Baseline Duration]])=0),Tasks[[#This Row],[_SpanDays]],Tasks[[#This Row],[Baseline Duration]]))</f>
        <v/>
      </c>
      <c r="BP92" s="85" t="str">
        <f aca="false">IF(Tasks[[#This Row],[Task Name]]="","",IF(OR(TakeBaseline="Yes",N(Tasks[[#This Row],[Baseline Work]])=0),Tasks[[#This Row],[Work]],Tasks[[#This Row],[Baseline Work]]))</f>
        <v/>
      </c>
      <c r="BQ92" s="7"/>
      <c r="BR92" s="7"/>
      <c r="BS92" s="22"/>
      <c r="BT92" s="87"/>
      <c r="BU92" s="42" t="str">
        <f aca="false">IF(Tasks[[#This Row],[Task Name]]="","",MAX(1,N(Tasks[[#This Row],[Level]])))</f>
        <v/>
      </c>
      <c r="BV92" s="42" t="n">
        <f aca="false">ROW()-ROW(Tasks[[#Headers],[ID]])</f>
        <v>87</v>
      </c>
      <c r="BW92" s="42" t="n">
        <f aca="false">IF(OR(Tasks[[#This Row],[Task Name]]="",Tasks[[#This Row],[_Level]]&lt;=1),0,IFERROR(LOOKUP(2,1/(Tasks[[#Headers],[_Level]]:Tasks[[#This Row],[_Level]]=Tasks[[#This Row],[_Level]]-1),ROW(Tasks[[#Headers],[_Level]]:Tasks[[#This Row],[_Level]])),0))</f>
        <v>0</v>
      </c>
      <c r="BX92" s="42" t="n">
        <f aca="false">IFERROR(N(INDEX(Tasks[_Level],Tasks[[#This Row],[_Row]]+1)),0)</f>
        <v>0</v>
      </c>
      <c r="BY92" s="88" t="b">
        <f aca="false">AND(Tasks[[#This Row],[Task Name]]&lt;&gt;"",Tasks[[#This Row],[_NextLevel]]&gt;Tasks[[#This Row],[_Level]])</f>
        <v>0</v>
      </c>
      <c r="BZ92" s="42" t="n">
        <f aca="false">IF(Tasks[[#This Row],[_IsSummary]],COUNTIF(Tasks[WBS],Tasks[[#This Row],[WBS]]&amp;".*"),0)</f>
        <v>0</v>
      </c>
      <c r="CA92" s="42" t="n">
        <f aca="false">IF(AND(Tasks[[#This Row],[Task Name]]&lt;&gt;"",NOT(Tasks[[#This Row],[_IsSummary]])),1,0)</f>
        <v>0</v>
      </c>
      <c r="CB92" s="42" t="n">
        <f aca="false">IF(N(Tasks[[#This Row],[_Pred1UID]])=0,0,IFERROR(MATCH(Tasks[[#This Row],[_Pred1UID]],Tasks[UID],0),-1))</f>
        <v>0</v>
      </c>
      <c r="CC92" s="42" t="n">
        <f aca="false">IF(N(Tasks[[#This Row],[_Pred2UID]])=0,0,IFERROR(MATCH(Tasks[[#This Row],[_Pred2UID]],Tasks[UID],0),-1))</f>
        <v>0</v>
      </c>
      <c r="CD92" s="42" t="n">
        <f aca="false">IF(N(Tasks[[#This Row],[_Pred3UID]])=0,0,IFERROR(MATCH(Tasks[[#This Row],[_Pred3UID]],Tasks[UID],0),-1))</f>
        <v>0</v>
      </c>
      <c r="CE92" s="42" t="n">
        <f aca="false">IF(N(Tasks[[#This Row],[_Pred4UID]])=0,0,IFERROR(MATCH(Tasks[[#This Row],[_Pred4UID]],Tasks[UID],0),-1))</f>
        <v>0</v>
      </c>
      <c r="CF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2" s="89" t="n">
        <f aca="false">IF(OR(Tasks[[#This Row],[_ConstraintCode]]=2,Tasks[[#This Row],[_ConstraintCode]]=3,Tasks[[#This Row],[_ConstraintCode]]=4,Tasks[[#This Row],[_ConstraintCode]]=6),Tasks[[#This Row],[_ConstraintStart]],0)</f>
        <v>0</v>
      </c>
      <c r="CI92" s="89" t="n">
        <f aca="false">IF(OR(Tasks[[#This Row],[_ConstraintCode]]=2,Tasks[[#This Row],[_ConstraintCode]]=3,Tasks[[#This Row],[_ConstraintCode]]=5,Tasks[[#This Row],[_ConstraintCode]]=7),Tasks[[#This Row],[_ConstraintStart]],2958465)</f>
        <v>2958465</v>
      </c>
      <c r="CJ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2" s="89" t="str">
        <f aca="false">IF(NOT(Tasks[[#This Row],[_IsLeaf]]=1),"",IF(N(Tasks[[#This Row],[_Days]])&lt;=0,Tasks[[#This Row],[_LeafCalcStart]],WORKDAY.INTL(Tasks[[#This Row],[_LeafCalcStart]],Tasks[[#This Row],[_Days]]-1,WorkWeek,Holidays)))</f>
        <v/>
      </c>
      <c r="CL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2" s="42" t="str">
        <f aca="false">IF(Tasks[[#This Row],[_Predecessors]]="","",TRIM(MID(SUBSTITUTE(SUBSTITUTE(SUBSTITUTE(UPPER(Tasks[[#This Row],[_Predecessors]]),";",",")," ",""),",",REPT(" ",99)),1,99)))</f>
        <v/>
      </c>
      <c r="CO92" s="42" t="str">
        <f aca="false">IF(Tasks[[#This Row],[_Pred1Text]]="","",IFERROR(VALUE(LEFT(Tasks[[#This Row],[_Pred1Text]],MIN(FIND("F",Tasks[[#This Row],[_Pred1Text]]&amp;"F"),FIND("S",Tasks[[#This Row],[_Pred1Text]]&amp;"S"),FIND("+",Tasks[[#This Row],[_Pred1Text]]&amp;"+"),FIND("-",Tasks[[#This Row],[_Pred1Text]]&amp;"-"))-1)),""))</f>
        <v/>
      </c>
      <c r="CP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2" s="42" t="str">
        <f aca="false">IF(Tasks[[#This Row],[_Pred1Text]]="","",TRIM(MID(SUBSTITUTE(SUBSTITUTE(SUBSTITUTE(UPPER(Tasks[[#This Row],[_Predecessors]]),";",",")," ",""),",",REPT(" ",99)),100,99)))</f>
        <v/>
      </c>
      <c r="CS92" s="42" t="str">
        <f aca="false">IF(Tasks[[#This Row],[_Pred2Text]]="","",IFERROR(VALUE(LEFT(Tasks[[#This Row],[_Pred2Text]],MIN(FIND("F",Tasks[[#This Row],[_Pred2Text]]&amp;"F"),FIND("S",Tasks[[#This Row],[_Pred2Text]]&amp;"S"),FIND("+",Tasks[[#This Row],[_Pred2Text]]&amp;"+"),FIND("-",Tasks[[#This Row],[_Pred2Text]]&amp;"-"))-1)),""))</f>
        <v/>
      </c>
      <c r="CT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2" s="42" t="str">
        <f aca="false">IF(Tasks[[#This Row],[_Pred2Text]]="","",TRIM(MID(SUBSTITUTE(SUBSTITUTE(SUBSTITUTE(UPPER(Tasks[[#This Row],[_Predecessors]]),";",",")," ",""),",",REPT(" ",99)),199,99)))</f>
        <v/>
      </c>
      <c r="CW92" s="42" t="str">
        <f aca="false">IF(Tasks[[#This Row],[_Pred3Text]]="","",IFERROR(VALUE(LEFT(Tasks[[#This Row],[_Pred3Text]],MIN(FIND("F",Tasks[[#This Row],[_Pred3Text]]&amp;"F"),FIND("S",Tasks[[#This Row],[_Pred3Text]]&amp;"S"),FIND("+",Tasks[[#This Row],[_Pred3Text]]&amp;"+"),FIND("-",Tasks[[#This Row],[_Pred3Text]]&amp;"-"))-1)),""))</f>
        <v/>
      </c>
      <c r="CX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2" s="42" t="str">
        <f aca="false">IF(Tasks[[#This Row],[_Pred3Text]]="","",TRIM(MID(SUBSTITUTE(SUBSTITUTE(SUBSTITUTE(UPPER(Tasks[[#This Row],[_Predecessors]]),";",",")," ",""),",",REPT(" ",99)),298,99)))</f>
        <v/>
      </c>
      <c r="DA92" s="42" t="str">
        <f aca="false">IF(Tasks[[#This Row],[_Pred4Text]]="","",IFERROR(VALUE(LEFT(Tasks[[#This Row],[_Pred4Text]],MIN(FIND("F",Tasks[[#This Row],[_Pred4Text]]&amp;"F"),FIND("S",Tasks[[#This Row],[_Pred4Text]]&amp;"S"),FIND("+",Tasks[[#This Row],[_Pred4Text]]&amp;"+"),FIND("-",Tasks[[#This Row],[_Pred4Text]]&amp;"-"))-1)),""))</f>
        <v/>
      </c>
      <c r="DB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2" s="42" t="str">
        <f aca="false">IF(OR(Tasks[[#This Row],[Task Name]]="",Tasks[[#This Row],[_Resources]]=""),"",TRIM(MID(SUBSTITUTE(Tasks[[#This Row],[_Resources]],",",REPT(" ",99)),1,99)))</f>
        <v/>
      </c>
      <c r="DE92" s="42" t="str">
        <f aca="false">IF(Tasks[[#This Row],[_Res1Text]]="","",TRIM(MID(SUBSTITUTE(Tasks[[#This Row],[_Resources]],",",REPT(" ",99)),100,99)))</f>
        <v/>
      </c>
      <c r="DF92" s="42" t="str">
        <f aca="false">IF(Tasks[[#This Row],[_Res2Text]]="","",TRIM(MID(SUBSTITUTE(Tasks[[#This Row],[_Resources]],",",REPT(" ",99)),199,99)))</f>
        <v/>
      </c>
      <c r="DG92" s="42" t="str">
        <f aca="false">IF(Tasks[[#This Row],[_Res3Text]]="","",TRIM(MID(SUBSTITUTE(Tasks[[#This Row],[_Resources]],",",REPT(" ",99)),298,99)))</f>
        <v/>
      </c>
      <c r="DH92" s="42" t="n">
        <f aca="false">IF(Tasks[[#This Row],[_Res1Text]]="",0,IFERROR(MATCH(TRIM(LEFT(Tasks[[#This Row],[_Res1Text]],FIND("[",Tasks[[#This Row],[_Res1Text]]&amp;"[")-1)),res_Name,0),IFERROR(MATCH(TRIM(LEFT(Tasks[[#This Row],[_Res1Text]],FIND("[",Tasks[[#This Row],[_Res1Text]]&amp;"[")-1)),res_Initials,0),0)))</f>
        <v>0</v>
      </c>
      <c r="DI92" s="42" t="n">
        <f aca="false">IF(Tasks[[#This Row],[_Res2Text]]="",0,IFERROR(MATCH(TRIM(LEFT(Tasks[[#This Row],[_Res2Text]],FIND("[",Tasks[[#This Row],[_Res2Text]]&amp;"[")-1)),res_Name,0),IFERROR(MATCH(TRIM(LEFT(Tasks[[#This Row],[_Res2Text]],FIND("[",Tasks[[#This Row],[_Res2Text]]&amp;"[")-1)),res_Initials,0),0)))</f>
        <v>0</v>
      </c>
      <c r="DJ92" s="42" t="n">
        <f aca="false">IF(Tasks[[#This Row],[_Res3Text]]="",0,IFERROR(MATCH(TRIM(LEFT(Tasks[[#This Row],[_Res3Text]],FIND("[",Tasks[[#This Row],[_Res3Text]]&amp;"[")-1)),res_Name,0),IFERROR(MATCH(TRIM(LEFT(Tasks[[#This Row],[_Res3Text]],FIND("[",Tasks[[#This Row],[_Res3Text]]&amp;"[")-1)),res_Initials,0),0)))</f>
        <v>0</v>
      </c>
      <c r="DK92" s="42" t="n">
        <f aca="false">IF(Tasks[[#This Row],[_Res4Text]]="",0,IFERROR(MATCH(TRIM(LEFT(Tasks[[#This Row],[_Res4Text]],FIND("[",Tasks[[#This Row],[_Res4Text]]&amp;"[")-1)),res_Name,0),IFERROR(MATCH(TRIM(LEFT(Tasks[[#This Row],[_Res4Text]],FIND("[",Tasks[[#This Row],[_Res4Text]]&amp;"[")-1)),res_Initials,0),0)))</f>
        <v>0</v>
      </c>
      <c r="DL92" s="42" t="str">
        <f aca="false">IF(Tasks[[#This Row],[_Res1Text]]="","",IF(Tasks[[#This Row],[_Res1Row]]&gt;0,INDEX(res_Name,Tasks[[#This Row],[_Res1Row]]),TRIM(LEFT(Tasks[[#This Row],[_Res1Text]],FIND("[",Tasks[[#This Row],[_Res1Text]]&amp;"[")-1))))</f>
        <v/>
      </c>
      <c r="DM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2" s="42" t="n">
        <f aca="false">IF(NOT(Tasks[[#This Row],[_IsLeaf]]=1),0,(Tasks[[#This Row],[_Resource1]]&lt;&gt;"")+(Tasks[[#This Row],[_Res2]]&lt;&gt;"")+(Tasks[[#This Row],[_Res3]]&lt;&gt;"")+(Tasks[[#This Row],[_Res4]]&lt;&gt;""))</f>
        <v>0</v>
      </c>
      <c r="DO92" s="42" t="str">
        <f aca="false">IF(Tasks[[#This Row],[_Res2Text]]="","",IF(Tasks[[#This Row],[_Res2Row]]&gt;0,INDEX(res_Name,Tasks[[#This Row],[_Res2Row]]),TRIM(LEFT(Tasks[[#This Row],[_Res2Text]],FIND("[",Tasks[[#This Row],[_Res2Text]]&amp;"[")-1))))</f>
        <v/>
      </c>
      <c r="DP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2" s="42" t="n">
        <f aca="false">IF(OR(NOT(Tasks[[#This Row],[_IsLeaf]]=1),Tasks[[#This Row],[_Res2Row]]=0),0,N(Tasks[[#This Row],[_Days]])*HoursPerDay*IF(Tasks[[#This Row],[_Res2Units]]="",DefaultUnits,Tasks[[#This Row],[_Res2Units]]))</f>
        <v>0</v>
      </c>
      <c r="DR92" s="42" t="n">
        <f aca="false">IF(AND(AND(Tasks[[#This Row],[_IsLeaf]]=1,Tasks[[#This Row],[_LeafTotalWork]]&gt;0),Tasks[[#This Row],[_Res2Work]]&gt;0),Tasks[[#This Row],[_Res2Work]]/(Tasks[[#This Row],[_FinishWorkday]]-Tasks[[#This Row],[_StartWorkday]]+1),0)</f>
        <v>0</v>
      </c>
      <c r="DS92" s="42" t="n">
        <f aca="false">Tasks[[#This Row],[_Res2WorkPerWD]]*MAX(0,Tasks[[#This Row],[_StartWorkday]]-1)</f>
        <v>0</v>
      </c>
      <c r="DT92" s="42" t="n">
        <f aca="false">Tasks[[#This Row],[_Res2Work]]*Tasks[[#This Row],[_LeafProgress]]</f>
        <v>0</v>
      </c>
      <c r="DU92" s="42" t="str">
        <f aca="false">IF(Tasks[[#This Row],[_Res3Text]]="","",IF(Tasks[[#This Row],[_Res3Row]]&gt;0,INDEX(res_Name,Tasks[[#This Row],[_Res3Row]]),TRIM(LEFT(Tasks[[#This Row],[_Res3Text]],FIND("[",Tasks[[#This Row],[_Res3Text]]&amp;"[")-1))))</f>
        <v/>
      </c>
      <c r="DV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2" s="42" t="n">
        <f aca="false">IF(OR(NOT(Tasks[[#This Row],[_IsLeaf]]=1),Tasks[[#This Row],[_Res3Row]]=0),0,N(Tasks[[#This Row],[_Days]])*HoursPerDay*IF(Tasks[[#This Row],[_Res3Units]]="",DefaultUnits,Tasks[[#This Row],[_Res3Units]]))</f>
        <v>0</v>
      </c>
      <c r="DX92" s="42" t="n">
        <f aca="false">IF(AND(AND(Tasks[[#This Row],[_IsLeaf]]=1,Tasks[[#This Row],[_LeafTotalWork]]&gt;0),Tasks[[#This Row],[_Res3Work]]&gt;0),Tasks[[#This Row],[_Res3Work]]/(Tasks[[#This Row],[_FinishWorkday]]-Tasks[[#This Row],[_StartWorkday]]+1),0)</f>
        <v>0</v>
      </c>
      <c r="DY92" s="42" t="n">
        <f aca="false">Tasks[[#This Row],[_Res3WorkPerWD]]*MAX(0,Tasks[[#This Row],[_StartWorkday]]-1)</f>
        <v>0</v>
      </c>
      <c r="DZ92" s="42" t="n">
        <f aca="false">Tasks[[#This Row],[_Res3Work]]*Tasks[[#This Row],[_LeafProgress]]</f>
        <v>0</v>
      </c>
      <c r="EA92" s="42" t="str">
        <f aca="false">IF(Tasks[[#This Row],[_Res4Text]]="","",IF(Tasks[[#This Row],[_Res4Row]]&gt;0,INDEX(res_Name,Tasks[[#This Row],[_Res4Row]]),TRIM(LEFT(Tasks[[#This Row],[_Res4Text]],FIND("[",Tasks[[#This Row],[_Res4Text]]&amp;"[")-1))))</f>
        <v/>
      </c>
      <c r="EB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2" s="42" t="n">
        <f aca="false">IF(OR(NOT(Tasks[[#This Row],[_IsLeaf]]=1),Tasks[[#This Row],[_Res4Row]]=0),0,N(Tasks[[#This Row],[_Days]])*HoursPerDay*IF(Tasks[[#This Row],[_Res4Units]]="",DefaultUnits,Tasks[[#This Row],[_Res4Units]]))</f>
        <v>0</v>
      </c>
      <c r="ED92" s="42" t="n">
        <f aca="false">IF(AND(AND(Tasks[[#This Row],[_IsLeaf]]=1,Tasks[[#This Row],[_LeafTotalWork]]&gt;0),Tasks[[#This Row],[_Res4Work]]&gt;0),Tasks[[#This Row],[_Res4Work]]/(Tasks[[#This Row],[_FinishWorkday]]-Tasks[[#This Row],[_StartWorkday]]+1),0)</f>
        <v>0</v>
      </c>
      <c r="EE92" s="42" t="n">
        <f aca="false">Tasks[[#This Row],[_Res4WorkPerWD]]*MAX(0,Tasks[[#This Row],[_StartWorkday]]-1)</f>
        <v>0</v>
      </c>
      <c r="EF92" s="42" t="n">
        <f aca="false">Tasks[[#This Row],[_Res4Work]]*Tasks[[#This Row],[_LeafProgress]]</f>
        <v>0</v>
      </c>
      <c r="EG92" s="42" t="n">
        <f aca="false">IF(ISNUMBER(Tasks[[#This Row],[% Complete]]),Tasks[[#This Row],[% Complete]],IF(Tasks[[#This Row],[Stage]]="",0,IFERROR(INDEX(stg_Pct,MATCH(Tasks[[#This Row],[Stage]],stg_Name,0)),0)))</f>
        <v>0</v>
      </c>
      <c r="EH92" s="42" t="n">
        <f aca="false">IF(NOT(Tasks[[#This Row],[_IsLeaf]]=1),0,IF(N(Tasks[[#This Row],[Actual Finish]])&gt;0,1,MIN(1,Tasks[[#This Row],[_Pct]])))</f>
        <v>0</v>
      </c>
      <c r="EI92" s="42" t="n">
        <f aca="false">IF(OR(NOT(Tasks[[#This Row],[_IsLeaf]]=1),Tasks[[#This Row],[_Res1Row]]=0),0,N(Tasks[[#This Row],[_Days]])*HoursPerDay*IF(Tasks[[#This Row],[_Units1]]="",DefaultUnits,Tasks[[#This Row],[_Units1]]))</f>
        <v>0</v>
      </c>
      <c r="EJ92" s="42" t="n">
        <f aca="false">Tasks[[#This Row],[_LeafWork]]+Tasks[[#This Row],[_Res2Work]]+Tasks[[#This Row],[_Res3Work]]+Tasks[[#This Row],[_Res4Work]]</f>
        <v>0</v>
      </c>
      <c r="EK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2" s="42" t="n">
        <f aca="false">IF(NOT(Tasks[[#This Row],[_IsLeaf]]=1),0,MAX(_xlfn.MAXIFS(Tasks[_Row],Tasks[_Pred1UID],Tasks[[#This Row],[UID]]),_xlfn.MAXIFS(Tasks[_Row],Tasks[_Pred2UID],Tasks[[#This Row],[UID]]),_xlfn.MAXIFS(Tasks[_Row],Tasks[_Pred3UID],Tasks[[#This Row],[UID]]),_xlfn.MAXIFS(Tasks[_Row],Tasks[_Pred4UID],Tasks[[#This Row],[UID]])))</f>
        <v>0</v>
      </c>
      <c r="ET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2" s="89" t="str">
        <f aca="false">IF(NOT(Tasks[[#This Row],[_IsLeaf]]=1),"",IF(N(Tasks[[#This Row],[_Days]])&lt;=0,Tasks[[#This Row],[_LeafLateFinish]],WORKDAY.INTL(Tasks[[#This Row],[_LeafLateFinish]],-(Tasks[[#This Row],[_Days]]-1),WorkWeek,Holidays)))</f>
        <v/>
      </c>
      <c r="EW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2" s="88" t="b">
        <f aca="false">AND(Tasks[[#This Row],[_IsLeaf]]=1,Tasks[[#This Row],[_LeafProgress]]&lt;1,N(Tasks[[#This Row],[_LeafTotalSlack]])&lt;=CriticalSlackDays)</f>
        <v>0</v>
      </c>
      <c r="EY92" s="42" t="n">
        <f aca="false">IF(AND(Tasks[[#This Row],[_IsLeaf]]=1,Tasks[[#This Row],[_ConstraintCode]]=1,Tasks[[#This Row],[Mode]]&lt;&gt;"Manual",N(Tasks[[#This Row],[Actual Start]])=0),MAX(0,N(Tasks[[#This Row],[Free Slack]])),0)</f>
        <v>0</v>
      </c>
      <c r="EZ92" s="89" t="str">
        <f aca="false">IF(NOT(Tasks[[#This Row],[_IsLeaf]]=1),"",IF(Tasks[[#This Row],[_AlapShift]]=0,Tasks[[#This Row],[_LeafCalcStart]],WORKDAY.INTL(Tasks[[#This Row],[_LeafCalcStart]],Tasks[[#This Row],[_AlapShift]],WorkWeek,Holidays)))</f>
        <v/>
      </c>
      <c r="FA92" s="89" t="str">
        <f aca="false">IF(NOT(Tasks[[#This Row],[_IsLeaf]]=1),"",IF(Tasks[[#This Row],[_AlapShift]]=0,Tasks[[#This Row],[_LeafCalcFinish]],WORKDAY.INTL(Tasks[[#This Row],[_LeafCalcFinish]],Tasks[[#This Row],[_AlapShift]],WorkWeek,Holidays)))</f>
        <v/>
      </c>
      <c r="FB92" s="89" t="str">
        <f aca="false">IF(NOT(Tasks[[#This Row],[_IsLeaf]]=1),"",IF(Tasks[[#This Row],[_AlapShift]]=0,Tasks[[#This Row],[_LeafFcstStart]],WORKDAY.INTL(Tasks[[#This Row],[_LeafFcstStart]],Tasks[[#This Row],[_AlapShift]],WorkWeek,Holidays)))</f>
        <v/>
      </c>
      <c r="FC92" s="89" t="str">
        <f aca="false">IF(NOT(Tasks[[#This Row],[_IsLeaf]]=1),"",IF(Tasks[[#This Row],[_AlapShift]]=0,Tasks[[#This Row],[_LeafFcstFinish]],WORKDAY.INTL(Tasks[[#This Row],[_LeafFcstFinish]],Tasks[[#This Row],[_AlapShift]],WorkWeek,Holidays)))</f>
        <v/>
      </c>
      <c r="FD92" s="89" t="str">
        <f aca="false">IF(Tasks[[#This Row],[Task Name]]="","",IF(Tasks[[#This Row],[_IsSummary]],MIN(INDEX(Tasks[_ShownCalcStart],Tasks[[#This Row],[_Row]]+1):INDEX(Tasks[_ShownCalcStart],Tasks[[#This Row],[_Row]]+Tasks[[#This Row],[_Descendants]])),Tasks[[#This Row],[_ShownCalcStart]]))</f>
        <v/>
      </c>
      <c r="FE92" s="89" t="str">
        <f aca="false">IF(Tasks[[#This Row],[Task Name]]="","",IF(Tasks[[#This Row],[_IsSummary]],MAX(INDEX(Tasks[_ShownCalcFinish],Tasks[[#This Row],[_Row]]+1):INDEX(Tasks[_ShownCalcFinish],Tasks[[#This Row],[_Row]]+Tasks[[#This Row],[_Descendants]])),Tasks[[#This Row],[_ShownCalcFinish]]))</f>
        <v/>
      </c>
      <c r="FF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2" s="42" t="n">
        <f aca="false">IF(AND(Tasks[[#This Row],[_IsLeaf]]=1,Tasks[[#This Row],[_LeafTotalWork]]&gt;0),NETWORKDAYS.INTL(ProjectStart,Tasks[[#This Row],[_ShownFcstStart]],WorkWeek,Holidays),0)</f>
        <v>0</v>
      </c>
      <c r="FS92" s="42" t="n">
        <f aca="false">IF(AND(Tasks[[#This Row],[_IsLeaf]]=1,Tasks[[#This Row],[_LeafTotalWork]]&gt;0),MAX(Tasks[[#This Row],[_StartWorkday]],NETWORKDAYS.INTL(ProjectStart,Tasks[[#This Row],[_ShownFcstFinish]],WorkWeek,Holidays)),0)</f>
        <v>0</v>
      </c>
      <c r="FT92" s="42" t="n">
        <f aca="false">IF(AND(Tasks[[#This Row],[_IsLeaf]]=1,Tasks[[#This Row],[_LeafTotalWork]]&gt;0),Tasks[[#This Row],[_LeafWork]]/(Tasks[[#This Row],[_FinishWorkday]]-Tasks[[#This Row],[_StartWorkday]]+1),0)</f>
        <v>0</v>
      </c>
      <c r="FU92" s="42" t="n">
        <f aca="false">Tasks[[#This Row],[_WorkPerWorkday]]*(Tasks[[#This Row],[_StartWorkday]]-1)</f>
        <v>-0</v>
      </c>
      <c r="FV92" s="42" t="n">
        <f aca="false">IF(Tasks[[#This Row],[_IsLeaf]]=1,MAX(N(Tasks[[#This Row],[_Days]]),0.1),0)</f>
        <v>0</v>
      </c>
      <c r="FW92" s="42" t="n">
        <f aca="false">Tasks[[#This Row],[_WeightDur]]*Tasks[[#This Row],[_LeafProgress]]</f>
        <v>0</v>
      </c>
      <c r="FX92" s="42" t="n">
        <f aca="false">Tasks[[#This Row],[_WeightDur]]*Tasks[[#This Row],[_PlannedPct]]</f>
        <v>0</v>
      </c>
      <c r="FY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2" s="42" t="str">
        <f aca="false">IF(AND(Tasks[[#This Row],[_IsLeaf]]=1,N(Tasks[[#This Row],[_Days]])=0,Tasks[[#This Row],[_LeafProgress]]&lt;1),Tasks[[#This Row],[_ShownFcstFinish]]+Tasks[[#This Row],[_Row]]/100000,"")</f>
        <v/>
      </c>
      <c r="GA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2" s="42" t="str">
        <f aca="false">IF(Tasks[[#This Row],[Task Name]]="","",LEFT(Tasks[[#This Row],[WBS]],FIND(".",Tasks[[#This Row],[WBS]]&amp;".")-1))</f>
        <v/>
      </c>
      <c r="GC92" s="42" t="str">
        <f aca="false">IF(AND(Tasks[[#This Row],[Task Name]]&lt;&gt;"",Tasks[[#This Row],[_Level]]=1),Tasks[[#This Row],[_Row]],"")</f>
        <v/>
      </c>
      <c r="GD92" s="42" t="str">
        <f aca="false">IF(AND(Tasks[[#This Row],[_IsLeaf]]=1,N(Tasks[[#This Row],[_Days]])=0),Tasks[[#This Row],[Planned Finish]]+Tasks[[#This Row],[_Row]]/100000,"")</f>
        <v/>
      </c>
      <c r="GE92" s="42" t="str">
        <f aca="false">IF(AND(Tasks[[#This Row],[_IsLeaf]]=1,Tasks[[#This Row],[_LeafProgress]]&lt;1,OR(N(Tasks[[#This Row],[Finish Var]])&gt;0,Tasks[[#This Row],[Status]]="Late Start")),MAX(0,Tasks[[#This Row],[Finish Var]])+1-Tasks[[#This Row],[_Row]]/1000000,"")</f>
        <v/>
      </c>
      <c r="GF92" s="42" t="str">
        <f aca="false">IF(AND(Tasks[[#This Row],[_IsLeaf]]=1,N(Tasks[[#This Row],[Actual Start]])=0,Tasks[[#This Row],[_ShownFcstStart]]&gt;=StatusDate,Tasks[[#This Row],[_ShownFcstStart]]&lt;=LookaheadEnd),Tasks[[#This Row],[_ShownFcstStart]]+Tasks[[#This Row],[_Row]]/100000,"")</f>
        <v/>
      </c>
      <c r="GG92" s="42" t="str">
        <f aca="false">IF(AND(Tasks[[#This Row],[_IsLeaf]]=1,Tasks[[#This Row],[_LeafProgress]]&lt;1,Tasks[[#This Row],[_ShownFcstFinish]]&gt;=StatusDate,Tasks[[#This Row],[_ShownFcstFinish]]&lt;=LookaheadEnd),Tasks[[#This Row],[_ShownFcstFinish]]+Tasks[[#This Row],[_Row]]/100000,"")</f>
        <v/>
      </c>
      <c r="GH92" s="42" t="str">
        <f aca="false">IF(Tasks[[#This Row],[_LeafCritical]],Tasks[[#This Row],[_ShownFcstStart]]+Tasks[[#This Row],[_Row]]/100000,"")</f>
        <v/>
      </c>
      <c r="GI92" s="42" t="n">
        <f aca="false">Tasks[[#This Row],[_LeafWork]]*Tasks[[#This Row],[_LeafProgress]]</f>
        <v>0</v>
      </c>
      <c r="GJ92" s="89" t="str">
        <f aca="false">IF(AND(Tasks[[#This Row],[_IsLeaf]]=1,Tasks[[#This Row],[_LeafProgress]]&gt;=1),IF(N(Tasks[[#This Row],[Actual Finish]])&gt;0,Tasks[[#This Row],[Actual Finish]],Tasks[[#This Row],[_ShownFcstFinish]]),"")</f>
        <v/>
      </c>
      <c r="GK92" s="42" t="n">
        <f aca="false">IF(Tasks[[#This Row],[_IsLeaf]]=1,N(Tasks[[#This Row],[Story Points]]),0)</f>
        <v>0</v>
      </c>
      <c r="GL92" s="42" t="str">
        <f aca="false">""</f>
        <v/>
      </c>
      <c r="GM92" s="88" t="b">
        <f aca="false">IF(Tasks[[#This Row],[Task Name]]="",FALSE(),AND(Tasks[[#This Row],[_IsLeaf]]=1,N(Tasks[[#This Row],[_Days]])=0))</f>
        <v>0</v>
      </c>
      <c r="GN92" s="89" t="n">
        <f aca="false">IF(Tasks[[#This Row],[Task Name]]="",0,IF(AND(Tasks[[#This Row],[_IsLeaf]]=1,NOT(Tasks[[#This Row],[_IsMilestone]]),N(Tasks[[#This Row],[Progress]])&gt;0),Tasks[[#This Row],[Start]],0))</f>
        <v>0</v>
      </c>
      <c r="GO92" s="89" t="n">
        <f aca="false">IF(Tasks[[#This Row],[_DoneFrom]]=0,0,IF(Tasks[[#This Row],[Progress]]&gt;=1,Tasks[[#This Row],[Finish]],MAX(Tasks[[#This Row],[_DoneFrom]],Tasks[[#This Row],[Start]]+ROUND((Tasks[[#This Row],[Finish]]-Tasks[[#This Row],[Start]]+1)*Tasks[[#This Row],[Progress]],0)-1)))</f>
        <v>0</v>
      </c>
      <c r="GP92" s="89" t="n">
        <f aca="false">IF(Tasks[[#This Row],[Task Name]]="",0,IF(OR(NOT(Tasks[[#This Row],[_IsLeaf]]=1),Tasks[[#This Row],[_IsMilestone]],N(Tasks[[#This Row],[Progress]])&gt;=1),0,IF(Tasks[[#This Row],[_DoneTo]]&gt;0,Tasks[[#This Row],[_DoneTo]]+1,Tasks[[#This Row],[Start]])))</f>
        <v>0</v>
      </c>
      <c r="GQ92" s="89" t="n">
        <f aca="false">IF(Tasks[[#This Row],[_RemFrom]]=0,0,Tasks[[#This Row],[Finish]])</f>
        <v>0</v>
      </c>
      <c r="GR92" s="88" t="b">
        <f aca="false">IF(Tasks[[#This Row],[Task Name]]="",FALSE(),OR(NOT(BaselineSet),N(Tasks[[#This Row],[Baseline Start]])&gt;0))</f>
        <v>0</v>
      </c>
      <c r="GS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2" s="90" t="str">
        <f aca="false">IF(Tasks[[#This Row],[_IsLeaf]]=1,Tasks[[#This Row],[_Row]],"")</f>
        <v/>
      </c>
      <c r="GW92" s="90" t="str">
        <f aca="false">IFERROR(INDEX(Tasks[UID],SMALL(Tasks[_PickKey],Tasks[[#This Row],[_Row]]))&amp;" "&amp;INDEX(Tasks[Task Name],SMALL(Tasks[_PickKey],Tasks[[#This Row],[_Row]])),"")</f>
        <v/>
      </c>
      <c r="GX92" s="42" t="str">
        <f aca="false">IF(Tasks[[#This Row],[Task Name]]="","",IF(Tasks[[#This Row],[_IsSummary]],NETWORKDAYS.INTL(Tasks[[#This Row],[Start]],Tasks[[#This Row],[Finish]],WorkWeek,Holidays),N(Tasks[[#This Row],[_Days]])))</f>
        <v/>
      </c>
    </row>
    <row r="93" customFormat="false" ht="15" hidden="false" customHeight="false" outlineLevel="0" collapsed="false">
      <c r="A93" s="21" t="str">
        <f aca="false">IF(Tasks[[#This Row],[Task Name]]="","",COUNTA(Tasks[[#Headers],[Task Name]]:Tasks[[#This Row],[Task Name]])-1)</f>
        <v/>
      </c>
      <c r="B93" s="22" t="n">
        <v>101</v>
      </c>
      <c r="C93" s="22"/>
      <c r="D93" s="23"/>
      <c r="E93" s="22"/>
      <c r="F93" s="23"/>
      <c r="G93" s="22"/>
      <c r="H93" s="22"/>
      <c r="I93" s="23"/>
      <c r="J93" s="22"/>
      <c r="K93" s="22"/>
      <c r="L93" s="23"/>
      <c r="M93" s="22"/>
      <c r="N93" s="22"/>
      <c r="O93" s="23"/>
      <c r="P93" s="22"/>
      <c r="Q93" s="22"/>
      <c r="R93" s="23"/>
      <c r="S93" s="23"/>
      <c r="T93" s="83"/>
      <c r="U93" s="23"/>
      <c r="V93" s="83"/>
      <c r="W93" s="23"/>
      <c r="X93" s="83"/>
      <c r="Y93" s="23"/>
      <c r="Z93" s="83"/>
      <c r="AA93" s="23"/>
      <c r="AB93" s="23"/>
      <c r="AC93" s="7"/>
      <c r="AD93" s="7"/>
      <c r="AE93" s="62" t="str">
        <f aca="false">IF(Tasks[[#This Row],[Task Name]]="","",IF(Tasks[[#This Row],[_IsSummary]],MIN(INDEX(Tasks[_ShownFcstStart],Tasks[[#This Row],[_Row]]+1):INDEX(Tasks[_ShownFcstStart],Tasks[[#This Row],[_Row]]+Tasks[[#This Row],[_Descendants]])),Tasks[[#This Row],[_ShownFcstStart]]))</f>
        <v/>
      </c>
      <c r="AF93" s="62" t="str">
        <f aca="false">IF(Tasks[[#This Row],[Task Name]]="","",IF(Tasks[[#This Row],[_IsSummary]],MAX(INDEX(Tasks[_ShownFcstFinish],Tasks[[#This Row],[_Row]]+1):INDEX(Tasks[_ShownFcstFinish],Tasks[[#This Row],[_Row]]+Tasks[[#This Row],[_Descendants]])),Tasks[[#This Row],[_ShownFcstFinish]]))</f>
        <v/>
      </c>
      <c r="AG93" s="21" t="str">
        <f aca="false">""</f>
        <v/>
      </c>
      <c r="AH93" s="23"/>
      <c r="AI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3" s="7"/>
      <c r="AK93" s="22"/>
      <c r="AL93" s="23"/>
      <c r="AM93" s="7"/>
      <c r="AN93" s="46" t="str">
        <f aca="false">IF(Tasks[[#This Row],[Task Name]]="","",IF(Tasks[[#This Row],[Finish]]&gt;=Tasks[[#This Row],[Planned Finish]],NETWORKDAYS.INTL(Tasks[[#This Row],[Planned Finish]],Tasks[[#This Row],[Finish]],WorkWeek,Holidays)-1,1-NETWORKDAYS.INTL(Tasks[[#This Row],[Finish]],Tasks[[#This Row],[Planned Finish]],WorkWeek,Holidays)))</f>
        <v/>
      </c>
      <c r="AO93" s="21" t="str">
        <f aca="false">IF(Tasks[[#This Row],[Task Name]]="","",IF(Tasks[[#This Row],[Progress]]&gt;=1,"Complete",IF(OR(N(Tasks[[#This Row],[Actual Start]])&gt;0,Tasks[[#This Row],[Progress]]&gt;0),IF(Tasks[[#This Row],[Finish Var]]&gt;0,"Behind","In Progress"),IF(Tasks[[#This Row],[Planned Start]]&lt;StatusDate,"Late Start","Not Started"))))</f>
        <v/>
      </c>
      <c r="AP93" s="21" t="str">
        <f aca="false">IF(Tasks[[#This Row],[Task Name]]="","",IF(IF(Tasks[[#This Row],[_IsSummary]],COUNTIF(INDEX(Tasks[_LeafCritical],Tasks[[#This Row],[_Row]]+1):INDEX(Tasks[_LeafCritical],Tasks[[#This Row],[_Row]]+Tasks[[#This Row],[_Descendants]]),TRUE())&gt;0,Tasks[[#This Row],[_LeafCritical]]),"Yes",""))</f>
        <v/>
      </c>
      <c r="AQ93" s="62" t="str">
        <f aca="false">IF(Tasks[[#This Row],[Task Name]]="","",IF(N(Tasks[[#This Row],[Baseline Start]])&gt;0,Tasks[[#This Row],[Baseline Start]],Tasks[[#This Row],[_CalcStart]]))</f>
        <v/>
      </c>
      <c r="AR93" s="62" t="str">
        <f aca="false">IF(Tasks[[#This Row],[Task Name]]="","",IF(N(Tasks[[#This Row],[Baseline Finish]])&gt;0,Tasks[[#This Row],[Baseline Finish]],Tasks[[#This Row],[_CalcFinish]]))</f>
        <v/>
      </c>
      <c r="AS93" s="46" t="str">
        <f aca="false">IF(Tasks[[#This Row],[Task Name]]="","",IF(Tasks[[#This Row],[Start]]&gt;=Tasks[[#This Row],[Planned Start]],NETWORKDAYS.INTL(Tasks[[#This Row],[Planned Start]],Tasks[[#This Row],[Start]],WorkWeek,Holidays)-1,1-NETWORKDAYS.INTL(Tasks[[#This Row],[Start]],Tasks[[#This Row],[Planned Start]],WorkWeek,Holidays)))</f>
        <v/>
      </c>
      <c r="AT93" s="62" t="str">
        <f aca="false">IF(Tasks[[#This Row],[Task Name]]="","",IF(Tasks[[#This Row],[_IsSummary]],MIN(INDEX(Tasks[_LeafLateStart],Tasks[[#This Row],[_Row]]+1):INDEX(Tasks[_LeafLateStart],Tasks[[#This Row],[_Row]]+Tasks[[#This Row],[_Descendants]])),Tasks[[#This Row],[_LeafLateStart]]))</f>
        <v/>
      </c>
      <c r="AU93" s="62" t="str">
        <f aca="false">IF(Tasks[[#This Row],[Task Name]]="","",IF(Tasks[[#This Row],[_IsSummary]],MAX(INDEX(Tasks[_LeafLateFinish],Tasks[[#This Row],[_Row]]+1):INDEX(Tasks[_LeafLateFinish],Tasks[[#This Row],[_Row]]+Tasks[[#This Row],[_Descendants]])),Tasks[[#This Row],[_LeafLateFinish]]))</f>
        <v/>
      </c>
      <c r="AV93" s="46" t="str">
        <f aca="false">IF(Tasks[[#This Row],[Task Name]]="","",IF(Tasks[[#This Row],[_IsSummary]],MIN(INDEX(Tasks[_LeafTotalSlack],Tasks[[#This Row],[_Row]]+1):INDEX(Tasks[_LeafTotalSlack],Tasks[[#This Row],[_Row]]+Tasks[[#This Row],[_Descendants]])),Tasks[[#This Row],[_LeafTotalSlack]]))</f>
        <v/>
      </c>
      <c r="AW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4"/>
      <c r="BA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t="str">
        <f aca="false">IF(Tasks[[#This Row],[Task Name]]="","",IF(Tasks[[#This Row],[_Level]]&lt;=OutlineShowLevel,"Yes","No"))</f>
        <v/>
      </c>
      <c r="BE93" s="85" t="str">
        <f aca="false">IF(Tasks[[#This Row],[Task Name]]="","",IF(Tasks[[#This Row],[_IsSummary]],SUM(INDEX(Tasks[_LeafTotalWork],Tasks[[#This Row],[_Row]]+1):INDEX(Tasks[_LeafTotalWork],Tasks[[#This Row],[_Row]]+Tasks[[#This Row],[_Descendants]])),Tasks[[#This Row],[_LeafTotalWork]]))</f>
        <v/>
      </c>
      <c r="BF93" s="23"/>
      <c r="BG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t="str">
        <f aca="false">""</f>
        <v/>
      </c>
      <c r="BI93" s="86"/>
      <c r="BJ93" s="22"/>
      <c r="BK93" s="46" t="str">
        <f aca="false">IF(OR(Tasks[[#This Row],[Task Name]]="",Tasks[[#This Row],[Baseline Duration]]=""),"",Tasks[[#This Row],[_SpanDays]]-N(Tasks[[#This Row],[Baseline Duration]]))</f>
        <v/>
      </c>
      <c r="BL93" s="85" t="str">
        <f aca="false">IF(OR(Tasks[[#This Row],[Task Name]]="",Tasks[[#This Row],[Baseline Work]]=""),"",Tasks[[#This Row],[Work]]-N(Tasks[[#This Row],[Baseline Work]]))</f>
        <v/>
      </c>
      <c r="BM93" s="62" t="str">
        <f aca="false">IF(Tasks[[#This Row],[Task Name]]="","",IF(OR(TakeBaseline="Yes",N(Tasks[[#This Row],[Baseline Start]])=0),Tasks[[#This Row],[Start]],Tasks[[#This Row],[Baseline Start]]))</f>
        <v/>
      </c>
      <c r="BN93" s="62" t="str">
        <f aca="false">IF(Tasks[[#This Row],[Task Name]]="","",IF(OR(TakeBaseline="Yes",N(Tasks[[#This Row],[Baseline Finish]])=0),Tasks[[#This Row],[Finish]],Tasks[[#This Row],[Baseline Finish]]))</f>
        <v/>
      </c>
      <c r="BO93" s="21" t="str">
        <f aca="false">IF(Tasks[[#This Row],[Task Name]]="","",IF(OR(TakeBaseline="Yes",N(Tasks[[#This Row],[Baseline Duration]])=0),Tasks[[#This Row],[_SpanDays]],Tasks[[#This Row],[Baseline Duration]]))</f>
        <v/>
      </c>
      <c r="BP93" s="85" t="str">
        <f aca="false">IF(Tasks[[#This Row],[Task Name]]="","",IF(OR(TakeBaseline="Yes",N(Tasks[[#This Row],[Baseline Work]])=0),Tasks[[#This Row],[Work]],Tasks[[#This Row],[Baseline Work]]))</f>
        <v/>
      </c>
      <c r="BQ93" s="7"/>
      <c r="BR93" s="7"/>
      <c r="BS93" s="22"/>
      <c r="BT93" s="87"/>
      <c r="BU93" s="42" t="str">
        <f aca="false">IF(Tasks[[#This Row],[Task Name]]="","",MAX(1,N(Tasks[[#This Row],[Level]])))</f>
        <v/>
      </c>
      <c r="BV93" s="42" t="n">
        <f aca="false">ROW()-ROW(Tasks[[#Headers],[ID]])</f>
        <v>88</v>
      </c>
      <c r="BW93" s="42" t="n">
        <f aca="false">IF(OR(Tasks[[#This Row],[Task Name]]="",Tasks[[#This Row],[_Level]]&lt;=1),0,IFERROR(LOOKUP(2,1/(Tasks[[#Headers],[_Level]]:Tasks[[#This Row],[_Level]]=Tasks[[#This Row],[_Level]]-1),ROW(Tasks[[#Headers],[_Level]]:Tasks[[#This Row],[_Level]])),0))</f>
        <v>0</v>
      </c>
      <c r="BX93" s="42" t="n">
        <f aca="false">IFERROR(N(INDEX(Tasks[_Level],Tasks[[#This Row],[_Row]]+1)),0)</f>
        <v>0</v>
      </c>
      <c r="BY93" s="88" t="b">
        <f aca="false">AND(Tasks[[#This Row],[Task Name]]&lt;&gt;"",Tasks[[#This Row],[_NextLevel]]&gt;Tasks[[#This Row],[_Level]])</f>
        <v>0</v>
      </c>
      <c r="BZ93" s="42" t="n">
        <f aca="false">IF(Tasks[[#This Row],[_IsSummary]],COUNTIF(Tasks[WBS],Tasks[[#This Row],[WBS]]&amp;".*"),0)</f>
        <v>0</v>
      </c>
      <c r="CA93" s="42" t="n">
        <f aca="false">IF(AND(Tasks[[#This Row],[Task Name]]&lt;&gt;"",NOT(Tasks[[#This Row],[_IsSummary]])),1,0)</f>
        <v>0</v>
      </c>
      <c r="CB93" s="42" t="n">
        <f aca="false">IF(N(Tasks[[#This Row],[_Pred1UID]])=0,0,IFERROR(MATCH(Tasks[[#This Row],[_Pred1UID]],Tasks[UID],0),-1))</f>
        <v>0</v>
      </c>
      <c r="CC93" s="42" t="n">
        <f aca="false">IF(N(Tasks[[#This Row],[_Pred2UID]])=0,0,IFERROR(MATCH(Tasks[[#This Row],[_Pred2UID]],Tasks[UID],0),-1))</f>
        <v>0</v>
      </c>
      <c r="CD93" s="42" t="n">
        <f aca="false">IF(N(Tasks[[#This Row],[_Pred3UID]])=0,0,IFERROR(MATCH(Tasks[[#This Row],[_Pred3UID]],Tasks[UID],0),-1))</f>
        <v>0</v>
      </c>
      <c r="CE93" s="42" t="n">
        <f aca="false">IF(N(Tasks[[#This Row],[_Pred4UID]])=0,0,IFERROR(MATCH(Tasks[[#This Row],[_Pred4UID]],Tasks[UID],0),-1))</f>
        <v>0</v>
      </c>
      <c r="CF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3" s="89" t="n">
        <f aca="false">IF(OR(Tasks[[#This Row],[_ConstraintCode]]=2,Tasks[[#This Row],[_ConstraintCode]]=3,Tasks[[#This Row],[_ConstraintCode]]=4,Tasks[[#This Row],[_ConstraintCode]]=6),Tasks[[#This Row],[_ConstraintStart]],0)</f>
        <v>0</v>
      </c>
      <c r="CI93" s="89" t="n">
        <f aca="false">IF(OR(Tasks[[#This Row],[_ConstraintCode]]=2,Tasks[[#This Row],[_ConstraintCode]]=3,Tasks[[#This Row],[_ConstraintCode]]=5,Tasks[[#This Row],[_ConstraintCode]]=7),Tasks[[#This Row],[_ConstraintStart]],2958465)</f>
        <v>2958465</v>
      </c>
      <c r="CJ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3" s="89" t="str">
        <f aca="false">IF(NOT(Tasks[[#This Row],[_IsLeaf]]=1),"",IF(N(Tasks[[#This Row],[_Days]])&lt;=0,Tasks[[#This Row],[_LeafCalcStart]],WORKDAY.INTL(Tasks[[#This Row],[_LeafCalcStart]],Tasks[[#This Row],[_Days]]-1,WorkWeek,Holidays)))</f>
        <v/>
      </c>
      <c r="CL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3" s="42" t="str">
        <f aca="false">IF(Tasks[[#This Row],[_Predecessors]]="","",TRIM(MID(SUBSTITUTE(SUBSTITUTE(SUBSTITUTE(UPPER(Tasks[[#This Row],[_Predecessors]]),";",",")," ",""),",",REPT(" ",99)),1,99)))</f>
        <v/>
      </c>
      <c r="CO93" s="42" t="str">
        <f aca="false">IF(Tasks[[#This Row],[_Pred1Text]]="","",IFERROR(VALUE(LEFT(Tasks[[#This Row],[_Pred1Text]],MIN(FIND("F",Tasks[[#This Row],[_Pred1Text]]&amp;"F"),FIND("S",Tasks[[#This Row],[_Pred1Text]]&amp;"S"),FIND("+",Tasks[[#This Row],[_Pred1Text]]&amp;"+"),FIND("-",Tasks[[#This Row],[_Pred1Text]]&amp;"-"))-1)),""))</f>
        <v/>
      </c>
      <c r="CP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3" s="42" t="str">
        <f aca="false">IF(Tasks[[#This Row],[_Pred1Text]]="","",TRIM(MID(SUBSTITUTE(SUBSTITUTE(SUBSTITUTE(UPPER(Tasks[[#This Row],[_Predecessors]]),";",",")," ",""),",",REPT(" ",99)),100,99)))</f>
        <v/>
      </c>
      <c r="CS93" s="42" t="str">
        <f aca="false">IF(Tasks[[#This Row],[_Pred2Text]]="","",IFERROR(VALUE(LEFT(Tasks[[#This Row],[_Pred2Text]],MIN(FIND("F",Tasks[[#This Row],[_Pred2Text]]&amp;"F"),FIND("S",Tasks[[#This Row],[_Pred2Text]]&amp;"S"),FIND("+",Tasks[[#This Row],[_Pred2Text]]&amp;"+"),FIND("-",Tasks[[#This Row],[_Pred2Text]]&amp;"-"))-1)),""))</f>
        <v/>
      </c>
      <c r="CT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3" s="42" t="str">
        <f aca="false">IF(Tasks[[#This Row],[_Pred2Text]]="","",TRIM(MID(SUBSTITUTE(SUBSTITUTE(SUBSTITUTE(UPPER(Tasks[[#This Row],[_Predecessors]]),";",",")," ",""),",",REPT(" ",99)),199,99)))</f>
        <v/>
      </c>
      <c r="CW93" s="42" t="str">
        <f aca="false">IF(Tasks[[#This Row],[_Pred3Text]]="","",IFERROR(VALUE(LEFT(Tasks[[#This Row],[_Pred3Text]],MIN(FIND("F",Tasks[[#This Row],[_Pred3Text]]&amp;"F"),FIND("S",Tasks[[#This Row],[_Pred3Text]]&amp;"S"),FIND("+",Tasks[[#This Row],[_Pred3Text]]&amp;"+"),FIND("-",Tasks[[#This Row],[_Pred3Text]]&amp;"-"))-1)),""))</f>
        <v/>
      </c>
      <c r="CX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3" s="42" t="str">
        <f aca="false">IF(Tasks[[#This Row],[_Pred3Text]]="","",TRIM(MID(SUBSTITUTE(SUBSTITUTE(SUBSTITUTE(UPPER(Tasks[[#This Row],[_Predecessors]]),";",",")," ",""),",",REPT(" ",99)),298,99)))</f>
        <v/>
      </c>
      <c r="DA93" s="42" t="str">
        <f aca="false">IF(Tasks[[#This Row],[_Pred4Text]]="","",IFERROR(VALUE(LEFT(Tasks[[#This Row],[_Pred4Text]],MIN(FIND("F",Tasks[[#This Row],[_Pred4Text]]&amp;"F"),FIND("S",Tasks[[#This Row],[_Pred4Text]]&amp;"S"),FIND("+",Tasks[[#This Row],[_Pred4Text]]&amp;"+"),FIND("-",Tasks[[#This Row],[_Pred4Text]]&amp;"-"))-1)),""))</f>
        <v/>
      </c>
      <c r="DB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3" s="42" t="str">
        <f aca="false">IF(OR(Tasks[[#This Row],[Task Name]]="",Tasks[[#This Row],[_Resources]]=""),"",TRIM(MID(SUBSTITUTE(Tasks[[#This Row],[_Resources]],",",REPT(" ",99)),1,99)))</f>
        <v/>
      </c>
      <c r="DE93" s="42" t="str">
        <f aca="false">IF(Tasks[[#This Row],[_Res1Text]]="","",TRIM(MID(SUBSTITUTE(Tasks[[#This Row],[_Resources]],",",REPT(" ",99)),100,99)))</f>
        <v/>
      </c>
      <c r="DF93" s="42" t="str">
        <f aca="false">IF(Tasks[[#This Row],[_Res2Text]]="","",TRIM(MID(SUBSTITUTE(Tasks[[#This Row],[_Resources]],",",REPT(" ",99)),199,99)))</f>
        <v/>
      </c>
      <c r="DG93" s="42" t="str">
        <f aca="false">IF(Tasks[[#This Row],[_Res3Text]]="","",TRIM(MID(SUBSTITUTE(Tasks[[#This Row],[_Resources]],",",REPT(" ",99)),298,99)))</f>
        <v/>
      </c>
      <c r="DH93" s="42" t="n">
        <f aca="false">IF(Tasks[[#This Row],[_Res1Text]]="",0,IFERROR(MATCH(TRIM(LEFT(Tasks[[#This Row],[_Res1Text]],FIND("[",Tasks[[#This Row],[_Res1Text]]&amp;"[")-1)),res_Name,0),IFERROR(MATCH(TRIM(LEFT(Tasks[[#This Row],[_Res1Text]],FIND("[",Tasks[[#This Row],[_Res1Text]]&amp;"[")-1)),res_Initials,0),0)))</f>
        <v>0</v>
      </c>
      <c r="DI93" s="42" t="n">
        <f aca="false">IF(Tasks[[#This Row],[_Res2Text]]="",0,IFERROR(MATCH(TRIM(LEFT(Tasks[[#This Row],[_Res2Text]],FIND("[",Tasks[[#This Row],[_Res2Text]]&amp;"[")-1)),res_Name,0),IFERROR(MATCH(TRIM(LEFT(Tasks[[#This Row],[_Res2Text]],FIND("[",Tasks[[#This Row],[_Res2Text]]&amp;"[")-1)),res_Initials,0),0)))</f>
        <v>0</v>
      </c>
      <c r="DJ93" s="42" t="n">
        <f aca="false">IF(Tasks[[#This Row],[_Res3Text]]="",0,IFERROR(MATCH(TRIM(LEFT(Tasks[[#This Row],[_Res3Text]],FIND("[",Tasks[[#This Row],[_Res3Text]]&amp;"[")-1)),res_Name,0),IFERROR(MATCH(TRIM(LEFT(Tasks[[#This Row],[_Res3Text]],FIND("[",Tasks[[#This Row],[_Res3Text]]&amp;"[")-1)),res_Initials,0),0)))</f>
        <v>0</v>
      </c>
      <c r="DK93" s="42" t="n">
        <f aca="false">IF(Tasks[[#This Row],[_Res4Text]]="",0,IFERROR(MATCH(TRIM(LEFT(Tasks[[#This Row],[_Res4Text]],FIND("[",Tasks[[#This Row],[_Res4Text]]&amp;"[")-1)),res_Name,0),IFERROR(MATCH(TRIM(LEFT(Tasks[[#This Row],[_Res4Text]],FIND("[",Tasks[[#This Row],[_Res4Text]]&amp;"[")-1)),res_Initials,0),0)))</f>
        <v>0</v>
      </c>
      <c r="DL93" s="42" t="str">
        <f aca="false">IF(Tasks[[#This Row],[_Res1Text]]="","",IF(Tasks[[#This Row],[_Res1Row]]&gt;0,INDEX(res_Name,Tasks[[#This Row],[_Res1Row]]),TRIM(LEFT(Tasks[[#This Row],[_Res1Text]],FIND("[",Tasks[[#This Row],[_Res1Text]]&amp;"[")-1))))</f>
        <v/>
      </c>
      <c r="DM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3" s="42" t="n">
        <f aca="false">IF(NOT(Tasks[[#This Row],[_IsLeaf]]=1),0,(Tasks[[#This Row],[_Resource1]]&lt;&gt;"")+(Tasks[[#This Row],[_Res2]]&lt;&gt;"")+(Tasks[[#This Row],[_Res3]]&lt;&gt;"")+(Tasks[[#This Row],[_Res4]]&lt;&gt;""))</f>
        <v>0</v>
      </c>
      <c r="DO93" s="42" t="str">
        <f aca="false">IF(Tasks[[#This Row],[_Res2Text]]="","",IF(Tasks[[#This Row],[_Res2Row]]&gt;0,INDEX(res_Name,Tasks[[#This Row],[_Res2Row]]),TRIM(LEFT(Tasks[[#This Row],[_Res2Text]],FIND("[",Tasks[[#This Row],[_Res2Text]]&amp;"[")-1))))</f>
        <v/>
      </c>
      <c r="DP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3" s="42" t="n">
        <f aca="false">IF(OR(NOT(Tasks[[#This Row],[_IsLeaf]]=1),Tasks[[#This Row],[_Res2Row]]=0),0,N(Tasks[[#This Row],[_Days]])*HoursPerDay*IF(Tasks[[#This Row],[_Res2Units]]="",DefaultUnits,Tasks[[#This Row],[_Res2Units]]))</f>
        <v>0</v>
      </c>
      <c r="DR93" s="42" t="n">
        <f aca="false">IF(AND(AND(Tasks[[#This Row],[_IsLeaf]]=1,Tasks[[#This Row],[_LeafTotalWork]]&gt;0),Tasks[[#This Row],[_Res2Work]]&gt;0),Tasks[[#This Row],[_Res2Work]]/(Tasks[[#This Row],[_FinishWorkday]]-Tasks[[#This Row],[_StartWorkday]]+1),0)</f>
        <v>0</v>
      </c>
      <c r="DS93" s="42" t="n">
        <f aca="false">Tasks[[#This Row],[_Res2WorkPerWD]]*MAX(0,Tasks[[#This Row],[_StartWorkday]]-1)</f>
        <v>0</v>
      </c>
      <c r="DT93" s="42" t="n">
        <f aca="false">Tasks[[#This Row],[_Res2Work]]*Tasks[[#This Row],[_LeafProgress]]</f>
        <v>0</v>
      </c>
      <c r="DU93" s="42" t="str">
        <f aca="false">IF(Tasks[[#This Row],[_Res3Text]]="","",IF(Tasks[[#This Row],[_Res3Row]]&gt;0,INDEX(res_Name,Tasks[[#This Row],[_Res3Row]]),TRIM(LEFT(Tasks[[#This Row],[_Res3Text]],FIND("[",Tasks[[#This Row],[_Res3Text]]&amp;"[")-1))))</f>
        <v/>
      </c>
      <c r="DV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3" s="42" t="n">
        <f aca="false">IF(OR(NOT(Tasks[[#This Row],[_IsLeaf]]=1),Tasks[[#This Row],[_Res3Row]]=0),0,N(Tasks[[#This Row],[_Days]])*HoursPerDay*IF(Tasks[[#This Row],[_Res3Units]]="",DefaultUnits,Tasks[[#This Row],[_Res3Units]]))</f>
        <v>0</v>
      </c>
      <c r="DX93" s="42" t="n">
        <f aca="false">IF(AND(AND(Tasks[[#This Row],[_IsLeaf]]=1,Tasks[[#This Row],[_LeafTotalWork]]&gt;0),Tasks[[#This Row],[_Res3Work]]&gt;0),Tasks[[#This Row],[_Res3Work]]/(Tasks[[#This Row],[_FinishWorkday]]-Tasks[[#This Row],[_StartWorkday]]+1),0)</f>
        <v>0</v>
      </c>
      <c r="DY93" s="42" t="n">
        <f aca="false">Tasks[[#This Row],[_Res3WorkPerWD]]*MAX(0,Tasks[[#This Row],[_StartWorkday]]-1)</f>
        <v>0</v>
      </c>
      <c r="DZ93" s="42" t="n">
        <f aca="false">Tasks[[#This Row],[_Res3Work]]*Tasks[[#This Row],[_LeafProgress]]</f>
        <v>0</v>
      </c>
      <c r="EA93" s="42" t="str">
        <f aca="false">IF(Tasks[[#This Row],[_Res4Text]]="","",IF(Tasks[[#This Row],[_Res4Row]]&gt;0,INDEX(res_Name,Tasks[[#This Row],[_Res4Row]]),TRIM(LEFT(Tasks[[#This Row],[_Res4Text]],FIND("[",Tasks[[#This Row],[_Res4Text]]&amp;"[")-1))))</f>
        <v/>
      </c>
      <c r="EB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3" s="42" t="n">
        <f aca="false">IF(OR(NOT(Tasks[[#This Row],[_IsLeaf]]=1),Tasks[[#This Row],[_Res4Row]]=0),0,N(Tasks[[#This Row],[_Days]])*HoursPerDay*IF(Tasks[[#This Row],[_Res4Units]]="",DefaultUnits,Tasks[[#This Row],[_Res4Units]]))</f>
        <v>0</v>
      </c>
      <c r="ED93" s="42" t="n">
        <f aca="false">IF(AND(AND(Tasks[[#This Row],[_IsLeaf]]=1,Tasks[[#This Row],[_LeafTotalWork]]&gt;0),Tasks[[#This Row],[_Res4Work]]&gt;0),Tasks[[#This Row],[_Res4Work]]/(Tasks[[#This Row],[_FinishWorkday]]-Tasks[[#This Row],[_StartWorkday]]+1),0)</f>
        <v>0</v>
      </c>
      <c r="EE93" s="42" t="n">
        <f aca="false">Tasks[[#This Row],[_Res4WorkPerWD]]*MAX(0,Tasks[[#This Row],[_StartWorkday]]-1)</f>
        <v>0</v>
      </c>
      <c r="EF93" s="42" t="n">
        <f aca="false">Tasks[[#This Row],[_Res4Work]]*Tasks[[#This Row],[_LeafProgress]]</f>
        <v>0</v>
      </c>
      <c r="EG93" s="42" t="n">
        <f aca="false">IF(ISNUMBER(Tasks[[#This Row],[% Complete]]),Tasks[[#This Row],[% Complete]],IF(Tasks[[#This Row],[Stage]]="",0,IFERROR(INDEX(stg_Pct,MATCH(Tasks[[#This Row],[Stage]],stg_Name,0)),0)))</f>
        <v>0</v>
      </c>
      <c r="EH93" s="42" t="n">
        <f aca="false">IF(NOT(Tasks[[#This Row],[_IsLeaf]]=1),0,IF(N(Tasks[[#This Row],[Actual Finish]])&gt;0,1,MIN(1,Tasks[[#This Row],[_Pct]])))</f>
        <v>0</v>
      </c>
      <c r="EI93" s="42" t="n">
        <f aca="false">IF(OR(NOT(Tasks[[#This Row],[_IsLeaf]]=1),Tasks[[#This Row],[_Res1Row]]=0),0,N(Tasks[[#This Row],[_Days]])*HoursPerDay*IF(Tasks[[#This Row],[_Units1]]="",DefaultUnits,Tasks[[#This Row],[_Units1]]))</f>
        <v>0</v>
      </c>
      <c r="EJ93" s="42" t="n">
        <f aca="false">Tasks[[#This Row],[_LeafWork]]+Tasks[[#This Row],[_Res2Work]]+Tasks[[#This Row],[_Res3Work]]+Tasks[[#This Row],[_Res4Work]]</f>
        <v>0</v>
      </c>
      <c r="EK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3" s="42" t="n">
        <f aca="false">IF(NOT(Tasks[[#This Row],[_IsLeaf]]=1),0,MAX(_xlfn.MAXIFS(Tasks[_Row],Tasks[_Pred1UID],Tasks[[#This Row],[UID]]),_xlfn.MAXIFS(Tasks[_Row],Tasks[_Pred2UID],Tasks[[#This Row],[UID]]),_xlfn.MAXIFS(Tasks[_Row],Tasks[_Pred3UID],Tasks[[#This Row],[UID]]),_xlfn.MAXIFS(Tasks[_Row],Tasks[_Pred4UID],Tasks[[#This Row],[UID]])))</f>
        <v>0</v>
      </c>
      <c r="ET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3" s="89" t="str">
        <f aca="false">IF(NOT(Tasks[[#This Row],[_IsLeaf]]=1),"",IF(N(Tasks[[#This Row],[_Days]])&lt;=0,Tasks[[#This Row],[_LeafLateFinish]],WORKDAY.INTL(Tasks[[#This Row],[_LeafLateFinish]],-(Tasks[[#This Row],[_Days]]-1),WorkWeek,Holidays)))</f>
        <v/>
      </c>
      <c r="EW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3" s="88" t="b">
        <f aca="false">AND(Tasks[[#This Row],[_IsLeaf]]=1,Tasks[[#This Row],[_LeafProgress]]&lt;1,N(Tasks[[#This Row],[_LeafTotalSlack]])&lt;=CriticalSlackDays)</f>
        <v>0</v>
      </c>
      <c r="EY93" s="42" t="n">
        <f aca="false">IF(AND(Tasks[[#This Row],[_IsLeaf]]=1,Tasks[[#This Row],[_ConstraintCode]]=1,Tasks[[#This Row],[Mode]]&lt;&gt;"Manual",N(Tasks[[#This Row],[Actual Start]])=0),MAX(0,N(Tasks[[#This Row],[Free Slack]])),0)</f>
        <v>0</v>
      </c>
      <c r="EZ93" s="89" t="str">
        <f aca="false">IF(NOT(Tasks[[#This Row],[_IsLeaf]]=1),"",IF(Tasks[[#This Row],[_AlapShift]]=0,Tasks[[#This Row],[_LeafCalcStart]],WORKDAY.INTL(Tasks[[#This Row],[_LeafCalcStart]],Tasks[[#This Row],[_AlapShift]],WorkWeek,Holidays)))</f>
        <v/>
      </c>
      <c r="FA93" s="89" t="str">
        <f aca="false">IF(NOT(Tasks[[#This Row],[_IsLeaf]]=1),"",IF(Tasks[[#This Row],[_AlapShift]]=0,Tasks[[#This Row],[_LeafCalcFinish]],WORKDAY.INTL(Tasks[[#This Row],[_LeafCalcFinish]],Tasks[[#This Row],[_AlapShift]],WorkWeek,Holidays)))</f>
        <v/>
      </c>
      <c r="FB93" s="89" t="str">
        <f aca="false">IF(NOT(Tasks[[#This Row],[_IsLeaf]]=1),"",IF(Tasks[[#This Row],[_AlapShift]]=0,Tasks[[#This Row],[_LeafFcstStart]],WORKDAY.INTL(Tasks[[#This Row],[_LeafFcstStart]],Tasks[[#This Row],[_AlapShift]],WorkWeek,Holidays)))</f>
        <v/>
      </c>
      <c r="FC93" s="89" t="str">
        <f aca="false">IF(NOT(Tasks[[#This Row],[_IsLeaf]]=1),"",IF(Tasks[[#This Row],[_AlapShift]]=0,Tasks[[#This Row],[_LeafFcstFinish]],WORKDAY.INTL(Tasks[[#This Row],[_LeafFcstFinish]],Tasks[[#This Row],[_AlapShift]],WorkWeek,Holidays)))</f>
        <v/>
      </c>
      <c r="FD93" s="89" t="str">
        <f aca="false">IF(Tasks[[#This Row],[Task Name]]="","",IF(Tasks[[#This Row],[_IsSummary]],MIN(INDEX(Tasks[_ShownCalcStart],Tasks[[#This Row],[_Row]]+1):INDEX(Tasks[_ShownCalcStart],Tasks[[#This Row],[_Row]]+Tasks[[#This Row],[_Descendants]])),Tasks[[#This Row],[_ShownCalcStart]]))</f>
        <v/>
      </c>
      <c r="FE93" s="89" t="str">
        <f aca="false">IF(Tasks[[#This Row],[Task Name]]="","",IF(Tasks[[#This Row],[_IsSummary]],MAX(INDEX(Tasks[_ShownCalcFinish],Tasks[[#This Row],[_Row]]+1):INDEX(Tasks[_ShownCalcFinish],Tasks[[#This Row],[_Row]]+Tasks[[#This Row],[_Descendants]])),Tasks[[#This Row],[_ShownCalcFinish]]))</f>
        <v/>
      </c>
      <c r="FF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3" s="42" t="n">
        <f aca="false">IF(AND(Tasks[[#This Row],[_IsLeaf]]=1,Tasks[[#This Row],[_LeafTotalWork]]&gt;0),NETWORKDAYS.INTL(ProjectStart,Tasks[[#This Row],[_ShownFcstStart]],WorkWeek,Holidays),0)</f>
        <v>0</v>
      </c>
      <c r="FS93" s="42" t="n">
        <f aca="false">IF(AND(Tasks[[#This Row],[_IsLeaf]]=1,Tasks[[#This Row],[_LeafTotalWork]]&gt;0),MAX(Tasks[[#This Row],[_StartWorkday]],NETWORKDAYS.INTL(ProjectStart,Tasks[[#This Row],[_ShownFcstFinish]],WorkWeek,Holidays)),0)</f>
        <v>0</v>
      </c>
      <c r="FT93" s="42" t="n">
        <f aca="false">IF(AND(Tasks[[#This Row],[_IsLeaf]]=1,Tasks[[#This Row],[_LeafTotalWork]]&gt;0),Tasks[[#This Row],[_LeafWork]]/(Tasks[[#This Row],[_FinishWorkday]]-Tasks[[#This Row],[_StartWorkday]]+1),0)</f>
        <v>0</v>
      </c>
      <c r="FU93" s="42" t="n">
        <f aca="false">Tasks[[#This Row],[_WorkPerWorkday]]*(Tasks[[#This Row],[_StartWorkday]]-1)</f>
        <v>-0</v>
      </c>
      <c r="FV93" s="42" t="n">
        <f aca="false">IF(Tasks[[#This Row],[_IsLeaf]]=1,MAX(N(Tasks[[#This Row],[_Days]]),0.1),0)</f>
        <v>0</v>
      </c>
      <c r="FW93" s="42" t="n">
        <f aca="false">Tasks[[#This Row],[_WeightDur]]*Tasks[[#This Row],[_LeafProgress]]</f>
        <v>0</v>
      </c>
      <c r="FX93" s="42" t="n">
        <f aca="false">Tasks[[#This Row],[_WeightDur]]*Tasks[[#This Row],[_PlannedPct]]</f>
        <v>0</v>
      </c>
      <c r="FY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3" s="42" t="str">
        <f aca="false">IF(AND(Tasks[[#This Row],[_IsLeaf]]=1,N(Tasks[[#This Row],[_Days]])=0,Tasks[[#This Row],[_LeafProgress]]&lt;1),Tasks[[#This Row],[_ShownFcstFinish]]+Tasks[[#This Row],[_Row]]/100000,"")</f>
        <v/>
      </c>
      <c r="GA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3" s="42" t="str">
        <f aca="false">IF(Tasks[[#This Row],[Task Name]]="","",LEFT(Tasks[[#This Row],[WBS]],FIND(".",Tasks[[#This Row],[WBS]]&amp;".")-1))</f>
        <v/>
      </c>
      <c r="GC93" s="42" t="str">
        <f aca="false">IF(AND(Tasks[[#This Row],[Task Name]]&lt;&gt;"",Tasks[[#This Row],[_Level]]=1),Tasks[[#This Row],[_Row]],"")</f>
        <v/>
      </c>
      <c r="GD93" s="42" t="str">
        <f aca="false">IF(AND(Tasks[[#This Row],[_IsLeaf]]=1,N(Tasks[[#This Row],[_Days]])=0),Tasks[[#This Row],[Planned Finish]]+Tasks[[#This Row],[_Row]]/100000,"")</f>
        <v/>
      </c>
      <c r="GE93" s="42" t="str">
        <f aca="false">IF(AND(Tasks[[#This Row],[_IsLeaf]]=1,Tasks[[#This Row],[_LeafProgress]]&lt;1,OR(N(Tasks[[#This Row],[Finish Var]])&gt;0,Tasks[[#This Row],[Status]]="Late Start")),MAX(0,Tasks[[#This Row],[Finish Var]])+1-Tasks[[#This Row],[_Row]]/1000000,"")</f>
        <v/>
      </c>
      <c r="GF93" s="42" t="str">
        <f aca="false">IF(AND(Tasks[[#This Row],[_IsLeaf]]=1,N(Tasks[[#This Row],[Actual Start]])=0,Tasks[[#This Row],[_ShownFcstStart]]&gt;=StatusDate,Tasks[[#This Row],[_ShownFcstStart]]&lt;=LookaheadEnd),Tasks[[#This Row],[_ShownFcstStart]]+Tasks[[#This Row],[_Row]]/100000,"")</f>
        <v/>
      </c>
      <c r="GG93" s="42" t="str">
        <f aca="false">IF(AND(Tasks[[#This Row],[_IsLeaf]]=1,Tasks[[#This Row],[_LeafProgress]]&lt;1,Tasks[[#This Row],[_ShownFcstFinish]]&gt;=StatusDate,Tasks[[#This Row],[_ShownFcstFinish]]&lt;=LookaheadEnd),Tasks[[#This Row],[_ShownFcstFinish]]+Tasks[[#This Row],[_Row]]/100000,"")</f>
        <v/>
      </c>
      <c r="GH93" s="42" t="str">
        <f aca="false">IF(Tasks[[#This Row],[_LeafCritical]],Tasks[[#This Row],[_ShownFcstStart]]+Tasks[[#This Row],[_Row]]/100000,"")</f>
        <v/>
      </c>
      <c r="GI93" s="42" t="n">
        <f aca="false">Tasks[[#This Row],[_LeafWork]]*Tasks[[#This Row],[_LeafProgress]]</f>
        <v>0</v>
      </c>
      <c r="GJ93" s="89" t="str">
        <f aca="false">IF(AND(Tasks[[#This Row],[_IsLeaf]]=1,Tasks[[#This Row],[_LeafProgress]]&gt;=1),IF(N(Tasks[[#This Row],[Actual Finish]])&gt;0,Tasks[[#This Row],[Actual Finish]],Tasks[[#This Row],[_ShownFcstFinish]]),"")</f>
        <v/>
      </c>
      <c r="GK93" s="42" t="n">
        <f aca="false">IF(Tasks[[#This Row],[_IsLeaf]]=1,N(Tasks[[#This Row],[Story Points]]),0)</f>
        <v>0</v>
      </c>
      <c r="GL93" s="42" t="str">
        <f aca="false">""</f>
        <v/>
      </c>
      <c r="GM93" s="88" t="b">
        <f aca="false">IF(Tasks[[#This Row],[Task Name]]="",FALSE(),AND(Tasks[[#This Row],[_IsLeaf]]=1,N(Tasks[[#This Row],[_Days]])=0))</f>
        <v>0</v>
      </c>
      <c r="GN93" s="89" t="n">
        <f aca="false">IF(Tasks[[#This Row],[Task Name]]="",0,IF(AND(Tasks[[#This Row],[_IsLeaf]]=1,NOT(Tasks[[#This Row],[_IsMilestone]]),N(Tasks[[#This Row],[Progress]])&gt;0),Tasks[[#This Row],[Start]],0))</f>
        <v>0</v>
      </c>
      <c r="GO93" s="89" t="n">
        <f aca="false">IF(Tasks[[#This Row],[_DoneFrom]]=0,0,IF(Tasks[[#This Row],[Progress]]&gt;=1,Tasks[[#This Row],[Finish]],MAX(Tasks[[#This Row],[_DoneFrom]],Tasks[[#This Row],[Start]]+ROUND((Tasks[[#This Row],[Finish]]-Tasks[[#This Row],[Start]]+1)*Tasks[[#This Row],[Progress]],0)-1)))</f>
        <v>0</v>
      </c>
      <c r="GP93" s="89" t="n">
        <f aca="false">IF(Tasks[[#This Row],[Task Name]]="",0,IF(OR(NOT(Tasks[[#This Row],[_IsLeaf]]=1),Tasks[[#This Row],[_IsMilestone]],N(Tasks[[#This Row],[Progress]])&gt;=1),0,IF(Tasks[[#This Row],[_DoneTo]]&gt;0,Tasks[[#This Row],[_DoneTo]]+1,Tasks[[#This Row],[Start]])))</f>
        <v>0</v>
      </c>
      <c r="GQ93" s="89" t="n">
        <f aca="false">IF(Tasks[[#This Row],[_RemFrom]]=0,0,Tasks[[#This Row],[Finish]])</f>
        <v>0</v>
      </c>
      <c r="GR93" s="88" t="b">
        <f aca="false">IF(Tasks[[#This Row],[Task Name]]="",FALSE(),OR(NOT(BaselineSet),N(Tasks[[#This Row],[Baseline Start]])&gt;0))</f>
        <v>0</v>
      </c>
      <c r="GS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3" s="90" t="str">
        <f aca="false">IF(Tasks[[#This Row],[_IsLeaf]]=1,Tasks[[#This Row],[_Row]],"")</f>
        <v/>
      </c>
      <c r="GW93" s="90" t="str">
        <f aca="false">IFERROR(INDEX(Tasks[UID],SMALL(Tasks[_PickKey],Tasks[[#This Row],[_Row]]))&amp;" "&amp;INDEX(Tasks[Task Name],SMALL(Tasks[_PickKey],Tasks[[#This Row],[_Row]])),"")</f>
        <v/>
      </c>
      <c r="GX93" s="42" t="str">
        <f aca="false">IF(Tasks[[#This Row],[Task Name]]="","",IF(Tasks[[#This Row],[_IsSummary]],NETWORKDAYS.INTL(Tasks[[#This Row],[Start]],Tasks[[#This Row],[Finish]],WorkWeek,Holidays),N(Tasks[[#This Row],[_Days]])))</f>
        <v/>
      </c>
    </row>
    <row r="94" customFormat="false" ht="15" hidden="false" customHeight="false" outlineLevel="0" collapsed="false">
      <c r="A94" s="21" t="str">
        <f aca="false">IF(Tasks[[#This Row],[Task Name]]="","",COUNTA(Tasks[[#Headers],[Task Name]]:Tasks[[#This Row],[Task Name]])-1)</f>
        <v/>
      </c>
      <c r="B94" s="22" t="n">
        <v>102</v>
      </c>
      <c r="C94" s="22"/>
      <c r="D94" s="23"/>
      <c r="E94" s="22"/>
      <c r="F94" s="23"/>
      <c r="G94" s="22"/>
      <c r="H94" s="22"/>
      <c r="I94" s="23"/>
      <c r="J94" s="22"/>
      <c r="K94" s="22"/>
      <c r="L94" s="23"/>
      <c r="M94" s="22"/>
      <c r="N94" s="22"/>
      <c r="O94" s="23"/>
      <c r="P94" s="22"/>
      <c r="Q94" s="22"/>
      <c r="R94" s="23"/>
      <c r="S94" s="23"/>
      <c r="T94" s="83"/>
      <c r="U94" s="23"/>
      <c r="V94" s="83"/>
      <c r="W94" s="23"/>
      <c r="X94" s="83"/>
      <c r="Y94" s="23"/>
      <c r="Z94" s="83"/>
      <c r="AA94" s="23"/>
      <c r="AB94" s="23"/>
      <c r="AC94" s="7"/>
      <c r="AD94" s="7"/>
      <c r="AE94" s="62" t="str">
        <f aca="false">IF(Tasks[[#This Row],[Task Name]]="","",IF(Tasks[[#This Row],[_IsSummary]],MIN(INDEX(Tasks[_ShownFcstStart],Tasks[[#This Row],[_Row]]+1):INDEX(Tasks[_ShownFcstStart],Tasks[[#This Row],[_Row]]+Tasks[[#This Row],[_Descendants]])),Tasks[[#This Row],[_ShownFcstStart]]))</f>
        <v/>
      </c>
      <c r="AF94" s="62" t="str">
        <f aca="false">IF(Tasks[[#This Row],[Task Name]]="","",IF(Tasks[[#This Row],[_IsSummary]],MAX(INDEX(Tasks[_ShownFcstFinish],Tasks[[#This Row],[_Row]]+1):INDEX(Tasks[_ShownFcstFinish],Tasks[[#This Row],[_Row]]+Tasks[[#This Row],[_Descendants]])),Tasks[[#This Row],[_ShownFcstFinish]]))</f>
        <v/>
      </c>
      <c r="AG94" s="21" t="str">
        <f aca="false">""</f>
        <v/>
      </c>
      <c r="AH94" s="23"/>
      <c r="AI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4" s="7"/>
      <c r="AK94" s="22"/>
      <c r="AL94" s="23"/>
      <c r="AM94" s="7"/>
      <c r="AN94" s="46" t="str">
        <f aca="false">IF(Tasks[[#This Row],[Task Name]]="","",IF(Tasks[[#This Row],[Finish]]&gt;=Tasks[[#This Row],[Planned Finish]],NETWORKDAYS.INTL(Tasks[[#This Row],[Planned Finish]],Tasks[[#This Row],[Finish]],WorkWeek,Holidays)-1,1-NETWORKDAYS.INTL(Tasks[[#This Row],[Finish]],Tasks[[#This Row],[Planned Finish]],WorkWeek,Holidays)))</f>
        <v/>
      </c>
      <c r="AO94" s="21" t="str">
        <f aca="false">IF(Tasks[[#This Row],[Task Name]]="","",IF(Tasks[[#This Row],[Progress]]&gt;=1,"Complete",IF(OR(N(Tasks[[#This Row],[Actual Start]])&gt;0,Tasks[[#This Row],[Progress]]&gt;0),IF(Tasks[[#This Row],[Finish Var]]&gt;0,"Behind","In Progress"),IF(Tasks[[#This Row],[Planned Start]]&lt;StatusDate,"Late Start","Not Started"))))</f>
        <v/>
      </c>
      <c r="AP94" s="21" t="str">
        <f aca="false">IF(Tasks[[#This Row],[Task Name]]="","",IF(IF(Tasks[[#This Row],[_IsSummary]],COUNTIF(INDEX(Tasks[_LeafCritical],Tasks[[#This Row],[_Row]]+1):INDEX(Tasks[_LeafCritical],Tasks[[#This Row],[_Row]]+Tasks[[#This Row],[_Descendants]]),TRUE())&gt;0,Tasks[[#This Row],[_LeafCritical]]),"Yes",""))</f>
        <v/>
      </c>
      <c r="AQ94" s="62" t="str">
        <f aca="false">IF(Tasks[[#This Row],[Task Name]]="","",IF(N(Tasks[[#This Row],[Baseline Start]])&gt;0,Tasks[[#This Row],[Baseline Start]],Tasks[[#This Row],[_CalcStart]]))</f>
        <v/>
      </c>
      <c r="AR94" s="62" t="str">
        <f aca="false">IF(Tasks[[#This Row],[Task Name]]="","",IF(N(Tasks[[#This Row],[Baseline Finish]])&gt;0,Tasks[[#This Row],[Baseline Finish]],Tasks[[#This Row],[_CalcFinish]]))</f>
        <v/>
      </c>
      <c r="AS94" s="46" t="str">
        <f aca="false">IF(Tasks[[#This Row],[Task Name]]="","",IF(Tasks[[#This Row],[Start]]&gt;=Tasks[[#This Row],[Planned Start]],NETWORKDAYS.INTL(Tasks[[#This Row],[Planned Start]],Tasks[[#This Row],[Start]],WorkWeek,Holidays)-1,1-NETWORKDAYS.INTL(Tasks[[#This Row],[Start]],Tasks[[#This Row],[Planned Start]],WorkWeek,Holidays)))</f>
        <v/>
      </c>
      <c r="AT94" s="62" t="str">
        <f aca="false">IF(Tasks[[#This Row],[Task Name]]="","",IF(Tasks[[#This Row],[_IsSummary]],MIN(INDEX(Tasks[_LeafLateStart],Tasks[[#This Row],[_Row]]+1):INDEX(Tasks[_LeafLateStart],Tasks[[#This Row],[_Row]]+Tasks[[#This Row],[_Descendants]])),Tasks[[#This Row],[_LeafLateStart]]))</f>
        <v/>
      </c>
      <c r="AU94" s="62" t="str">
        <f aca="false">IF(Tasks[[#This Row],[Task Name]]="","",IF(Tasks[[#This Row],[_IsSummary]],MAX(INDEX(Tasks[_LeafLateFinish],Tasks[[#This Row],[_Row]]+1):INDEX(Tasks[_LeafLateFinish],Tasks[[#This Row],[_Row]]+Tasks[[#This Row],[_Descendants]])),Tasks[[#This Row],[_LeafLateFinish]]))</f>
        <v/>
      </c>
      <c r="AV94" s="46" t="str">
        <f aca="false">IF(Tasks[[#This Row],[Task Name]]="","",IF(Tasks[[#This Row],[_IsSummary]],MIN(INDEX(Tasks[_LeafTotalSlack],Tasks[[#This Row],[_Row]]+1):INDEX(Tasks[_LeafTotalSlack],Tasks[[#This Row],[_Row]]+Tasks[[#This Row],[_Descendants]])),Tasks[[#This Row],[_LeafTotalSlack]]))</f>
        <v/>
      </c>
      <c r="AW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4"/>
      <c r="BA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t="str">
        <f aca="false">IF(Tasks[[#This Row],[Task Name]]="","",IF(Tasks[[#This Row],[_Level]]&lt;=OutlineShowLevel,"Yes","No"))</f>
        <v/>
      </c>
      <c r="BE94" s="85" t="str">
        <f aca="false">IF(Tasks[[#This Row],[Task Name]]="","",IF(Tasks[[#This Row],[_IsSummary]],SUM(INDEX(Tasks[_LeafTotalWork],Tasks[[#This Row],[_Row]]+1):INDEX(Tasks[_LeafTotalWork],Tasks[[#This Row],[_Row]]+Tasks[[#This Row],[_Descendants]])),Tasks[[#This Row],[_LeafTotalWork]]))</f>
        <v/>
      </c>
      <c r="BF94" s="23"/>
      <c r="BG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t="str">
        <f aca="false">""</f>
        <v/>
      </c>
      <c r="BI94" s="86"/>
      <c r="BJ94" s="22"/>
      <c r="BK94" s="46" t="str">
        <f aca="false">IF(OR(Tasks[[#This Row],[Task Name]]="",Tasks[[#This Row],[Baseline Duration]]=""),"",Tasks[[#This Row],[_SpanDays]]-N(Tasks[[#This Row],[Baseline Duration]]))</f>
        <v/>
      </c>
      <c r="BL94" s="85" t="str">
        <f aca="false">IF(OR(Tasks[[#This Row],[Task Name]]="",Tasks[[#This Row],[Baseline Work]]=""),"",Tasks[[#This Row],[Work]]-N(Tasks[[#This Row],[Baseline Work]]))</f>
        <v/>
      </c>
      <c r="BM94" s="62" t="str">
        <f aca="false">IF(Tasks[[#This Row],[Task Name]]="","",IF(OR(TakeBaseline="Yes",N(Tasks[[#This Row],[Baseline Start]])=0),Tasks[[#This Row],[Start]],Tasks[[#This Row],[Baseline Start]]))</f>
        <v/>
      </c>
      <c r="BN94" s="62" t="str">
        <f aca="false">IF(Tasks[[#This Row],[Task Name]]="","",IF(OR(TakeBaseline="Yes",N(Tasks[[#This Row],[Baseline Finish]])=0),Tasks[[#This Row],[Finish]],Tasks[[#This Row],[Baseline Finish]]))</f>
        <v/>
      </c>
      <c r="BO94" s="21" t="str">
        <f aca="false">IF(Tasks[[#This Row],[Task Name]]="","",IF(OR(TakeBaseline="Yes",N(Tasks[[#This Row],[Baseline Duration]])=0),Tasks[[#This Row],[_SpanDays]],Tasks[[#This Row],[Baseline Duration]]))</f>
        <v/>
      </c>
      <c r="BP94" s="85" t="str">
        <f aca="false">IF(Tasks[[#This Row],[Task Name]]="","",IF(OR(TakeBaseline="Yes",N(Tasks[[#This Row],[Baseline Work]])=0),Tasks[[#This Row],[Work]],Tasks[[#This Row],[Baseline Work]]))</f>
        <v/>
      </c>
      <c r="BQ94" s="7"/>
      <c r="BR94" s="7"/>
      <c r="BS94" s="22"/>
      <c r="BT94" s="87"/>
      <c r="BU94" s="42" t="str">
        <f aca="false">IF(Tasks[[#This Row],[Task Name]]="","",MAX(1,N(Tasks[[#This Row],[Level]])))</f>
        <v/>
      </c>
      <c r="BV94" s="42" t="n">
        <f aca="false">ROW()-ROW(Tasks[[#Headers],[ID]])</f>
        <v>89</v>
      </c>
      <c r="BW94" s="42" t="n">
        <f aca="false">IF(OR(Tasks[[#This Row],[Task Name]]="",Tasks[[#This Row],[_Level]]&lt;=1),0,IFERROR(LOOKUP(2,1/(Tasks[[#Headers],[_Level]]:Tasks[[#This Row],[_Level]]=Tasks[[#This Row],[_Level]]-1),ROW(Tasks[[#Headers],[_Level]]:Tasks[[#This Row],[_Level]])),0))</f>
        <v>0</v>
      </c>
      <c r="BX94" s="42" t="n">
        <f aca="false">IFERROR(N(INDEX(Tasks[_Level],Tasks[[#This Row],[_Row]]+1)),0)</f>
        <v>0</v>
      </c>
      <c r="BY94" s="88" t="b">
        <f aca="false">AND(Tasks[[#This Row],[Task Name]]&lt;&gt;"",Tasks[[#This Row],[_NextLevel]]&gt;Tasks[[#This Row],[_Level]])</f>
        <v>0</v>
      </c>
      <c r="BZ94" s="42" t="n">
        <f aca="false">IF(Tasks[[#This Row],[_IsSummary]],COUNTIF(Tasks[WBS],Tasks[[#This Row],[WBS]]&amp;".*"),0)</f>
        <v>0</v>
      </c>
      <c r="CA94" s="42" t="n">
        <f aca="false">IF(AND(Tasks[[#This Row],[Task Name]]&lt;&gt;"",NOT(Tasks[[#This Row],[_IsSummary]])),1,0)</f>
        <v>0</v>
      </c>
      <c r="CB94" s="42" t="n">
        <f aca="false">IF(N(Tasks[[#This Row],[_Pred1UID]])=0,0,IFERROR(MATCH(Tasks[[#This Row],[_Pred1UID]],Tasks[UID],0),-1))</f>
        <v>0</v>
      </c>
      <c r="CC94" s="42" t="n">
        <f aca="false">IF(N(Tasks[[#This Row],[_Pred2UID]])=0,0,IFERROR(MATCH(Tasks[[#This Row],[_Pred2UID]],Tasks[UID],0),-1))</f>
        <v>0</v>
      </c>
      <c r="CD94" s="42" t="n">
        <f aca="false">IF(N(Tasks[[#This Row],[_Pred3UID]])=0,0,IFERROR(MATCH(Tasks[[#This Row],[_Pred3UID]],Tasks[UID],0),-1))</f>
        <v>0</v>
      </c>
      <c r="CE94" s="42" t="n">
        <f aca="false">IF(N(Tasks[[#This Row],[_Pred4UID]])=0,0,IFERROR(MATCH(Tasks[[#This Row],[_Pred4UID]],Tasks[UID],0),-1))</f>
        <v>0</v>
      </c>
      <c r="CF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4" s="89" t="n">
        <f aca="false">IF(OR(Tasks[[#This Row],[_ConstraintCode]]=2,Tasks[[#This Row],[_ConstraintCode]]=3,Tasks[[#This Row],[_ConstraintCode]]=4,Tasks[[#This Row],[_ConstraintCode]]=6),Tasks[[#This Row],[_ConstraintStart]],0)</f>
        <v>0</v>
      </c>
      <c r="CI94" s="89" t="n">
        <f aca="false">IF(OR(Tasks[[#This Row],[_ConstraintCode]]=2,Tasks[[#This Row],[_ConstraintCode]]=3,Tasks[[#This Row],[_ConstraintCode]]=5,Tasks[[#This Row],[_ConstraintCode]]=7),Tasks[[#This Row],[_ConstraintStart]],2958465)</f>
        <v>2958465</v>
      </c>
      <c r="CJ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4" s="89" t="str">
        <f aca="false">IF(NOT(Tasks[[#This Row],[_IsLeaf]]=1),"",IF(N(Tasks[[#This Row],[_Days]])&lt;=0,Tasks[[#This Row],[_LeafCalcStart]],WORKDAY.INTL(Tasks[[#This Row],[_LeafCalcStart]],Tasks[[#This Row],[_Days]]-1,WorkWeek,Holidays)))</f>
        <v/>
      </c>
      <c r="CL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4" s="42" t="str">
        <f aca="false">IF(Tasks[[#This Row],[_Predecessors]]="","",TRIM(MID(SUBSTITUTE(SUBSTITUTE(SUBSTITUTE(UPPER(Tasks[[#This Row],[_Predecessors]]),";",",")," ",""),",",REPT(" ",99)),1,99)))</f>
        <v/>
      </c>
      <c r="CO94" s="42" t="str">
        <f aca="false">IF(Tasks[[#This Row],[_Pred1Text]]="","",IFERROR(VALUE(LEFT(Tasks[[#This Row],[_Pred1Text]],MIN(FIND("F",Tasks[[#This Row],[_Pred1Text]]&amp;"F"),FIND("S",Tasks[[#This Row],[_Pred1Text]]&amp;"S"),FIND("+",Tasks[[#This Row],[_Pred1Text]]&amp;"+"),FIND("-",Tasks[[#This Row],[_Pred1Text]]&amp;"-"))-1)),""))</f>
        <v/>
      </c>
      <c r="CP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4" s="42" t="str">
        <f aca="false">IF(Tasks[[#This Row],[_Pred1Text]]="","",TRIM(MID(SUBSTITUTE(SUBSTITUTE(SUBSTITUTE(UPPER(Tasks[[#This Row],[_Predecessors]]),";",",")," ",""),",",REPT(" ",99)),100,99)))</f>
        <v/>
      </c>
      <c r="CS94" s="42" t="str">
        <f aca="false">IF(Tasks[[#This Row],[_Pred2Text]]="","",IFERROR(VALUE(LEFT(Tasks[[#This Row],[_Pred2Text]],MIN(FIND("F",Tasks[[#This Row],[_Pred2Text]]&amp;"F"),FIND("S",Tasks[[#This Row],[_Pred2Text]]&amp;"S"),FIND("+",Tasks[[#This Row],[_Pred2Text]]&amp;"+"),FIND("-",Tasks[[#This Row],[_Pred2Text]]&amp;"-"))-1)),""))</f>
        <v/>
      </c>
      <c r="CT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4" s="42" t="str">
        <f aca="false">IF(Tasks[[#This Row],[_Pred2Text]]="","",TRIM(MID(SUBSTITUTE(SUBSTITUTE(SUBSTITUTE(UPPER(Tasks[[#This Row],[_Predecessors]]),";",",")," ",""),",",REPT(" ",99)),199,99)))</f>
        <v/>
      </c>
      <c r="CW94" s="42" t="str">
        <f aca="false">IF(Tasks[[#This Row],[_Pred3Text]]="","",IFERROR(VALUE(LEFT(Tasks[[#This Row],[_Pred3Text]],MIN(FIND("F",Tasks[[#This Row],[_Pred3Text]]&amp;"F"),FIND("S",Tasks[[#This Row],[_Pred3Text]]&amp;"S"),FIND("+",Tasks[[#This Row],[_Pred3Text]]&amp;"+"),FIND("-",Tasks[[#This Row],[_Pred3Text]]&amp;"-"))-1)),""))</f>
        <v/>
      </c>
      <c r="CX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4" s="42" t="str">
        <f aca="false">IF(Tasks[[#This Row],[_Pred3Text]]="","",TRIM(MID(SUBSTITUTE(SUBSTITUTE(SUBSTITUTE(UPPER(Tasks[[#This Row],[_Predecessors]]),";",",")," ",""),",",REPT(" ",99)),298,99)))</f>
        <v/>
      </c>
      <c r="DA94" s="42" t="str">
        <f aca="false">IF(Tasks[[#This Row],[_Pred4Text]]="","",IFERROR(VALUE(LEFT(Tasks[[#This Row],[_Pred4Text]],MIN(FIND("F",Tasks[[#This Row],[_Pred4Text]]&amp;"F"),FIND("S",Tasks[[#This Row],[_Pred4Text]]&amp;"S"),FIND("+",Tasks[[#This Row],[_Pred4Text]]&amp;"+"),FIND("-",Tasks[[#This Row],[_Pred4Text]]&amp;"-"))-1)),""))</f>
        <v/>
      </c>
      <c r="DB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4" s="42" t="str">
        <f aca="false">IF(OR(Tasks[[#This Row],[Task Name]]="",Tasks[[#This Row],[_Resources]]=""),"",TRIM(MID(SUBSTITUTE(Tasks[[#This Row],[_Resources]],",",REPT(" ",99)),1,99)))</f>
        <v/>
      </c>
      <c r="DE94" s="42" t="str">
        <f aca="false">IF(Tasks[[#This Row],[_Res1Text]]="","",TRIM(MID(SUBSTITUTE(Tasks[[#This Row],[_Resources]],",",REPT(" ",99)),100,99)))</f>
        <v/>
      </c>
      <c r="DF94" s="42" t="str">
        <f aca="false">IF(Tasks[[#This Row],[_Res2Text]]="","",TRIM(MID(SUBSTITUTE(Tasks[[#This Row],[_Resources]],",",REPT(" ",99)),199,99)))</f>
        <v/>
      </c>
      <c r="DG94" s="42" t="str">
        <f aca="false">IF(Tasks[[#This Row],[_Res3Text]]="","",TRIM(MID(SUBSTITUTE(Tasks[[#This Row],[_Resources]],",",REPT(" ",99)),298,99)))</f>
        <v/>
      </c>
      <c r="DH94" s="42" t="n">
        <f aca="false">IF(Tasks[[#This Row],[_Res1Text]]="",0,IFERROR(MATCH(TRIM(LEFT(Tasks[[#This Row],[_Res1Text]],FIND("[",Tasks[[#This Row],[_Res1Text]]&amp;"[")-1)),res_Name,0),IFERROR(MATCH(TRIM(LEFT(Tasks[[#This Row],[_Res1Text]],FIND("[",Tasks[[#This Row],[_Res1Text]]&amp;"[")-1)),res_Initials,0),0)))</f>
        <v>0</v>
      </c>
      <c r="DI94" s="42" t="n">
        <f aca="false">IF(Tasks[[#This Row],[_Res2Text]]="",0,IFERROR(MATCH(TRIM(LEFT(Tasks[[#This Row],[_Res2Text]],FIND("[",Tasks[[#This Row],[_Res2Text]]&amp;"[")-1)),res_Name,0),IFERROR(MATCH(TRIM(LEFT(Tasks[[#This Row],[_Res2Text]],FIND("[",Tasks[[#This Row],[_Res2Text]]&amp;"[")-1)),res_Initials,0),0)))</f>
        <v>0</v>
      </c>
      <c r="DJ94" s="42" t="n">
        <f aca="false">IF(Tasks[[#This Row],[_Res3Text]]="",0,IFERROR(MATCH(TRIM(LEFT(Tasks[[#This Row],[_Res3Text]],FIND("[",Tasks[[#This Row],[_Res3Text]]&amp;"[")-1)),res_Name,0),IFERROR(MATCH(TRIM(LEFT(Tasks[[#This Row],[_Res3Text]],FIND("[",Tasks[[#This Row],[_Res3Text]]&amp;"[")-1)),res_Initials,0),0)))</f>
        <v>0</v>
      </c>
      <c r="DK94" s="42" t="n">
        <f aca="false">IF(Tasks[[#This Row],[_Res4Text]]="",0,IFERROR(MATCH(TRIM(LEFT(Tasks[[#This Row],[_Res4Text]],FIND("[",Tasks[[#This Row],[_Res4Text]]&amp;"[")-1)),res_Name,0),IFERROR(MATCH(TRIM(LEFT(Tasks[[#This Row],[_Res4Text]],FIND("[",Tasks[[#This Row],[_Res4Text]]&amp;"[")-1)),res_Initials,0),0)))</f>
        <v>0</v>
      </c>
      <c r="DL94" s="42" t="str">
        <f aca="false">IF(Tasks[[#This Row],[_Res1Text]]="","",IF(Tasks[[#This Row],[_Res1Row]]&gt;0,INDEX(res_Name,Tasks[[#This Row],[_Res1Row]]),TRIM(LEFT(Tasks[[#This Row],[_Res1Text]],FIND("[",Tasks[[#This Row],[_Res1Text]]&amp;"[")-1))))</f>
        <v/>
      </c>
      <c r="DM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4" s="42" t="n">
        <f aca="false">IF(NOT(Tasks[[#This Row],[_IsLeaf]]=1),0,(Tasks[[#This Row],[_Resource1]]&lt;&gt;"")+(Tasks[[#This Row],[_Res2]]&lt;&gt;"")+(Tasks[[#This Row],[_Res3]]&lt;&gt;"")+(Tasks[[#This Row],[_Res4]]&lt;&gt;""))</f>
        <v>0</v>
      </c>
      <c r="DO94" s="42" t="str">
        <f aca="false">IF(Tasks[[#This Row],[_Res2Text]]="","",IF(Tasks[[#This Row],[_Res2Row]]&gt;0,INDEX(res_Name,Tasks[[#This Row],[_Res2Row]]),TRIM(LEFT(Tasks[[#This Row],[_Res2Text]],FIND("[",Tasks[[#This Row],[_Res2Text]]&amp;"[")-1))))</f>
        <v/>
      </c>
      <c r="DP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4" s="42" t="n">
        <f aca="false">IF(OR(NOT(Tasks[[#This Row],[_IsLeaf]]=1),Tasks[[#This Row],[_Res2Row]]=0),0,N(Tasks[[#This Row],[_Days]])*HoursPerDay*IF(Tasks[[#This Row],[_Res2Units]]="",DefaultUnits,Tasks[[#This Row],[_Res2Units]]))</f>
        <v>0</v>
      </c>
      <c r="DR94" s="42" t="n">
        <f aca="false">IF(AND(AND(Tasks[[#This Row],[_IsLeaf]]=1,Tasks[[#This Row],[_LeafTotalWork]]&gt;0),Tasks[[#This Row],[_Res2Work]]&gt;0),Tasks[[#This Row],[_Res2Work]]/(Tasks[[#This Row],[_FinishWorkday]]-Tasks[[#This Row],[_StartWorkday]]+1),0)</f>
        <v>0</v>
      </c>
      <c r="DS94" s="42" t="n">
        <f aca="false">Tasks[[#This Row],[_Res2WorkPerWD]]*MAX(0,Tasks[[#This Row],[_StartWorkday]]-1)</f>
        <v>0</v>
      </c>
      <c r="DT94" s="42" t="n">
        <f aca="false">Tasks[[#This Row],[_Res2Work]]*Tasks[[#This Row],[_LeafProgress]]</f>
        <v>0</v>
      </c>
      <c r="DU94" s="42" t="str">
        <f aca="false">IF(Tasks[[#This Row],[_Res3Text]]="","",IF(Tasks[[#This Row],[_Res3Row]]&gt;0,INDEX(res_Name,Tasks[[#This Row],[_Res3Row]]),TRIM(LEFT(Tasks[[#This Row],[_Res3Text]],FIND("[",Tasks[[#This Row],[_Res3Text]]&amp;"[")-1))))</f>
        <v/>
      </c>
      <c r="DV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4" s="42" t="n">
        <f aca="false">IF(OR(NOT(Tasks[[#This Row],[_IsLeaf]]=1),Tasks[[#This Row],[_Res3Row]]=0),0,N(Tasks[[#This Row],[_Days]])*HoursPerDay*IF(Tasks[[#This Row],[_Res3Units]]="",DefaultUnits,Tasks[[#This Row],[_Res3Units]]))</f>
        <v>0</v>
      </c>
      <c r="DX94" s="42" t="n">
        <f aca="false">IF(AND(AND(Tasks[[#This Row],[_IsLeaf]]=1,Tasks[[#This Row],[_LeafTotalWork]]&gt;0),Tasks[[#This Row],[_Res3Work]]&gt;0),Tasks[[#This Row],[_Res3Work]]/(Tasks[[#This Row],[_FinishWorkday]]-Tasks[[#This Row],[_StartWorkday]]+1),0)</f>
        <v>0</v>
      </c>
      <c r="DY94" s="42" t="n">
        <f aca="false">Tasks[[#This Row],[_Res3WorkPerWD]]*MAX(0,Tasks[[#This Row],[_StartWorkday]]-1)</f>
        <v>0</v>
      </c>
      <c r="DZ94" s="42" t="n">
        <f aca="false">Tasks[[#This Row],[_Res3Work]]*Tasks[[#This Row],[_LeafProgress]]</f>
        <v>0</v>
      </c>
      <c r="EA94" s="42" t="str">
        <f aca="false">IF(Tasks[[#This Row],[_Res4Text]]="","",IF(Tasks[[#This Row],[_Res4Row]]&gt;0,INDEX(res_Name,Tasks[[#This Row],[_Res4Row]]),TRIM(LEFT(Tasks[[#This Row],[_Res4Text]],FIND("[",Tasks[[#This Row],[_Res4Text]]&amp;"[")-1))))</f>
        <v/>
      </c>
      <c r="EB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4" s="42" t="n">
        <f aca="false">IF(OR(NOT(Tasks[[#This Row],[_IsLeaf]]=1),Tasks[[#This Row],[_Res4Row]]=0),0,N(Tasks[[#This Row],[_Days]])*HoursPerDay*IF(Tasks[[#This Row],[_Res4Units]]="",DefaultUnits,Tasks[[#This Row],[_Res4Units]]))</f>
        <v>0</v>
      </c>
      <c r="ED94" s="42" t="n">
        <f aca="false">IF(AND(AND(Tasks[[#This Row],[_IsLeaf]]=1,Tasks[[#This Row],[_LeafTotalWork]]&gt;0),Tasks[[#This Row],[_Res4Work]]&gt;0),Tasks[[#This Row],[_Res4Work]]/(Tasks[[#This Row],[_FinishWorkday]]-Tasks[[#This Row],[_StartWorkday]]+1),0)</f>
        <v>0</v>
      </c>
      <c r="EE94" s="42" t="n">
        <f aca="false">Tasks[[#This Row],[_Res4WorkPerWD]]*MAX(0,Tasks[[#This Row],[_StartWorkday]]-1)</f>
        <v>0</v>
      </c>
      <c r="EF94" s="42" t="n">
        <f aca="false">Tasks[[#This Row],[_Res4Work]]*Tasks[[#This Row],[_LeafProgress]]</f>
        <v>0</v>
      </c>
      <c r="EG94" s="42" t="n">
        <f aca="false">IF(ISNUMBER(Tasks[[#This Row],[% Complete]]),Tasks[[#This Row],[% Complete]],IF(Tasks[[#This Row],[Stage]]="",0,IFERROR(INDEX(stg_Pct,MATCH(Tasks[[#This Row],[Stage]],stg_Name,0)),0)))</f>
        <v>0</v>
      </c>
      <c r="EH94" s="42" t="n">
        <f aca="false">IF(NOT(Tasks[[#This Row],[_IsLeaf]]=1),0,IF(N(Tasks[[#This Row],[Actual Finish]])&gt;0,1,MIN(1,Tasks[[#This Row],[_Pct]])))</f>
        <v>0</v>
      </c>
      <c r="EI94" s="42" t="n">
        <f aca="false">IF(OR(NOT(Tasks[[#This Row],[_IsLeaf]]=1),Tasks[[#This Row],[_Res1Row]]=0),0,N(Tasks[[#This Row],[_Days]])*HoursPerDay*IF(Tasks[[#This Row],[_Units1]]="",DefaultUnits,Tasks[[#This Row],[_Units1]]))</f>
        <v>0</v>
      </c>
      <c r="EJ94" s="42" t="n">
        <f aca="false">Tasks[[#This Row],[_LeafWork]]+Tasks[[#This Row],[_Res2Work]]+Tasks[[#This Row],[_Res3Work]]+Tasks[[#This Row],[_Res4Work]]</f>
        <v>0</v>
      </c>
      <c r="EK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4" s="42" t="n">
        <f aca="false">IF(NOT(Tasks[[#This Row],[_IsLeaf]]=1),0,MAX(_xlfn.MAXIFS(Tasks[_Row],Tasks[_Pred1UID],Tasks[[#This Row],[UID]]),_xlfn.MAXIFS(Tasks[_Row],Tasks[_Pred2UID],Tasks[[#This Row],[UID]]),_xlfn.MAXIFS(Tasks[_Row],Tasks[_Pred3UID],Tasks[[#This Row],[UID]]),_xlfn.MAXIFS(Tasks[_Row],Tasks[_Pred4UID],Tasks[[#This Row],[UID]])))</f>
        <v>0</v>
      </c>
      <c r="ET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4" s="89" t="str">
        <f aca="false">IF(NOT(Tasks[[#This Row],[_IsLeaf]]=1),"",IF(N(Tasks[[#This Row],[_Days]])&lt;=0,Tasks[[#This Row],[_LeafLateFinish]],WORKDAY.INTL(Tasks[[#This Row],[_LeafLateFinish]],-(Tasks[[#This Row],[_Days]]-1),WorkWeek,Holidays)))</f>
        <v/>
      </c>
      <c r="EW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4" s="88" t="b">
        <f aca="false">AND(Tasks[[#This Row],[_IsLeaf]]=1,Tasks[[#This Row],[_LeafProgress]]&lt;1,N(Tasks[[#This Row],[_LeafTotalSlack]])&lt;=CriticalSlackDays)</f>
        <v>0</v>
      </c>
      <c r="EY94" s="42" t="n">
        <f aca="false">IF(AND(Tasks[[#This Row],[_IsLeaf]]=1,Tasks[[#This Row],[_ConstraintCode]]=1,Tasks[[#This Row],[Mode]]&lt;&gt;"Manual",N(Tasks[[#This Row],[Actual Start]])=0),MAX(0,N(Tasks[[#This Row],[Free Slack]])),0)</f>
        <v>0</v>
      </c>
      <c r="EZ94" s="89" t="str">
        <f aca="false">IF(NOT(Tasks[[#This Row],[_IsLeaf]]=1),"",IF(Tasks[[#This Row],[_AlapShift]]=0,Tasks[[#This Row],[_LeafCalcStart]],WORKDAY.INTL(Tasks[[#This Row],[_LeafCalcStart]],Tasks[[#This Row],[_AlapShift]],WorkWeek,Holidays)))</f>
        <v/>
      </c>
      <c r="FA94" s="89" t="str">
        <f aca="false">IF(NOT(Tasks[[#This Row],[_IsLeaf]]=1),"",IF(Tasks[[#This Row],[_AlapShift]]=0,Tasks[[#This Row],[_LeafCalcFinish]],WORKDAY.INTL(Tasks[[#This Row],[_LeafCalcFinish]],Tasks[[#This Row],[_AlapShift]],WorkWeek,Holidays)))</f>
        <v/>
      </c>
      <c r="FB94" s="89" t="str">
        <f aca="false">IF(NOT(Tasks[[#This Row],[_IsLeaf]]=1),"",IF(Tasks[[#This Row],[_AlapShift]]=0,Tasks[[#This Row],[_LeafFcstStart]],WORKDAY.INTL(Tasks[[#This Row],[_LeafFcstStart]],Tasks[[#This Row],[_AlapShift]],WorkWeek,Holidays)))</f>
        <v/>
      </c>
      <c r="FC94" s="89" t="str">
        <f aca="false">IF(NOT(Tasks[[#This Row],[_IsLeaf]]=1),"",IF(Tasks[[#This Row],[_AlapShift]]=0,Tasks[[#This Row],[_LeafFcstFinish]],WORKDAY.INTL(Tasks[[#This Row],[_LeafFcstFinish]],Tasks[[#This Row],[_AlapShift]],WorkWeek,Holidays)))</f>
        <v/>
      </c>
      <c r="FD94" s="89" t="str">
        <f aca="false">IF(Tasks[[#This Row],[Task Name]]="","",IF(Tasks[[#This Row],[_IsSummary]],MIN(INDEX(Tasks[_ShownCalcStart],Tasks[[#This Row],[_Row]]+1):INDEX(Tasks[_ShownCalcStart],Tasks[[#This Row],[_Row]]+Tasks[[#This Row],[_Descendants]])),Tasks[[#This Row],[_ShownCalcStart]]))</f>
        <v/>
      </c>
      <c r="FE94" s="89" t="str">
        <f aca="false">IF(Tasks[[#This Row],[Task Name]]="","",IF(Tasks[[#This Row],[_IsSummary]],MAX(INDEX(Tasks[_ShownCalcFinish],Tasks[[#This Row],[_Row]]+1):INDEX(Tasks[_ShownCalcFinish],Tasks[[#This Row],[_Row]]+Tasks[[#This Row],[_Descendants]])),Tasks[[#This Row],[_ShownCalcFinish]]))</f>
        <v/>
      </c>
      <c r="FF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4" s="42" t="n">
        <f aca="false">IF(AND(Tasks[[#This Row],[_IsLeaf]]=1,Tasks[[#This Row],[_LeafTotalWork]]&gt;0),NETWORKDAYS.INTL(ProjectStart,Tasks[[#This Row],[_ShownFcstStart]],WorkWeek,Holidays),0)</f>
        <v>0</v>
      </c>
      <c r="FS94" s="42" t="n">
        <f aca="false">IF(AND(Tasks[[#This Row],[_IsLeaf]]=1,Tasks[[#This Row],[_LeafTotalWork]]&gt;0),MAX(Tasks[[#This Row],[_StartWorkday]],NETWORKDAYS.INTL(ProjectStart,Tasks[[#This Row],[_ShownFcstFinish]],WorkWeek,Holidays)),0)</f>
        <v>0</v>
      </c>
      <c r="FT94" s="42" t="n">
        <f aca="false">IF(AND(Tasks[[#This Row],[_IsLeaf]]=1,Tasks[[#This Row],[_LeafTotalWork]]&gt;0),Tasks[[#This Row],[_LeafWork]]/(Tasks[[#This Row],[_FinishWorkday]]-Tasks[[#This Row],[_StartWorkday]]+1),0)</f>
        <v>0</v>
      </c>
      <c r="FU94" s="42" t="n">
        <f aca="false">Tasks[[#This Row],[_WorkPerWorkday]]*(Tasks[[#This Row],[_StartWorkday]]-1)</f>
        <v>-0</v>
      </c>
      <c r="FV94" s="42" t="n">
        <f aca="false">IF(Tasks[[#This Row],[_IsLeaf]]=1,MAX(N(Tasks[[#This Row],[_Days]]),0.1),0)</f>
        <v>0</v>
      </c>
      <c r="FW94" s="42" t="n">
        <f aca="false">Tasks[[#This Row],[_WeightDur]]*Tasks[[#This Row],[_LeafProgress]]</f>
        <v>0</v>
      </c>
      <c r="FX94" s="42" t="n">
        <f aca="false">Tasks[[#This Row],[_WeightDur]]*Tasks[[#This Row],[_PlannedPct]]</f>
        <v>0</v>
      </c>
      <c r="FY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4" s="42" t="str">
        <f aca="false">IF(AND(Tasks[[#This Row],[_IsLeaf]]=1,N(Tasks[[#This Row],[_Days]])=0,Tasks[[#This Row],[_LeafProgress]]&lt;1),Tasks[[#This Row],[_ShownFcstFinish]]+Tasks[[#This Row],[_Row]]/100000,"")</f>
        <v/>
      </c>
      <c r="GA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4" s="42" t="str">
        <f aca="false">IF(Tasks[[#This Row],[Task Name]]="","",LEFT(Tasks[[#This Row],[WBS]],FIND(".",Tasks[[#This Row],[WBS]]&amp;".")-1))</f>
        <v/>
      </c>
      <c r="GC94" s="42" t="str">
        <f aca="false">IF(AND(Tasks[[#This Row],[Task Name]]&lt;&gt;"",Tasks[[#This Row],[_Level]]=1),Tasks[[#This Row],[_Row]],"")</f>
        <v/>
      </c>
      <c r="GD94" s="42" t="str">
        <f aca="false">IF(AND(Tasks[[#This Row],[_IsLeaf]]=1,N(Tasks[[#This Row],[_Days]])=0),Tasks[[#This Row],[Planned Finish]]+Tasks[[#This Row],[_Row]]/100000,"")</f>
        <v/>
      </c>
      <c r="GE94" s="42" t="str">
        <f aca="false">IF(AND(Tasks[[#This Row],[_IsLeaf]]=1,Tasks[[#This Row],[_LeafProgress]]&lt;1,OR(N(Tasks[[#This Row],[Finish Var]])&gt;0,Tasks[[#This Row],[Status]]="Late Start")),MAX(0,Tasks[[#This Row],[Finish Var]])+1-Tasks[[#This Row],[_Row]]/1000000,"")</f>
        <v/>
      </c>
      <c r="GF94" s="42" t="str">
        <f aca="false">IF(AND(Tasks[[#This Row],[_IsLeaf]]=1,N(Tasks[[#This Row],[Actual Start]])=0,Tasks[[#This Row],[_ShownFcstStart]]&gt;=StatusDate,Tasks[[#This Row],[_ShownFcstStart]]&lt;=LookaheadEnd),Tasks[[#This Row],[_ShownFcstStart]]+Tasks[[#This Row],[_Row]]/100000,"")</f>
        <v/>
      </c>
      <c r="GG94" s="42" t="str">
        <f aca="false">IF(AND(Tasks[[#This Row],[_IsLeaf]]=1,Tasks[[#This Row],[_LeafProgress]]&lt;1,Tasks[[#This Row],[_ShownFcstFinish]]&gt;=StatusDate,Tasks[[#This Row],[_ShownFcstFinish]]&lt;=LookaheadEnd),Tasks[[#This Row],[_ShownFcstFinish]]+Tasks[[#This Row],[_Row]]/100000,"")</f>
        <v/>
      </c>
      <c r="GH94" s="42" t="str">
        <f aca="false">IF(Tasks[[#This Row],[_LeafCritical]],Tasks[[#This Row],[_ShownFcstStart]]+Tasks[[#This Row],[_Row]]/100000,"")</f>
        <v/>
      </c>
      <c r="GI94" s="42" t="n">
        <f aca="false">Tasks[[#This Row],[_LeafWork]]*Tasks[[#This Row],[_LeafProgress]]</f>
        <v>0</v>
      </c>
      <c r="GJ94" s="89" t="str">
        <f aca="false">IF(AND(Tasks[[#This Row],[_IsLeaf]]=1,Tasks[[#This Row],[_LeafProgress]]&gt;=1),IF(N(Tasks[[#This Row],[Actual Finish]])&gt;0,Tasks[[#This Row],[Actual Finish]],Tasks[[#This Row],[_ShownFcstFinish]]),"")</f>
        <v/>
      </c>
      <c r="GK94" s="42" t="n">
        <f aca="false">IF(Tasks[[#This Row],[_IsLeaf]]=1,N(Tasks[[#This Row],[Story Points]]),0)</f>
        <v>0</v>
      </c>
      <c r="GL94" s="42" t="str">
        <f aca="false">""</f>
        <v/>
      </c>
      <c r="GM94" s="88" t="b">
        <f aca="false">IF(Tasks[[#This Row],[Task Name]]="",FALSE(),AND(Tasks[[#This Row],[_IsLeaf]]=1,N(Tasks[[#This Row],[_Days]])=0))</f>
        <v>0</v>
      </c>
      <c r="GN94" s="89" t="n">
        <f aca="false">IF(Tasks[[#This Row],[Task Name]]="",0,IF(AND(Tasks[[#This Row],[_IsLeaf]]=1,NOT(Tasks[[#This Row],[_IsMilestone]]),N(Tasks[[#This Row],[Progress]])&gt;0),Tasks[[#This Row],[Start]],0))</f>
        <v>0</v>
      </c>
      <c r="GO94" s="89" t="n">
        <f aca="false">IF(Tasks[[#This Row],[_DoneFrom]]=0,0,IF(Tasks[[#This Row],[Progress]]&gt;=1,Tasks[[#This Row],[Finish]],MAX(Tasks[[#This Row],[_DoneFrom]],Tasks[[#This Row],[Start]]+ROUND((Tasks[[#This Row],[Finish]]-Tasks[[#This Row],[Start]]+1)*Tasks[[#This Row],[Progress]],0)-1)))</f>
        <v>0</v>
      </c>
      <c r="GP94" s="89" t="n">
        <f aca="false">IF(Tasks[[#This Row],[Task Name]]="",0,IF(OR(NOT(Tasks[[#This Row],[_IsLeaf]]=1),Tasks[[#This Row],[_IsMilestone]],N(Tasks[[#This Row],[Progress]])&gt;=1),0,IF(Tasks[[#This Row],[_DoneTo]]&gt;0,Tasks[[#This Row],[_DoneTo]]+1,Tasks[[#This Row],[Start]])))</f>
        <v>0</v>
      </c>
      <c r="GQ94" s="89" t="n">
        <f aca="false">IF(Tasks[[#This Row],[_RemFrom]]=0,0,Tasks[[#This Row],[Finish]])</f>
        <v>0</v>
      </c>
      <c r="GR94" s="88" t="b">
        <f aca="false">IF(Tasks[[#This Row],[Task Name]]="",FALSE(),OR(NOT(BaselineSet),N(Tasks[[#This Row],[Baseline Start]])&gt;0))</f>
        <v>0</v>
      </c>
      <c r="GS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4" s="90" t="str">
        <f aca="false">IF(Tasks[[#This Row],[_IsLeaf]]=1,Tasks[[#This Row],[_Row]],"")</f>
        <v/>
      </c>
      <c r="GW94" s="90" t="str">
        <f aca="false">IFERROR(INDEX(Tasks[UID],SMALL(Tasks[_PickKey],Tasks[[#This Row],[_Row]]))&amp;" "&amp;INDEX(Tasks[Task Name],SMALL(Tasks[_PickKey],Tasks[[#This Row],[_Row]])),"")</f>
        <v/>
      </c>
      <c r="GX94" s="42" t="str">
        <f aca="false">IF(Tasks[[#This Row],[Task Name]]="","",IF(Tasks[[#This Row],[_IsSummary]],NETWORKDAYS.INTL(Tasks[[#This Row],[Start]],Tasks[[#This Row],[Finish]],WorkWeek,Holidays),N(Tasks[[#This Row],[_Days]])))</f>
        <v/>
      </c>
    </row>
    <row r="95" customFormat="false" ht="15" hidden="false" customHeight="false" outlineLevel="0" collapsed="false">
      <c r="A95" s="21" t="str">
        <f aca="false">IF(Tasks[[#This Row],[Task Name]]="","",COUNTA(Tasks[[#Headers],[Task Name]]:Tasks[[#This Row],[Task Name]])-1)</f>
        <v/>
      </c>
      <c r="B95" s="22" t="n">
        <v>103</v>
      </c>
      <c r="C95" s="22"/>
      <c r="D95" s="23"/>
      <c r="E95" s="22"/>
      <c r="F95" s="23"/>
      <c r="G95" s="22"/>
      <c r="H95" s="22"/>
      <c r="I95" s="23"/>
      <c r="J95" s="22"/>
      <c r="K95" s="22"/>
      <c r="L95" s="23"/>
      <c r="M95" s="22"/>
      <c r="N95" s="22"/>
      <c r="O95" s="23"/>
      <c r="P95" s="22"/>
      <c r="Q95" s="22"/>
      <c r="R95" s="23"/>
      <c r="S95" s="23"/>
      <c r="T95" s="83"/>
      <c r="U95" s="23"/>
      <c r="V95" s="83"/>
      <c r="W95" s="23"/>
      <c r="X95" s="83"/>
      <c r="Y95" s="23"/>
      <c r="Z95" s="83"/>
      <c r="AA95" s="23"/>
      <c r="AB95" s="23"/>
      <c r="AC95" s="7"/>
      <c r="AD95" s="7"/>
      <c r="AE95" s="62" t="str">
        <f aca="false">IF(Tasks[[#This Row],[Task Name]]="","",IF(Tasks[[#This Row],[_IsSummary]],MIN(INDEX(Tasks[_ShownFcstStart],Tasks[[#This Row],[_Row]]+1):INDEX(Tasks[_ShownFcstStart],Tasks[[#This Row],[_Row]]+Tasks[[#This Row],[_Descendants]])),Tasks[[#This Row],[_ShownFcstStart]]))</f>
        <v/>
      </c>
      <c r="AF95" s="62" t="str">
        <f aca="false">IF(Tasks[[#This Row],[Task Name]]="","",IF(Tasks[[#This Row],[_IsSummary]],MAX(INDEX(Tasks[_ShownFcstFinish],Tasks[[#This Row],[_Row]]+1):INDEX(Tasks[_ShownFcstFinish],Tasks[[#This Row],[_Row]]+Tasks[[#This Row],[_Descendants]])),Tasks[[#This Row],[_ShownFcstFinish]]))</f>
        <v/>
      </c>
      <c r="AG95" s="21" t="str">
        <f aca="false">""</f>
        <v/>
      </c>
      <c r="AH95" s="23"/>
      <c r="AI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5" s="7"/>
      <c r="AK95" s="22"/>
      <c r="AL95" s="23"/>
      <c r="AM95" s="7"/>
      <c r="AN95" s="46" t="str">
        <f aca="false">IF(Tasks[[#This Row],[Task Name]]="","",IF(Tasks[[#This Row],[Finish]]&gt;=Tasks[[#This Row],[Planned Finish]],NETWORKDAYS.INTL(Tasks[[#This Row],[Planned Finish]],Tasks[[#This Row],[Finish]],WorkWeek,Holidays)-1,1-NETWORKDAYS.INTL(Tasks[[#This Row],[Finish]],Tasks[[#This Row],[Planned Finish]],WorkWeek,Holidays)))</f>
        <v/>
      </c>
      <c r="AO95" s="21" t="str">
        <f aca="false">IF(Tasks[[#This Row],[Task Name]]="","",IF(Tasks[[#This Row],[Progress]]&gt;=1,"Complete",IF(OR(N(Tasks[[#This Row],[Actual Start]])&gt;0,Tasks[[#This Row],[Progress]]&gt;0),IF(Tasks[[#This Row],[Finish Var]]&gt;0,"Behind","In Progress"),IF(Tasks[[#This Row],[Planned Start]]&lt;StatusDate,"Late Start","Not Started"))))</f>
        <v/>
      </c>
      <c r="AP95" s="21" t="str">
        <f aca="false">IF(Tasks[[#This Row],[Task Name]]="","",IF(IF(Tasks[[#This Row],[_IsSummary]],COUNTIF(INDEX(Tasks[_LeafCritical],Tasks[[#This Row],[_Row]]+1):INDEX(Tasks[_LeafCritical],Tasks[[#This Row],[_Row]]+Tasks[[#This Row],[_Descendants]]),TRUE())&gt;0,Tasks[[#This Row],[_LeafCritical]]),"Yes",""))</f>
        <v/>
      </c>
      <c r="AQ95" s="62" t="str">
        <f aca="false">IF(Tasks[[#This Row],[Task Name]]="","",IF(N(Tasks[[#This Row],[Baseline Start]])&gt;0,Tasks[[#This Row],[Baseline Start]],Tasks[[#This Row],[_CalcStart]]))</f>
        <v/>
      </c>
      <c r="AR95" s="62" t="str">
        <f aca="false">IF(Tasks[[#This Row],[Task Name]]="","",IF(N(Tasks[[#This Row],[Baseline Finish]])&gt;0,Tasks[[#This Row],[Baseline Finish]],Tasks[[#This Row],[_CalcFinish]]))</f>
        <v/>
      </c>
      <c r="AS95" s="46" t="str">
        <f aca="false">IF(Tasks[[#This Row],[Task Name]]="","",IF(Tasks[[#This Row],[Start]]&gt;=Tasks[[#This Row],[Planned Start]],NETWORKDAYS.INTL(Tasks[[#This Row],[Planned Start]],Tasks[[#This Row],[Start]],WorkWeek,Holidays)-1,1-NETWORKDAYS.INTL(Tasks[[#This Row],[Start]],Tasks[[#This Row],[Planned Start]],WorkWeek,Holidays)))</f>
        <v/>
      </c>
      <c r="AT95" s="62" t="str">
        <f aca="false">IF(Tasks[[#This Row],[Task Name]]="","",IF(Tasks[[#This Row],[_IsSummary]],MIN(INDEX(Tasks[_LeafLateStart],Tasks[[#This Row],[_Row]]+1):INDEX(Tasks[_LeafLateStart],Tasks[[#This Row],[_Row]]+Tasks[[#This Row],[_Descendants]])),Tasks[[#This Row],[_LeafLateStart]]))</f>
        <v/>
      </c>
      <c r="AU95" s="62" t="str">
        <f aca="false">IF(Tasks[[#This Row],[Task Name]]="","",IF(Tasks[[#This Row],[_IsSummary]],MAX(INDEX(Tasks[_LeafLateFinish],Tasks[[#This Row],[_Row]]+1):INDEX(Tasks[_LeafLateFinish],Tasks[[#This Row],[_Row]]+Tasks[[#This Row],[_Descendants]])),Tasks[[#This Row],[_LeafLateFinish]]))</f>
        <v/>
      </c>
      <c r="AV95" s="46" t="str">
        <f aca="false">IF(Tasks[[#This Row],[Task Name]]="","",IF(Tasks[[#This Row],[_IsSummary]],MIN(INDEX(Tasks[_LeafTotalSlack],Tasks[[#This Row],[_Row]]+1):INDEX(Tasks[_LeafTotalSlack],Tasks[[#This Row],[_Row]]+Tasks[[#This Row],[_Descendants]])),Tasks[[#This Row],[_LeafTotalSlack]]))</f>
        <v/>
      </c>
      <c r="AW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4"/>
      <c r="BA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t="str">
        <f aca="false">IF(Tasks[[#This Row],[Task Name]]="","",IF(Tasks[[#This Row],[_Level]]&lt;=OutlineShowLevel,"Yes","No"))</f>
        <v/>
      </c>
      <c r="BE95" s="85" t="str">
        <f aca="false">IF(Tasks[[#This Row],[Task Name]]="","",IF(Tasks[[#This Row],[_IsSummary]],SUM(INDEX(Tasks[_LeafTotalWork],Tasks[[#This Row],[_Row]]+1):INDEX(Tasks[_LeafTotalWork],Tasks[[#This Row],[_Row]]+Tasks[[#This Row],[_Descendants]])),Tasks[[#This Row],[_LeafTotalWork]]))</f>
        <v/>
      </c>
      <c r="BF95" s="23"/>
      <c r="BG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t="str">
        <f aca="false">""</f>
        <v/>
      </c>
      <c r="BI95" s="86"/>
      <c r="BJ95" s="22"/>
      <c r="BK95" s="46" t="str">
        <f aca="false">IF(OR(Tasks[[#This Row],[Task Name]]="",Tasks[[#This Row],[Baseline Duration]]=""),"",Tasks[[#This Row],[_SpanDays]]-N(Tasks[[#This Row],[Baseline Duration]]))</f>
        <v/>
      </c>
      <c r="BL95" s="85" t="str">
        <f aca="false">IF(OR(Tasks[[#This Row],[Task Name]]="",Tasks[[#This Row],[Baseline Work]]=""),"",Tasks[[#This Row],[Work]]-N(Tasks[[#This Row],[Baseline Work]]))</f>
        <v/>
      </c>
      <c r="BM95" s="62" t="str">
        <f aca="false">IF(Tasks[[#This Row],[Task Name]]="","",IF(OR(TakeBaseline="Yes",N(Tasks[[#This Row],[Baseline Start]])=0),Tasks[[#This Row],[Start]],Tasks[[#This Row],[Baseline Start]]))</f>
        <v/>
      </c>
      <c r="BN95" s="62" t="str">
        <f aca="false">IF(Tasks[[#This Row],[Task Name]]="","",IF(OR(TakeBaseline="Yes",N(Tasks[[#This Row],[Baseline Finish]])=0),Tasks[[#This Row],[Finish]],Tasks[[#This Row],[Baseline Finish]]))</f>
        <v/>
      </c>
      <c r="BO95" s="21" t="str">
        <f aca="false">IF(Tasks[[#This Row],[Task Name]]="","",IF(OR(TakeBaseline="Yes",N(Tasks[[#This Row],[Baseline Duration]])=0),Tasks[[#This Row],[_SpanDays]],Tasks[[#This Row],[Baseline Duration]]))</f>
        <v/>
      </c>
      <c r="BP95" s="85" t="str">
        <f aca="false">IF(Tasks[[#This Row],[Task Name]]="","",IF(OR(TakeBaseline="Yes",N(Tasks[[#This Row],[Baseline Work]])=0),Tasks[[#This Row],[Work]],Tasks[[#This Row],[Baseline Work]]))</f>
        <v/>
      </c>
      <c r="BQ95" s="7"/>
      <c r="BR95" s="7"/>
      <c r="BS95" s="22"/>
      <c r="BT95" s="87"/>
      <c r="BU95" s="42" t="str">
        <f aca="false">IF(Tasks[[#This Row],[Task Name]]="","",MAX(1,N(Tasks[[#This Row],[Level]])))</f>
        <v/>
      </c>
      <c r="BV95" s="42" t="n">
        <f aca="false">ROW()-ROW(Tasks[[#Headers],[ID]])</f>
        <v>90</v>
      </c>
      <c r="BW95" s="42" t="n">
        <f aca="false">IF(OR(Tasks[[#This Row],[Task Name]]="",Tasks[[#This Row],[_Level]]&lt;=1),0,IFERROR(LOOKUP(2,1/(Tasks[[#Headers],[_Level]]:Tasks[[#This Row],[_Level]]=Tasks[[#This Row],[_Level]]-1),ROW(Tasks[[#Headers],[_Level]]:Tasks[[#This Row],[_Level]])),0))</f>
        <v>0</v>
      </c>
      <c r="BX95" s="42" t="n">
        <f aca="false">IFERROR(N(INDEX(Tasks[_Level],Tasks[[#This Row],[_Row]]+1)),0)</f>
        <v>0</v>
      </c>
      <c r="BY95" s="88" t="b">
        <f aca="false">AND(Tasks[[#This Row],[Task Name]]&lt;&gt;"",Tasks[[#This Row],[_NextLevel]]&gt;Tasks[[#This Row],[_Level]])</f>
        <v>0</v>
      </c>
      <c r="BZ95" s="42" t="n">
        <f aca="false">IF(Tasks[[#This Row],[_IsSummary]],COUNTIF(Tasks[WBS],Tasks[[#This Row],[WBS]]&amp;".*"),0)</f>
        <v>0</v>
      </c>
      <c r="CA95" s="42" t="n">
        <f aca="false">IF(AND(Tasks[[#This Row],[Task Name]]&lt;&gt;"",NOT(Tasks[[#This Row],[_IsSummary]])),1,0)</f>
        <v>0</v>
      </c>
      <c r="CB95" s="42" t="n">
        <f aca="false">IF(N(Tasks[[#This Row],[_Pred1UID]])=0,0,IFERROR(MATCH(Tasks[[#This Row],[_Pred1UID]],Tasks[UID],0),-1))</f>
        <v>0</v>
      </c>
      <c r="CC95" s="42" t="n">
        <f aca="false">IF(N(Tasks[[#This Row],[_Pred2UID]])=0,0,IFERROR(MATCH(Tasks[[#This Row],[_Pred2UID]],Tasks[UID],0),-1))</f>
        <v>0</v>
      </c>
      <c r="CD95" s="42" t="n">
        <f aca="false">IF(N(Tasks[[#This Row],[_Pred3UID]])=0,0,IFERROR(MATCH(Tasks[[#This Row],[_Pred3UID]],Tasks[UID],0),-1))</f>
        <v>0</v>
      </c>
      <c r="CE95" s="42" t="n">
        <f aca="false">IF(N(Tasks[[#This Row],[_Pred4UID]])=0,0,IFERROR(MATCH(Tasks[[#This Row],[_Pred4UID]],Tasks[UID],0),-1))</f>
        <v>0</v>
      </c>
      <c r="CF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5" s="89" t="n">
        <f aca="false">IF(OR(Tasks[[#This Row],[_ConstraintCode]]=2,Tasks[[#This Row],[_ConstraintCode]]=3,Tasks[[#This Row],[_ConstraintCode]]=4,Tasks[[#This Row],[_ConstraintCode]]=6),Tasks[[#This Row],[_ConstraintStart]],0)</f>
        <v>0</v>
      </c>
      <c r="CI95" s="89" t="n">
        <f aca="false">IF(OR(Tasks[[#This Row],[_ConstraintCode]]=2,Tasks[[#This Row],[_ConstraintCode]]=3,Tasks[[#This Row],[_ConstraintCode]]=5,Tasks[[#This Row],[_ConstraintCode]]=7),Tasks[[#This Row],[_ConstraintStart]],2958465)</f>
        <v>2958465</v>
      </c>
      <c r="CJ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5" s="89" t="str">
        <f aca="false">IF(NOT(Tasks[[#This Row],[_IsLeaf]]=1),"",IF(N(Tasks[[#This Row],[_Days]])&lt;=0,Tasks[[#This Row],[_LeafCalcStart]],WORKDAY.INTL(Tasks[[#This Row],[_LeafCalcStart]],Tasks[[#This Row],[_Days]]-1,WorkWeek,Holidays)))</f>
        <v/>
      </c>
      <c r="CL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5" s="42" t="str">
        <f aca="false">IF(Tasks[[#This Row],[_Predecessors]]="","",TRIM(MID(SUBSTITUTE(SUBSTITUTE(SUBSTITUTE(UPPER(Tasks[[#This Row],[_Predecessors]]),";",",")," ",""),",",REPT(" ",99)),1,99)))</f>
        <v/>
      </c>
      <c r="CO95" s="42" t="str">
        <f aca="false">IF(Tasks[[#This Row],[_Pred1Text]]="","",IFERROR(VALUE(LEFT(Tasks[[#This Row],[_Pred1Text]],MIN(FIND("F",Tasks[[#This Row],[_Pred1Text]]&amp;"F"),FIND("S",Tasks[[#This Row],[_Pred1Text]]&amp;"S"),FIND("+",Tasks[[#This Row],[_Pred1Text]]&amp;"+"),FIND("-",Tasks[[#This Row],[_Pred1Text]]&amp;"-"))-1)),""))</f>
        <v/>
      </c>
      <c r="CP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5" s="42" t="str">
        <f aca="false">IF(Tasks[[#This Row],[_Pred1Text]]="","",TRIM(MID(SUBSTITUTE(SUBSTITUTE(SUBSTITUTE(UPPER(Tasks[[#This Row],[_Predecessors]]),";",",")," ",""),",",REPT(" ",99)),100,99)))</f>
        <v/>
      </c>
      <c r="CS95" s="42" t="str">
        <f aca="false">IF(Tasks[[#This Row],[_Pred2Text]]="","",IFERROR(VALUE(LEFT(Tasks[[#This Row],[_Pred2Text]],MIN(FIND("F",Tasks[[#This Row],[_Pred2Text]]&amp;"F"),FIND("S",Tasks[[#This Row],[_Pred2Text]]&amp;"S"),FIND("+",Tasks[[#This Row],[_Pred2Text]]&amp;"+"),FIND("-",Tasks[[#This Row],[_Pred2Text]]&amp;"-"))-1)),""))</f>
        <v/>
      </c>
      <c r="CT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5" s="42" t="str">
        <f aca="false">IF(Tasks[[#This Row],[_Pred2Text]]="","",TRIM(MID(SUBSTITUTE(SUBSTITUTE(SUBSTITUTE(UPPER(Tasks[[#This Row],[_Predecessors]]),";",",")," ",""),",",REPT(" ",99)),199,99)))</f>
        <v/>
      </c>
      <c r="CW95" s="42" t="str">
        <f aca="false">IF(Tasks[[#This Row],[_Pred3Text]]="","",IFERROR(VALUE(LEFT(Tasks[[#This Row],[_Pred3Text]],MIN(FIND("F",Tasks[[#This Row],[_Pred3Text]]&amp;"F"),FIND("S",Tasks[[#This Row],[_Pred3Text]]&amp;"S"),FIND("+",Tasks[[#This Row],[_Pred3Text]]&amp;"+"),FIND("-",Tasks[[#This Row],[_Pred3Text]]&amp;"-"))-1)),""))</f>
        <v/>
      </c>
      <c r="CX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5" s="42" t="str">
        <f aca="false">IF(Tasks[[#This Row],[_Pred3Text]]="","",TRIM(MID(SUBSTITUTE(SUBSTITUTE(SUBSTITUTE(UPPER(Tasks[[#This Row],[_Predecessors]]),";",",")," ",""),",",REPT(" ",99)),298,99)))</f>
        <v/>
      </c>
      <c r="DA95" s="42" t="str">
        <f aca="false">IF(Tasks[[#This Row],[_Pred4Text]]="","",IFERROR(VALUE(LEFT(Tasks[[#This Row],[_Pred4Text]],MIN(FIND("F",Tasks[[#This Row],[_Pred4Text]]&amp;"F"),FIND("S",Tasks[[#This Row],[_Pred4Text]]&amp;"S"),FIND("+",Tasks[[#This Row],[_Pred4Text]]&amp;"+"),FIND("-",Tasks[[#This Row],[_Pred4Text]]&amp;"-"))-1)),""))</f>
        <v/>
      </c>
      <c r="DB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5" s="42" t="str">
        <f aca="false">IF(OR(Tasks[[#This Row],[Task Name]]="",Tasks[[#This Row],[_Resources]]=""),"",TRIM(MID(SUBSTITUTE(Tasks[[#This Row],[_Resources]],",",REPT(" ",99)),1,99)))</f>
        <v/>
      </c>
      <c r="DE95" s="42" t="str">
        <f aca="false">IF(Tasks[[#This Row],[_Res1Text]]="","",TRIM(MID(SUBSTITUTE(Tasks[[#This Row],[_Resources]],",",REPT(" ",99)),100,99)))</f>
        <v/>
      </c>
      <c r="DF95" s="42" t="str">
        <f aca="false">IF(Tasks[[#This Row],[_Res2Text]]="","",TRIM(MID(SUBSTITUTE(Tasks[[#This Row],[_Resources]],",",REPT(" ",99)),199,99)))</f>
        <v/>
      </c>
      <c r="DG95" s="42" t="str">
        <f aca="false">IF(Tasks[[#This Row],[_Res3Text]]="","",TRIM(MID(SUBSTITUTE(Tasks[[#This Row],[_Resources]],",",REPT(" ",99)),298,99)))</f>
        <v/>
      </c>
      <c r="DH95" s="42" t="n">
        <f aca="false">IF(Tasks[[#This Row],[_Res1Text]]="",0,IFERROR(MATCH(TRIM(LEFT(Tasks[[#This Row],[_Res1Text]],FIND("[",Tasks[[#This Row],[_Res1Text]]&amp;"[")-1)),res_Name,0),IFERROR(MATCH(TRIM(LEFT(Tasks[[#This Row],[_Res1Text]],FIND("[",Tasks[[#This Row],[_Res1Text]]&amp;"[")-1)),res_Initials,0),0)))</f>
        <v>0</v>
      </c>
      <c r="DI95" s="42" t="n">
        <f aca="false">IF(Tasks[[#This Row],[_Res2Text]]="",0,IFERROR(MATCH(TRIM(LEFT(Tasks[[#This Row],[_Res2Text]],FIND("[",Tasks[[#This Row],[_Res2Text]]&amp;"[")-1)),res_Name,0),IFERROR(MATCH(TRIM(LEFT(Tasks[[#This Row],[_Res2Text]],FIND("[",Tasks[[#This Row],[_Res2Text]]&amp;"[")-1)),res_Initials,0),0)))</f>
        <v>0</v>
      </c>
      <c r="DJ95" s="42" t="n">
        <f aca="false">IF(Tasks[[#This Row],[_Res3Text]]="",0,IFERROR(MATCH(TRIM(LEFT(Tasks[[#This Row],[_Res3Text]],FIND("[",Tasks[[#This Row],[_Res3Text]]&amp;"[")-1)),res_Name,0),IFERROR(MATCH(TRIM(LEFT(Tasks[[#This Row],[_Res3Text]],FIND("[",Tasks[[#This Row],[_Res3Text]]&amp;"[")-1)),res_Initials,0),0)))</f>
        <v>0</v>
      </c>
      <c r="DK95" s="42" t="n">
        <f aca="false">IF(Tasks[[#This Row],[_Res4Text]]="",0,IFERROR(MATCH(TRIM(LEFT(Tasks[[#This Row],[_Res4Text]],FIND("[",Tasks[[#This Row],[_Res4Text]]&amp;"[")-1)),res_Name,0),IFERROR(MATCH(TRIM(LEFT(Tasks[[#This Row],[_Res4Text]],FIND("[",Tasks[[#This Row],[_Res4Text]]&amp;"[")-1)),res_Initials,0),0)))</f>
        <v>0</v>
      </c>
      <c r="DL95" s="42" t="str">
        <f aca="false">IF(Tasks[[#This Row],[_Res1Text]]="","",IF(Tasks[[#This Row],[_Res1Row]]&gt;0,INDEX(res_Name,Tasks[[#This Row],[_Res1Row]]),TRIM(LEFT(Tasks[[#This Row],[_Res1Text]],FIND("[",Tasks[[#This Row],[_Res1Text]]&amp;"[")-1))))</f>
        <v/>
      </c>
      <c r="DM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5" s="42" t="n">
        <f aca="false">IF(NOT(Tasks[[#This Row],[_IsLeaf]]=1),0,(Tasks[[#This Row],[_Resource1]]&lt;&gt;"")+(Tasks[[#This Row],[_Res2]]&lt;&gt;"")+(Tasks[[#This Row],[_Res3]]&lt;&gt;"")+(Tasks[[#This Row],[_Res4]]&lt;&gt;""))</f>
        <v>0</v>
      </c>
      <c r="DO95" s="42" t="str">
        <f aca="false">IF(Tasks[[#This Row],[_Res2Text]]="","",IF(Tasks[[#This Row],[_Res2Row]]&gt;0,INDEX(res_Name,Tasks[[#This Row],[_Res2Row]]),TRIM(LEFT(Tasks[[#This Row],[_Res2Text]],FIND("[",Tasks[[#This Row],[_Res2Text]]&amp;"[")-1))))</f>
        <v/>
      </c>
      <c r="DP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5" s="42" t="n">
        <f aca="false">IF(OR(NOT(Tasks[[#This Row],[_IsLeaf]]=1),Tasks[[#This Row],[_Res2Row]]=0),0,N(Tasks[[#This Row],[_Days]])*HoursPerDay*IF(Tasks[[#This Row],[_Res2Units]]="",DefaultUnits,Tasks[[#This Row],[_Res2Units]]))</f>
        <v>0</v>
      </c>
      <c r="DR95" s="42" t="n">
        <f aca="false">IF(AND(AND(Tasks[[#This Row],[_IsLeaf]]=1,Tasks[[#This Row],[_LeafTotalWork]]&gt;0),Tasks[[#This Row],[_Res2Work]]&gt;0),Tasks[[#This Row],[_Res2Work]]/(Tasks[[#This Row],[_FinishWorkday]]-Tasks[[#This Row],[_StartWorkday]]+1),0)</f>
        <v>0</v>
      </c>
      <c r="DS95" s="42" t="n">
        <f aca="false">Tasks[[#This Row],[_Res2WorkPerWD]]*MAX(0,Tasks[[#This Row],[_StartWorkday]]-1)</f>
        <v>0</v>
      </c>
      <c r="DT95" s="42" t="n">
        <f aca="false">Tasks[[#This Row],[_Res2Work]]*Tasks[[#This Row],[_LeafProgress]]</f>
        <v>0</v>
      </c>
      <c r="DU95" s="42" t="str">
        <f aca="false">IF(Tasks[[#This Row],[_Res3Text]]="","",IF(Tasks[[#This Row],[_Res3Row]]&gt;0,INDEX(res_Name,Tasks[[#This Row],[_Res3Row]]),TRIM(LEFT(Tasks[[#This Row],[_Res3Text]],FIND("[",Tasks[[#This Row],[_Res3Text]]&amp;"[")-1))))</f>
        <v/>
      </c>
      <c r="DV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5" s="42" t="n">
        <f aca="false">IF(OR(NOT(Tasks[[#This Row],[_IsLeaf]]=1),Tasks[[#This Row],[_Res3Row]]=0),0,N(Tasks[[#This Row],[_Days]])*HoursPerDay*IF(Tasks[[#This Row],[_Res3Units]]="",DefaultUnits,Tasks[[#This Row],[_Res3Units]]))</f>
        <v>0</v>
      </c>
      <c r="DX95" s="42" t="n">
        <f aca="false">IF(AND(AND(Tasks[[#This Row],[_IsLeaf]]=1,Tasks[[#This Row],[_LeafTotalWork]]&gt;0),Tasks[[#This Row],[_Res3Work]]&gt;0),Tasks[[#This Row],[_Res3Work]]/(Tasks[[#This Row],[_FinishWorkday]]-Tasks[[#This Row],[_StartWorkday]]+1),0)</f>
        <v>0</v>
      </c>
      <c r="DY95" s="42" t="n">
        <f aca="false">Tasks[[#This Row],[_Res3WorkPerWD]]*MAX(0,Tasks[[#This Row],[_StartWorkday]]-1)</f>
        <v>0</v>
      </c>
      <c r="DZ95" s="42" t="n">
        <f aca="false">Tasks[[#This Row],[_Res3Work]]*Tasks[[#This Row],[_LeafProgress]]</f>
        <v>0</v>
      </c>
      <c r="EA95" s="42" t="str">
        <f aca="false">IF(Tasks[[#This Row],[_Res4Text]]="","",IF(Tasks[[#This Row],[_Res4Row]]&gt;0,INDEX(res_Name,Tasks[[#This Row],[_Res4Row]]),TRIM(LEFT(Tasks[[#This Row],[_Res4Text]],FIND("[",Tasks[[#This Row],[_Res4Text]]&amp;"[")-1))))</f>
        <v/>
      </c>
      <c r="EB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5" s="42" t="n">
        <f aca="false">IF(OR(NOT(Tasks[[#This Row],[_IsLeaf]]=1),Tasks[[#This Row],[_Res4Row]]=0),0,N(Tasks[[#This Row],[_Days]])*HoursPerDay*IF(Tasks[[#This Row],[_Res4Units]]="",DefaultUnits,Tasks[[#This Row],[_Res4Units]]))</f>
        <v>0</v>
      </c>
      <c r="ED95" s="42" t="n">
        <f aca="false">IF(AND(AND(Tasks[[#This Row],[_IsLeaf]]=1,Tasks[[#This Row],[_LeafTotalWork]]&gt;0),Tasks[[#This Row],[_Res4Work]]&gt;0),Tasks[[#This Row],[_Res4Work]]/(Tasks[[#This Row],[_FinishWorkday]]-Tasks[[#This Row],[_StartWorkday]]+1),0)</f>
        <v>0</v>
      </c>
      <c r="EE95" s="42" t="n">
        <f aca="false">Tasks[[#This Row],[_Res4WorkPerWD]]*MAX(0,Tasks[[#This Row],[_StartWorkday]]-1)</f>
        <v>0</v>
      </c>
      <c r="EF95" s="42" t="n">
        <f aca="false">Tasks[[#This Row],[_Res4Work]]*Tasks[[#This Row],[_LeafProgress]]</f>
        <v>0</v>
      </c>
      <c r="EG95" s="42" t="n">
        <f aca="false">IF(ISNUMBER(Tasks[[#This Row],[% Complete]]),Tasks[[#This Row],[% Complete]],IF(Tasks[[#This Row],[Stage]]="",0,IFERROR(INDEX(stg_Pct,MATCH(Tasks[[#This Row],[Stage]],stg_Name,0)),0)))</f>
        <v>0</v>
      </c>
      <c r="EH95" s="42" t="n">
        <f aca="false">IF(NOT(Tasks[[#This Row],[_IsLeaf]]=1),0,IF(N(Tasks[[#This Row],[Actual Finish]])&gt;0,1,MIN(1,Tasks[[#This Row],[_Pct]])))</f>
        <v>0</v>
      </c>
      <c r="EI95" s="42" t="n">
        <f aca="false">IF(OR(NOT(Tasks[[#This Row],[_IsLeaf]]=1),Tasks[[#This Row],[_Res1Row]]=0),0,N(Tasks[[#This Row],[_Days]])*HoursPerDay*IF(Tasks[[#This Row],[_Units1]]="",DefaultUnits,Tasks[[#This Row],[_Units1]]))</f>
        <v>0</v>
      </c>
      <c r="EJ95" s="42" t="n">
        <f aca="false">Tasks[[#This Row],[_LeafWork]]+Tasks[[#This Row],[_Res2Work]]+Tasks[[#This Row],[_Res3Work]]+Tasks[[#This Row],[_Res4Work]]</f>
        <v>0</v>
      </c>
      <c r="EK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5" s="42" t="n">
        <f aca="false">IF(NOT(Tasks[[#This Row],[_IsLeaf]]=1),0,MAX(_xlfn.MAXIFS(Tasks[_Row],Tasks[_Pred1UID],Tasks[[#This Row],[UID]]),_xlfn.MAXIFS(Tasks[_Row],Tasks[_Pred2UID],Tasks[[#This Row],[UID]]),_xlfn.MAXIFS(Tasks[_Row],Tasks[_Pred3UID],Tasks[[#This Row],[UID]]),_xlfn.MAXIFS(Tasks[_Row],Tasks[_Pred4UID],Tasks[[#This Row],[UID]])))</f>
        <v>0</v>
      </c>
      <c r="ET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5" s="89" t="str">
        <f aca="false">IF(NOT(Tasks[[#This Row],[_IsLeaf]]=1),"",IF(N(Tasks[[#This Row],[_Days]])&lt;=0,Tasks[[#This Row],[_LeafLateFinish]],WORKDAY.INTL(Tasks[[#This Row],[_LeafLateFinish]],-(Tasks[[#This Row],[_Days]]-1),WorkWeek,Holidays)))</f>
        <v/>
      </c>
      <c r="EW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5" s="88" t="b">
        <f aca="false">AND(Tasks[[#This Row],[_IsLeaf]]=1,Tasks[[#This Row],[_LeafProgress]]&lt;1,N(Tasks[[#This Row],[_LeafTotalSlack]])&lt;=CriticalSlackDays)</f>
        <v>0</v>
      </c>
      <c r="EY95" s="42" t="n">
        <f aca="false">IF(AND(Tasks[[#This Row],[_IsLeaf]]=1,Tasks[[#This Row],[_ConstraintCode]]=1,Tasks[[#This Row],[Mode]]&lt;&gt;"Manual",N(Tasks[[#This Row],[Actual Start]])=0),MAX(0,N(Tasks[[#This Row],[Free Slack]])),0)</f>
        <v>0</v>
      </c>
      <c r="EZ95" s="89" t="str">
        <f aca="false">IF(NOT(Tasks[[#This Row],[_IsLeaf]]=1),"",IF(Tasks[[#This Row],[_AlapShift]]=0,Tasks[[#This Row],[_LeafCalcStart]],WORKDAY.INTL(Tasks[[#This Row],[_LeafCalcStart]],Tasks[[#This Row],[_AlapShift]],WorkWeek,Holidays)))</f>
        <v/>
      </c>
      <c r="FA95" s="89" t="str">
        <f aca="false">IF(NOT(Tasks[[#This Row],[_IsLeaf]]=1),"",IF(Tasks[[#This Row],[_AlapShift]]=0,Tasks[[#This Row],[_LeafCalcFinish]],WORKDAY.INTL(Tasks[[#This Row],[_LeafCalcFinish]],Tasks[[#This Row],[_AlapShift]],WorkWeek,Holidays)))</f>
        <v/>
      </c>
      <c r="FB95" s="89" t="str">
        <f aca="false">IF(NOT(Tasks[[#This Row],[_IsLeaf]]=1),"",IF(Tasks[[#This Row],[_AlapShift]]=0,Tasks[[#This Row],[_LeafFcstStart]],WORKDAY.INTL(Tasks[[#This Row],[_LeafFcstStart]],Tasks[[#This Row],[_AlapShift]],WorkWeek,Holidays)))</f>
        <v/>
      </c>
      <c r="FC95" s="89" t="str">
        <f aca="false">IF(NOT(Tasks[[#This Row],[_IsLeaf]]=1),"",IF(Tasks[[#This Row],[_AlapShift]]=0,Tasks[[#This Row],[_LeafFcstFinish]],WORKDAY.INTL(Tasks[[#This Row],[_LeafFcstFinish]],Tasks[[#This Row],[_AlapShift]],WorkWeek,Holidays)))</f>
        <v/>
      </c>
      <c r="FD95" s="89" t="str">
        <f aca="false">IF(Tasks[[#This Row],[Task Name]]="","",IF(Tasks[[#This Row],[_IsSummary]],MIN(INDEX(Tasks[_ShownCalcStart],Tasks[[#This Row],[_Row]]+1):INDEX(Tasks[_ShownCalcStart],Tasks[[#This Row],[_Row]]+Tasks[[#This Row],[_Descendants]])),Tasks[[#This Row],[_ShownCalcStart]]))</f>
        <v/>
      </c>
      <c r="FE95" s="89" t="str">
        <f aca="false">IF(Tasks[[#This Row],[Task Name]]="","",IF(Tasks[[#This Row],[_IsSummary]],MAX(INDEX(Tasks[_ShownCalcFinish],Tasks[[#This Row],[_Row]]+1):INDEX(Tasks[_ShownCalcFinish],Tasks[[#This Row],[_Row]]+Tasks[[#This Row],[_Descendants]])),Tasks[[#This Row],[_ShownCalcFinish]]))</f>
        <v/>
      </c>
      <c r="FF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5" s="42" t="n">
        <f aca="false">IF(AND(Tasks[[#This Row],[_IsLeaf]]=1,Tasks[[#This Row],[_LeafTotalWork]]&gt;0),NETWORKDAYS.INTL(ProjectStart,Tasks[[#This Row],[_ShownFcstStart]],WorkWeek,Holidays),0)</f>
        <v>0</v>
      </c>
      <c r="FS95" s="42" t="n">
        <f aca="false">IF(AND(Tasks[[#This Row],[_IsLeaf]]=1,Tasks[[#This Row],[_LeafTotalWork]]&gt;0),MAX(Tasks[[#This Row],[_StartWorkday]],NETWORKDAYS.INTL(ProjectStart,Tasks[[#This Row],[_ShownFcstFinish]],WorkWeek,Holidays)),0)</f>
        <v>0</v>
      </c>
      <c r="FT95" s="42" t="n">
        <f aca="false">IF(AND(Tasks[[#This Row],[_IsLeaf]]=1,Tasks[[#This Row],[_LeafTotalWork]]&gt;0),Tasks[[#This Row],[_LeafWork]]/(Tasks[[#This Row],[_FinishWorkday]]-Tasks[[#This Row],[_StartWorkday]]+1),0)</f>
        <v>0</v>
      </c>
      <c r="FU95" s="42" t="n">
        <f aca="false">Tasks[[#This Row],[_WorkPerWorkday]]*(Tasks[[#This Row],[_StartWorkday]]-1)</f>
        <v>-0</v>
      </c>
      <c r="FV95" s="42" t="n">
        <f aca="false">IF(Tasks[[#This Row],[_IsLeaf]]=1,MAX(N(Tasks[[#This Row],[_Days]]),0.1),0)</f>
        <v>0</v>
      </c>
      <c r="FW95" s="42" t="n">
        <f aca="false">Tasks[[#This Row],[_WeightDur]]*Tasks[[#This Row],[_LeafProgress]]</f>
        <v>0</v>
      </c>
      <c r="FX95" s="42" t="n">
        <f aca="false">Tasks[[#This Row],[_WeightDur]]*Tasks[[#This Row],[_PlannedPct]]</f>
        <v>0</v>
      </c>
      <c r="FY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5" s="42" t="str">
        <f aca="false">IF(AND(Tasks[[#This Row],[_IsLeaf]]=1,N(Tasks[[#This Row],[_Days]])=0,Tasks[[#This Row],[_LeafProgress]]&lt;1),Tasks[[#This Row],[_ShownFcstFinish]]+Tasks[[#This Row],[_Row]]/100000,"")</f>
        <v/>
      </c>
      <c r="GA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5" s="42" t="str">
        <f aca="false">IF(Tasks[[#This Row],[Task Name]]="","",LEFT(Tasks[[#This Row],[WBS]],FIND(".",Tasks[[#This Row],[WBS]]&amp;".")-1))</f>
        <v/>
      </c>
      <c r="GC95" s="42" t="str">
        <f aca="false">IF(AND(Tasks[[#This Row],[Task Name]]&lt;&gt;"",Tasks[[#This Row],[_Level]]=1),Tasks[[#This Row],[_Row]],"")</f>
        <v/>
      </c>
      <c r="GD95" s="42" t="str">
        <f aca="false">IF(AND(Tasks[[#This Row],[_IsLeaf]]=1,N(Tasks[[#This Row],[_Days]])=0),Tasks[[#This Row],[Planned Finish]]+Tasks[[#This Row],[_Row]]/100000,"")</f>
        <v/>
      </c>
      <c r="GE95" s="42" t="str">
        <f aca="false">IF(AND(Tasks[[#This Row],[_IsLeaf]]=1,Tasks[[#This Row],[_LeafProgress]]&lt;1,OR(N(Tasks[[#This Row],[Finish Var]])&gt;0,Tasks[[#This Row],[Status]]="Late Start")),MAX(0,Tasks[[#This Row],[Finish Var]])+1-Tasks[[#This Row],[_Row]]/1000000,"")</f>
        <v/>
      </c>
      <c r="GF95" s="42" t="str">
        <f aca="false">IF(AND(Tasks[[#This Row],[_IsLeaf]]=1,N(Tasks[[#This Row],[Actual Start]])=0,Tasks[[#This Row],[_ShownFcstStart]]&gt;=StatusDate,Tasks[[#This Row],[_ShownFcstStart]]&lt;=LookaheadEnd),Tasks[[#This Row],[_ShownFcstStart]]+Tasks[[#This Row],[_Row]]/100000,"")</f>
        <v/>
      </c>
      <c r="GG95" s="42" t="str">
        <f aca="false">IF(AND(Tasks[[#This Row],[_IsLeaf]]=1,Tasks[[#This Row],[_LeafProgress]]&lt;1,Tasks[[#This Row],[_ShownFcstFinish]]&gt;=StatusDate,Tasks[[#This Row],[_ShownFcstFinish]]&lt;=LookaheadEnd),Tasks[[#This Row],[_ShownFcstFinish]]+Tasks[[#This Row],[_Row]]/100000,"")</f>
        <v/>
      </c>
      <c r="GH95" s="42" t="str">
        <f aca="false">IF(Tasks[[#This Row],[_LeafCritical]],Tasks[[#This Row],[_ShownFcstStart]]+Tasks[[#This Row],[_Row]]/100000,"")</f>
        <v/>
      </c>
      <c r="GI95" s="42" t="n">
        <f aca="false">Tasks[[#This Row],[_LeafWork]]*Tasks[[#This Row],[_LeafProgress]]</f>
        <v>0</v>
      </c>
      <c r="GJ95" s="89" t="str">
        <f aca="false">IF(AND(Tasks[[#This Row],[_IsLeaf]]=1,Tasks[[#This Row],[_LeafProgress]]&gt;=1),IF(N(Tasks[[#This Row],[Actual Finish]])&gt;0,Tasks[[#This Row],[Actual Finish]],Tasks[[#This Row],[_ShownFcstFinish]]),"")</f>
        <v/>
      </c>
      <c r="GK95" s="42" t="n">
        <f aca="false">IF(Tasks[[#This Row],[_IsLeaf]]=1,N(Tasks[[#This Row],[Story Points]]),0)</f>
        <v>0</v>
      </c>
      <c r="GL95" s="42" t="str">
        <f aca="false">""</f>
        <v/>
      </c>
      <c r="GM95" s="88" t="b">
        <f aca="false">IF(Tasks[[#This Row],[Task Name]]="",FALSE(),AND(Tasks[[#This Row],[_IsLeaf]]=1,N(Tasks[[#This Row],[_Days]])=0))</f>
        <v>0</v>
      </c>
      <c r="GN95" s="89" t="n">
        <f aca="false">IF(Tasks[[#This Row],[Task Name]]="",0,IF(AND(Tasks[[#This Row],[_IsLeaf]]=1,NOT(Tasks[[#This Row],[_IsMilestone]]),N(Tasks[[#This Row],[Progress]])&gt;0),Tasks[[#This Row],[Start]],0))</f>
        <v>0</v>
      </c>
      <c r="GO95" s="89" t="n">
        <f aca="false">IF(Tasks[[#This Row],[_DoneFrom]]=0,0,IF(Tasks[[#This Row],[Progress]]&gt;=1,Tasks[[#This Row],[Finish]],MAX(Tasks[[#This Row],[_DoneFrom]],Tasks[[#This Row],[Start]]+ROUND((Tasks[[#This Row],[Finish]]-Tasks[[#This Row],[Start]]+1)*Tasks[[#This Row],[Progress]],0)-1)))</f>
        <v>0</v>
      </c>
      <c r="GP95" s="89" t="n">
        <f aca="false">IF(Tasks[[#This Row],[Task Name]]="",0,IF(OR(NOT(Tasks[[#This Row],[_IsLeaf]]=1),Tasks[[#This Row],[_IsMilestone]],N(Tasks[[#This Row],[Progress]])&gt;=1),0,IF(Tasks[[#This Row],[_DoneTo]]&gt;0,Tasks[[#This Row],[_DoneTo]]+1,Tasks[[#This Row],[Start]])))</f>
        <v>0</v>
      </c>
      <c r="GQ95" s="89" t="n">
        <f aca="false">IF(Tasks[[#This Row],[_RemFrom]]=0,0,Tasks[[#This Row],[Finish]])</f>
        <v>0</v>
      </c>
      <c r="GR95" s="88" t="b">
        <f aca="false">IF(Tasks[[#This Row],[Task Name]]="",FALSE(),OR(NOT(BaselineSet),N(Tasks[[#This Row],[Baseline Start]])&gt;0))</f>
        <v>0</v>
      </c>
      <c r="GS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5" s="90" t="str">
        <f aca="false">IF(Tasks[[#This Row],[_IsLeaf]]=1,Tasks[[#This Row],[_Row]],"")</f>
        <v/>
      </c>
      <c r="GW95" s="90" t="str">
        <f aca="false">IFERROR(INDEX(Tasks[UID],SMALL(Tasks[_PickKey],Tasks[[#This Row],[_Row]]))&amp;" "&amp;INDEX(Tasks[Task Name],SMALL(Tasks[_PickKey],Tasks[[#This Row],[_Row]])),"")</f>
        <v/>
      </c>
      <c r="GX95" s="42" t="str">
        <f aca="false">IF(Tasks[[#This Row],[Task Name]]="","",IF(Tasks[[#This Row],[_IsSummary]],NETWORKDAYS.INTL(Tasks[[#This Row],[Start]],Tasks[[#This Row],[Finish]],WorkWeek,Holidays),N(Tasks[[#This Row],[_Days]])))</f>
        <v/>
      </c>
    </row>
    <row r="96" customFormat="false" ht="15" hidden="false" customHeight="false" outlineLevel="0" collapsed="false">
      <c r="A96" s="21" t="str">
        <f aca="false">IF(Tasks[[#This Row],[Task Name]]="","",COUNTA(Tasks[[#Headers],[Task Name]]:Tasks[[#This Row],[Task Name]])-1)</f>
        <v/>
      </c>
      <c r="B96" s="22" t="n">
        <v>104</v>
      </c>
      <c r="C96" s="22"/>
      <c r="D96" s="23"/>
      <c r="E96" s="22"/>
      <c r="F96" s="23"/>
      <c r="G96" s="22"/>
      <c r="H96" s="22"/>
      <c r="I96" s="23"/>
      <c r="J96" s="22"/>
      <c r="K96" s="22"/>
      <c r="L96" s="23"/>
      <c r="M96" s="22"/>
      <c r="N96" s="22"/>
      <c r="O96" s="23"/>
      <c r="P96" s="22"/>
      <c r="Q96" s="22"/>
      <c r="R96" s="23"/>
      <c r="S96" s="23"/>
      <c r="T96" s="83"/>
      <c r="U96" s="23"/>
      <c r="V96" s="83"/>
      <c r="W96" s="23"/>
      <c r="X96" s="83"/>
      <c r="Y96" s="23"/>
      <c r="Z96" s="83"/>
      <c r="AA96" s="23"/>
      <c r="AB96" s="23"/>
      <c r="AC96" s="7"/>
      <c r="AD96" s="7"/>
      <c r="AE96" s="62" t="str">
        <f aca="false">IF(Tasks[[#This Row],[Task Name]]="","",IF(Tasks[[#This Row],[_IsSummary]],MIN(INDEX(Tasks[_ShownFcstStart],Tasks[[#This Row],[_Row]]+1):INDEX(Tasks[_ShownFcstStart],Tasks[[#This Row],[_Row]]+Tasks[[#This Row],[_Descendants]])),Tasks[[#This Row],[_ShownFcstStart]]))</f>
        <v/>
      </c>
      <c r="AF96" s="62" t="str">
        <f aca="false">IF(Tasks[[#This Row],[Task Name]]="","",IF(Tasks[[#This Row],[_IsSummary]],MAX(INDEX(Tasks[_ShownFcstFinish],Tasks[[#This Row],[_Row]]+1):INDEX(Tasks[_ShownFcstFinish],Tasks[[#This Row],[_Row]]+Tasks[[#This Row],[_Descendants]])),Tasks[[#This Row],[_ShownFcstFinish]]))</f>
        <v/>
      </c>
      <c r="AG96" s="21" t="str">
        <f aca="false">""</f>
        <v/>
      </c>
      <c r="AH96" s="23"/>
      <c r="AI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6" s="7"/>
      <c r="AK96" s="22"/>
      <c r="AL96" s="23"/>
      <c r="AM96" s="7"/>
      <c r="AN96" s="46" t="str">
        <f aca="false">IF(Tasks[[#This Row],[Task Name]]="","",IF(Tasks[[#This Row],[Finish]]&gt;=Tasks[[#This Row],[Planned Finish]],NETWORKDAYS.INTL(Tasks[[#This Row],[Planned Finish]],Tasks[[#This Row],[Finish]],WorkWeek,Holidays)-1,1-NETWORKDAYS.INTL(Tasks[[#This Row],[Finish]],Tasks[[#This Row],[Planned Finish]],WorkWeek,Holidays)))</f>
        <v/>
      </c>
      <c r="AO96" s="21" t="str">
        <f aca="false">IF(Tasks[[#This Row],[Task Name]]="","",IF(Tasks[[#This Row],[Progress]]&gt;=1,"Complete",IF(OR(N(Tasks[[#This Row],[Actual Start]])&gt;0,Tasks[[#This Row],[Progress]]&gt;0),IF(Tasks[[#This Row],[Finish Var]]&gt;0,"Behind","In Progress"),IF(Tasks[[#This Row],[Planned Start]]&lt;StatusDate,"Late Start","Not Started"))))</f>
        <v/>
      </c>
      <c r="AP96" s="21" t="str">
        <f aca="false">IF(Tasks[[#This Row],[Task Name]]="","",IF(IF(Tasks[[#This Row],[_IsSummary]],COUNTIF(INDEX(Tasks[_LeafCritical],Tasks[[#This Row],[_Row]]+1):INDEX(Tasks[_LeafCritical],Tasks[[#This Row],[_Row]]+Tasks[[#This Row],[_Descendants]]),TRUE())&gt;0,Tasks[[#This Row],[_LeafCritical]]),"Yes",""))</f>
        <v/>
      </c>
      <c r="AQ96" s="62" t="str">
        <f aca="false">IF(Tasks[[#This Row],[Task Name]]="","",IF(N(Tasks[[#This Row],[Baseline Start]])&gt;0,Tasks[[#This Row],[Baseline Start]],Tasks[[#This Row],[_CalcStart]]))</f>
        <v/>
      </c>
      <c r="AR96" s="62" t="str">
        <f aca="false">IF(Tasks[[#This Row],[Task Name]]="","",IF(N(Tasks[[#This Row],[Baseline Finish]])&gt;0,Tasks[[#This Row],[Baseline Finish]],Tasks[[#This Row],[_CalcFinish]]))</f>
        <v/>
      </c>
      <c r="AS96" s="46" t="str">
        <f aca="false">IF(Tasks[[#This Row],[Task Name]]="","",IF(Tasks[[#This Row],[Start]]&gt;=Tasks[[#This Row],[Planned Start]],NETWORKDAYS.INTL(Tasks[[#This Row],[Planned Start]],Tasks[[#This Row],[Start]],WorkWeek,Holidays)-1,1-NETWORKDAYS.INTL(Tasks[[#This Row],[Start]],Tasks[[#This Row],[Planned Start]],WorkWeek,Holidays)))</f>
        <v/>
      </c>
      <c r="AT96" s="62" t="str">
        <f aca="false">IF(Tasks[[#This Row],[Task Name]]="","",IF(Tasks[[#This Row],[_IsSummary]],MIN(INDEX(Tasks[_LeafLateStart],Tasks[[#This Row],[_Row]]+1):INDEX(Tasks[_LeafLateStart],Tasks[[#This Row],[_Row]]+Tasks[[#This Row],[_Descendants]])),Tasks[[#This Row],[_LeafLateStart]]))</f>
        <v/>
      </c>
      <c r="AU96" s="62" t="str">
        <f aca="false">IF(Tasks[[#This Row],[Task Name]]="","",IF(Tasks[[#This Row],[_IsSummary]],MAX(INDEX(Tasks[_LeafLateFinish],Tasks[[#This Row],[_Row]]+1):INDEX(Tasks[_LeafLateFinish],Tasks[[#This Row],[_Row]]+Tasks[[#This Row],[_Descendants]])),Tasks[[#This Row],[_LeafLateFinish]]))</f>
        <v/>
      </c>
      <c r="AV96" s="46" t="str">
        <f aca="false">IF(Tasks[[#This Row],[Task Name]]="","",IF(Tasks[[#This Row],[_IsSummary]],MIN(INDEX(Tasks[_LeafTotalSlack],Tasks[[#This Row],[_Row]]+1):INDEX(Tasks[_LeafTotalSlack],Tasks[[#This Row],[_Row]]+Tasks[[#This Row],[_Descendants]])),Tasks[[#This Row],[_LeafTotalSlack]]))</f>
        <v/>
      </c>
      <c r="AW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4"/>
      <c r="BA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t="str">
        <f aca="false">IF(Tasks[[#This Row],[Task Name]]="","",IF(Tasks[[#This Row],[_Level]]&lt;=OutlineShowLevel,"Yes","No"))</f>
        <v/>
      </c>
      <c r="BE96" s="85" t="str">
        <f aca="false">IF(Tasks[[#This Row],[Task Name]]="","",IF(Tasks[[#This Row],[_IsSummary]],SUM(INDEX(Tasks[_LeafTotalWork],Tasks[[#This Row],[_Row]]+1):INDEX(Tasks[_LeafTotalWork],Tasks[[#This Row],[_Row]]+Tasks[[#This Row],[_Descendants]])),Tasks[[#This Row],[_LeafTotalWork]]))</f>
        <v/>
      </c>
      <c r="BF96" s="23"/>
      <c r="BG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t="str">
        <f aca="false">""</f>
        <v/>
      </c>
      <c r="BI96" s="86"/>
      <c r="BJ96" s="22"/>
      <c r="BK96" s="46" t="str">
        <f aca="false">IF(OR(Tasks[[#This Row],[Task Name]]="",Tasks[[#This Row],[Baseline Duration]]=""),"",Tasks[[#This Row],[_SpanDays]]-N(Tasks[[#This Row],[Baseline Duration]]))</f>
        <v/>
      </c>
      <c r="BL96" s="85" t="str">
        <f aca="false">IF(OR(Tasks[[#This Row],[Task Name]]="",Tasks[[#This Row],[Baseline Work]]=""),"",Tasks[[#This Row],[Work]]-N(Tasks[[#This Row],[Baseline Work]]))</f>
        <v/>
      </c>
      <c r="BM96" s="62" t="str">
        <f aca="false">IF(Tasks[[#This Row],[Task Name]]="","",IF(OR(TakeBaseline="Yes",N(Tasks[[#This Row],[Baseline Start]])=0),Tasks[[#This Row],[Start]],Tasks[[#This Row],[Baseline Start]]))</f>
        <v/>
      </c>
      <c r="BN96" s="62" t="str">
        <f aca="false">IF(Tasks[[#This Row],[Task Name]]="","",IF(OR(TakeBaseline="Yes",N(Tasks[[#This Row],[Baseline Finish]])=0),Tasks[[#This Row],[Finish]],Tasks[[#This Row],[Baseline Finish]]))</f>
        <v/>
      </c>
      <c r="BO96" s="21" t="str">
        <f aca="false">IF(Tasks[[#This Row],[Task Name]]="","",IF(OR(TakeBaseline="Yes",N(Tasks[[#This Row],[Baseline Duration]])=0),Tasks[[#This Row],[_SpanDays]],Tasks[[#This Row],[Baseline Duration]]))</f>
        <v/>
      </c>
      <c r="BP96" s="85" t="str">
        <f aca="false">IF(Tasks[[#This Row],[Task Name]]="","",IF(OR(TakeBaseline="Yes",N(Tasks[[#This Row],[Baseline Work]])=0),Tasks[[#This Row],[Work]],Tasks[[#This Row],[Baseline Work]]))</f>
        <v/>
      </c>
      <c r="BQ96" s="7"/>
      <c r="BR96" s="7"/>
      <c r="BS96" s="22"/>
      <c r="BT96" s="87"/>
      <c r="BU96" s="42" t="str">
        <f aca="false">IF(Tasks[[#This Row],[Task Name]]="","",MAX(1,N(Tasks[[#This Row],[Level]])))</f>
        <v/>
      </c>
      <c r="BV96" s="42" t="n">
        <f aca="false">ROW()-ROW(Tasks[[#Headers],[ID]])</f>
        <v>91</v>
      </c>
      <c r="BW96" s="42" t="n">
        <f aca="false">IF(OR(Tasks[[#This Row],[Task Name]]="",Tasks[[#This Row],[_Level]]&lt;=1),0,IFERROR(LOOKUP(2,1/(Tasks[[#Headers],[_Level]]:Tasks[[#This Row],[_Level]]=Tasks[[#This Row],[_Level]]-1),ROW(Tasks[[#Headers],[_Level]]:Tasks[[#This Row],[_Level]])),0))</f>
        <v>0</v>
      </c>
      <c r="BX96" s="42" t="n">
        <f aca="false">IFERROR(N(INDEX(Tasks[_Level],Tasks[[#This Row],[_Row]]+1)),0)</f>
        <v>0</v>
      </c>
      <c r="BY96" s="88" t="b">
        <f aca="false">AND(Tasks[[#This Row],[Task Name]]&lt;&gt;"",Tasks[[#This Row],[_NextLevel]]&gt;Tasks[[#This Row],[_Level]])</f>
        <v>0</v>
      </c>
      <c r="BZ96" s="42" t="n">
        <f aca="false">IF(Tasks[[#This Row],[_IsSummary]],COUNTIF(Tasks[WBS],Tasks[[#This Row],[WBS]]&amp;".*"),0)</f>
        <v>0</v>
      </c>
      <c r="CA96" s="42" t="n">
        <f aca="false">IF(AND(Tasks[[#This Row],[Task Name]]&lt;&gt;"",NOT(Tasks[[#This Row],[_IsSummary]])),1,0)</f>
        <v>0</v>
      </c>
      <c r="CB96" s="42" t="n">
        <f aca="false">IF(N(Tasks[[#This Row],[_Pred1UID]])=0,0,IFERROR(MATCH(Tasks[[#This Row],[_Pred1UID]],Tasks[UID],0),-1))</f>
        <v>0</v>
      </c>
      <c r="CC96" s="42" t="n">
        <f aca="false">IF(N(Tasks[[#This Row],[_Pred2UID]])=0,0,IFERROR(MATCH(Tasks[[#This Row],[_Pred2UID]],Tasks[UID],0),-1))</f>
        <v>0</v>
      </c>
      <c r="CD96" s="42" t="n">
        <f aca="false">IF(N(Tasks[[#This Row],[_Pred3UID]])=0,0,IFERROR(MATCH(Tasks[[#This Row],[_Pred3UID]],Tasks[UID],0),-1))</f>
        <v>0</v>
      </c>
      <c r="CE96" s="42" t="n">
        <f aca="false">IF(N(Tasks[[#This Row],[_Pred4UID]])=0,0,IFERROR(MATCH(Tasks[[#This Row],[_Pred4UID]],Tasks[UID],0),-1))</f>
        <v>0</v>
      </c>
      <c r="CF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6" s="89" t="n">
        <f aca="false">IF(OR(Tasks[[#This Row],[_ConstraintCode]]=2,Tasks[[#This Row],[_ConstraintCode]]=3,Tasks[[#This Row],[_ConstraintCode]]=4,Tasks[[#This Row],[_ConstraintCode]]=6),Tasks[[#This Row],[_ConstraintStart]],0)</f>
        <v>0</v>
      </c>
      <c r="CI96" s="89" t="n">
        <f aca="false">IF(OR(Tasks[[#This Row],[_ConstraintCode]]=2,Tasks[[#This Row],[_ConstraintCode]]=3,Tasks[[#This Row],[_ConstraintCode]]=5,Tasks[[#This Row],[_ConstraintCode]]=7),Tasks[[#This Row],[_ConstraintStart]],2958465)</f>
        <v>2958465</v>
      </c>
      <c r="CJ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6" s="89" t="str">
        <f aca="false">IF(NOT(Tasks[[#This Row],[_IsLeaf]]=1),"",IF(N(Tasks[[#This Row],[_Days]])&lt;=0,Tasks[[#This Row],[_LeafCalcStart]],WORKDAY.INTL(Tasks[[#This Row],[_LeafCalcStart]],Tasks[[#This Row],[_Days]]-1,WorkWeek,Holidays)))</f>
        <v/>
      </c>
      <c r="CL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6" s="42" t="str">
        <f aca="false">IF(Tasks[[#This Row],[_Predecessors]]="","",TRIM(MID(SUBSTITUTE(SUBSTITUTE(SUBSTITUTE(UPPER(Tasks[[#This Row],[_Predecessors]]),";",",")," ",""),",",REPT(" ",99)),1,99)))</f>
        <v/>
      </c>
      <c r="CO96" s="42" t="str">
        <f aca="false">IF(Tasks[[#This Row],[_Pred1Text]]="","",IFERROR(VALUE(LEFT(Tasks[[#This Row],[_Pred1Text]],MIN(FIND("F",Tasks[[#This Row],[_Pred1Text]]&amp;"F"),FIND("S",Tasks[[#This Row],[_Pred1Text]]&amp;"S"),FIND("+",Tasks[[#This Row],[_Pred1Text]]&amp;"+"),FIND("-",Tasks[[#This Row],[_Pred1Text]]&amp;"-"))-1)),""))</f>
        <v/>
      </c>
      <c r="CP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6" s="42" t="str">
        <f aca="false">IF(Tasks[[#This Row],[_Pred1Text]]="","",TRIM(MID(SUBSTITUTE(SUBSTITUTE(SUBSTITUTE(UPPER(Tasks[[#This Row],[_Predecessors]]),";",",")," ",""),",",REPT(" ",99)),100,99)))</f>
        <v/>
      </c>
      <c r="CS96" s="42" t="str">
        <f aca="false">IF(Tasks[[#This Row],[_Pred2Text]]="","",IFERROR(VALUE(LEFT(Tasks[[#This Row],[_Pred2Text]],MIN(FIND("F",Tasks[[#This Row],[_Pred2Text]]&amp;"F"),FIND("S",Tasks[[#This Row],[_Pred2Text]]&amp;"S"),FIND("+",Tasks[[#This Row],[_Pred2Text]]&amp;"+"),FIND("-",Tasks[[#This Row],[_Pred2Text]]&amp;"-"))-1)),""))</f>
        <v/>
      </c>
      <c r="CT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6" s="42" t="str">
        <f aca="false">IF(Tasks[[#This Row],[_Pred2Text]]="","",TRIM(MID(SUBSTITUTE(SUBSTITUTE(SUBSTITUTE(UPPER(Tasks[[#This Row],[_Predecessors]]),";",",")," ",""),",",REPT(" ",99)),199,99)))</f>
        <v/>
      </c>
      <c r="CW96" s="42" t="str">
        <f aca="false">IF(Tasks[[#This Row],[_Pred3Text]]="","",IFERROR(VALUE(LEFT(Tasks[[#This Row],[_Pred3Text]],MIN(FIND("F",Tasks[[#This Row],[_Pred3Text]]&amp;"F"),FIND("S",Tasks[[#This Row],[_Pred3Text]]&amp;"S"),FIND("+",Tasks[[#This Row],[_Pred3Text]]&amp;"+"),FIND("-",Tasks[[#This Row],[_Pred3Text]]&amp;"-"))-1)),""))</f>
        <v/>
      </c>
      <c r="CX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6" s="42" t="str">
        <f aca="false">IF(Tasks[[#This Row],[_Pred3Text]]="","",TRIM(MID(SUBSTITUTE(SUBSTITUTE(SUBSTITUTE(UPPER(Tasks[[#This Row],[_Predecessors]]),";",",")," ",""),",",REPT(" ",99)),298,99)))</f>
        <v/>
      </c>
      <c r="DA96" s="42" t="str">
        <f aca="false">IF(Tasks[[#This Row],[_Pred4Text]]="","",IFERROR(VALUE(LEFT(Tasks[[#This Row],[_Pred4Text]],MIN(FIND("F",Tasks[[#This Row],[_Pred4Text]]&amp;"F"),FIND("S",Tasks[[#This Row],[_Pred4Text]]&amp;"S"),FIND("+",Tasks[[#This Row],[_Pred4Text]]&amp;"+"),FIND("-",Tasks[[#This Row],[_Pred4Text]]&amp;"-"))-1)),""))</f>
        <v/>
      </c>
      <c r="DB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6" s="42" t="str">
        <f aca="false">IF(OR(Tasks[[#This Row],[Task Name]]="",Tasks[[#This Row],[_Resources]]=""),"",TRIM(MID(SUBSTITUTE(Tasks[[#This Row],[_Resources]],",",REPT(" ",99)),1,99)))</f>
        <v/>
      </c>
      <c r="DE96" s="42" t="str">
        <f aca="false">IF(Tasks[[#This Row],[_Res1Text]]="","",TRIM(MID(SUBSTITUTE(Tasks[[#This Row],[_Resources]],",",REPT(" ",99)),100,99)))</f>
        <v/>
      </c>
      <c r="DF96" s="42" t="str">
        <f aca="false">IF(Tasks[[#This Row],[_Res2Text]]="","",TRIM(MID(SUBSTITUTE(Tasks[[#This Row],[_Resources]],",",REPT(" ",99)),199,99)))</f>
        <v/>
      </c>
      <c r="DG96" s="42" t="str">
        <f aca="false">IF(Tasks[[#This Row],[_Res3Text]]="","",TRIM(MID(SUBSTITUTE(Tasks[[#This Row],[_Resources]],",",REPT(" ",99)),298,99)))</f>
        <v/>
      </c>
      <c r="DH96" s="42" t="n">
        <f aca="false">IF(Tasks[[#This Row],[_Res1Text]]="",0,IFERROR(MATCH(TRIM(LEFT(Tasks[[#This Row],[_Res1Text]],FIND("[",Tasks[[#This Row],[_Res1Text]]&amp;"[")-1)),res_Name,0),IFERROR(MATCH(TRIM(LEFT(Tasks[[#This Row],[_Res1Text]],FIND("[",Tasks[[#This Row],[_Res1Text]]&amp;"[")-1)),res_Initials,0),0)))</f>
        <v>0</v>
      </c>
      <c r="DI96" s="42" t="n">
        <f aca="false">IF(Tasks[[#This Row],[_Res2Text]]="",0,IFERROR(MATCH(TRIM(LEFT(Tasks[[#This Row],[_Res2Text]],FIND("[",Tasks[[#This Row],[_Res2Text]]&amp;"[")-1)),res_Name,0),IFERROR(MATCH(TRIM(LEFT(Tasks[[#This Row],[_Res2Text]],FIND("[",Tasks[[#This Row],[_Res2Text]]&amp;"[")-1)),res_Initials,0),0)))</f>
        <v>0</v>
      </c>
      <c r="DJ96" s="42" t="n">
        <f aca="false">IF(Tasks[[#This Row],[_Res3Text]]="",0,IFERROR(MATCH(TRIM(LEFT(Tasks[[#This Row],[_Res3Text]],FIND("[",Tasks[[#This Row],[_Res3Text]]&amp;"[")-1)),res_Name,0),IFERROR(MATCH(TRIM(LEFT(Tasks[[#This Row],[_Res3Text]],FIND("[",Tasks[[#This Row],[_Res3Text]]&amp;"[")-1)),res_Initials,0),0)))</f>
        <v>0</v>
      </c>
      <c r="DK96" s="42" t="n">
        <f aca="false">IF(Tasks[[#This Row],[_Res4Text]]="",0,IFERROR(MATCH(TRIM(LEFT(Tasks[[#This Row],[_Res4Text]],FIND("[",Tasks[[#This Row],[_Res4Text]]&amp;"[")-1)),res_Name,0),IFERROR(MATCH(TRIM(LEFT(Tasks[[#This Row],[_Res4Text]],FIND("[",Tasks[[#This Row],[_Res4Text]]&amp;"[")-1)),res_Initials,0),0)))</f>
        <v>0</v>
      </c>
      <c r="DL96" s="42" t="str">
        <f aca="false">IF(Tasks[[#This Row],[_Res1Text]]="","",IF(Tasks[[#This Row],[_Res1Row]]&gt;0,INDEX(res_Name,Tasks[[#This Row],[_Res1Row]]),TRIM(LEFT(Tasks[[#This Row],[_Res1Text]],FIND("[",Tasks[[#This Row],[_Res1Text]]&amp;"[")-1))))</f>
        <v/>
      </c>
      <c r="DM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6" s="42" t="n">
        <f aca="false">IF(NOT(Tasks[[#This Row],[_IsLeaf]]=1),0,(Tasks[[#This Row],[_Resource1]]&lt;&gt;"")+(Tasks[[#This Row],[_Res2]]&lt;&gt;"")+(Tasks[[#This Row],[_Res3]]&lt;&gt;"")+(Tasks[[#This Row],[_Res4]]&lt;&gt;""))</f>
        <v>0</v>
      </c>
      <c r="DO96" s="42" t="str">
        <f aca="false">IF(Tasks[[#This Row],[_Res2Text]]="","",IF(Tasks[[#This Row],[_Res2Row]]&gt;0,INDEX(res_Name,Tasks[[#This Row],[_Res2Row]]),TRIM(LEFT(Tasks[[#This Row],[_Res2Text]],FIND("[",Tasks[[#This Row],[_Res2Text]]&amp;"[")-1))))</f>
        <v/>
      </c>
      <c r="DP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6" s="42" t="n">
        <f aca="false">IF(OR(NOT(Tasks[[#This Row],[_IsLeaf]]=1),Tasks[[#This Row],[_Res2Row]]=0),0,N(Tasks[[#This Row],[_Days]])*HoursPerDay*IF(Tasks[[#This Row],[_Res2Units]]="",DefaultUnits,Tasks[[#This Row],[_Res2Units]]))</f>
        <v>0</v>
      </c>
      <c r="DR96" s="42" t="n">
        <f aca="false">IF(AND(AND(Tasks[[#This Row],[_IsLeaf]]=1,Tasks[[#This Row],[_LeafTotalWork]]&gt;0),Tasks[[#This Row],[_Res2Work]]&gt;0),Tasks[[#This Row],[_Res2Work]]/(Tasks[[#This Row],[_FinishWorkday]]-Tasks[[#This Row],[_StartWorkday]]+1),0)</f>
        <v>0</v>
      </c>
      <c r="DS96" s="42" t="n">
        <f aca="false">Tasks[[#This Row],[_Res2WorkPerWD]]*MAX(0,Tasks[[#This Row],[_StartWorkday]]-1)</f>
        <v>0</v>
      </c>
      <c r="DT96" s="42" t="n">
        <f aca="false">Tasks[[#This Row],[_Res2Work]]*Tasks[[#This Row],[_LeafProgress]]</f>
        <v>0</v>
      </c>
      <c r="DU96" s="42" t="str">
        <f aca="false">IF(Tasks[[#This Row],[_Res3Text]]="","",IF(Tasks[[#This Row],[_Res3Row]]&gt;0,INDEX(res_Name,Tasks[[#This Row],[_Res3Row]]),TRIM(LEFT(Tasks[[#This Row],[_Res3Text]],FIND("[",Tasks[[#This Row],[_Res3Text]]&amp;"[")-1))))</f>
        <v/>
      </c>
      <c r="DV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6" s="42" t="n">
        <f aca="false">IF(OR(NOT(Tasks[[#This Row],[_IsLeaf]]=1),Tasks[[#This Row],[_Res3Row]]=0),0,N(Tasks[[#This Row],[_Days]])*HoursPerDay*IF(Tasks[[#This Row],[_Res3Units]]="",DefaultUnits,Tasks[[#This Row],[_Res3Units]]))</f>
        <v>0</v>
      </c>
      <c r="DX96" s="42" t="n">
        <f aca="false">IF(AND(AND(Tasks[[#This Row],[_IsLeaf]]=1,Tasks[[#This Row],[_LeafTotalWork]]&gt;0),Tasks[[#This Row],[_Res3Work]]&gt;0),Tasks[[#This Row],[_Res3Work]]/(Tasks[[#This Row],[_FinishWorkday]]-Tasks[[#This Row],[_StartWorkday]]+1),0)</f>
        <v>0</v>
      </c>
      <c r="DY96" s="42" t="n">
        <f aca="false">Tasks[[#This Row],[_Res3WorkPerWD]]*MAX(0,Tasks[[#This Row],[_StartWorkday]]-1)</f>
        <v>0</v>
      </c>
      <c r="DZ96" s="42" t="n">
        <f aca="false">Tasks[[#This Row],[_Res3Work]]*Tasks[[#This Row],[_LeafProgress]]</f>
        <v>0</v>
      </c>
      <c r="EA96" s="42" t="str">
        <f aca="false">IF(Tasks[[#This Row],[_Res4Text]]="","",IF(Tasks[[#This Row],[_Res4Row]]&gt;0,INDEX(res_Name,Tasks[[#This Row],[_Res4Row]]),TRIM(LEFT(Tasks[[#This Row],[_Res4Text]],FIND("[",Tasks[[#This Row],[_Res4Text]]&amp;"[")-1))))</f>
        <v/>
      </c>
      <c r="EB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6" s="42" t="n">
        <f aca="false">IF(OR(NOT(Tasks[[#This Row],[_IsLeaf]]=1),Tasks[[#This Row],[_Res4Row]]=0),0,N(Tasks[[#This Row],[_Days]])*HoursPerDay*IF(Tasks[[#This Row],[_Res4Units]]="",DefaultUnits,Tasks[[#This Row],[_Res4Units]]))</f>
        <v>0</v>
      </c>
      <c r="ED96" s="42" t="n">
        <f aca="false">IF(AND(AND(Tasks[[#This Row],[_IsLeaf]]=1,Tasks[[#This Row],[_LeafTotalWork]]&gt;0),Tasks[[#This Row],[_Res4Work]]&gt;0),Tasks[[#This Row],[_Res4Work]]/(Tasks[[#This Row],[_FinishWorkday]]-Tasks[[#This Row],[_StartWorkday]]+1),0)</f>
        <v>0</v>
      </c>
      <c r="EE96" s="42" t="n">
        <f aca="false">Tasks[[#This Row],[_Res4WorkPerWD]]*MAX(0,Tasks[[#This Row],[_StartWorkday]]-1)</f>
        <v>0</v>
      </c>
      <c r="EF96" s="42" t="n">
        <f aca="false">Tasks[[#This Row],[_Res4Work]]*Tasks[[#This Row],[_LeafProgress]]</f>
        <v>0</v>
      </c>
      <c r="EG96" s="42" t="n">
        <f aca="false">IF(ISNUMBER(Tasks[[#This Row],[% Complete]]),Tasks[[#This Row],[% Complete]],IF(Tasks[[#This Row],[Stage]]="",0,IFERROR(INDEX(stg_Pct,MATCH(Tasks[[#This Row],[Stage]],stg_Name,0)),0)))</f>
        <v>0</v>
      </c>
      <c r="EH96" s="42" t="n">
        <f aca="false">IF(NOT(Tasks[[#This Row],[_IsLeaf]]=1),0,IF(N(Tasks[[#This Row],[Actual Finish]])&gt;0,1,MIN(1,Tasks[[#This Row],[_Pct]])))</f>
        <v>0</v>
      </c>
      <c r="EI96" s="42" t="n">
        <f aca="false">IF(OR(NOT(Tasks[[#This Row],[_IsLeaf]]=1),Tasks[[#This Row],[_Res1Row]]=0),0,N(Tasks[[#This Row],[_Days]])*HoursPerDay*IF(Tasks[[#This Row],[_Units1]]="",DefaultUnits,Tasks[[#This Row],[_Units1]]))</f>
        <v>0</v>
      </c>
      <c r="EJ96" s="42" t="n">
        <f aca="false">Tasks[[#This Row],[_LeafWork]]+Tasks[[#This Row],[_Res2Work]]+Tasks[[#This Row],[_Res3Work]]+Tasks[[#This Row],[_Res4Work]]</f>
        <v>0</v>
      </c>
      <c r="EK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6" s="42" t="n">
        <f aca="false">IF(NOT(Tasks[[#This Row],[_IsLeaf]]=1),0,MAX(_xlfn.MAXIFS(Tasks[_Row],Tasks[_Pred1UID],Tasks[[#This Row],[UID]]),_xlfn.MAXIFS(Tasks[_Row],Tasks[_Pred2UID],Tasks[[#This Row],[UID]]),_xlfn.MAXIFS(Tasks[_Row],Tasks[_Pred3UID],Tasks[[#This Row],[UID]]),_xlfn.MAXIFS(Tasks[_Row],Tasks[_Pred4UID],Tasks[[#This Row],[UID]])))</f>
        <v>0</v>
      </c>
      <c r="ET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6" s="89" t="str">
        <f aca="false">IF(NOT(Tasks[[#This Row],[_IsLeaf]]=1),"",IF(N(Tasks[[#This Row],[_Days]])&lt;=0,Tasks[[#This Row],[_LeafLateFinish]],WORKDAY.INTL(Tasks[[#This Row],[_LeafLateFinish]],-(Tasks[[#This Row],[_Days]]-1),WorkWeek,Holidays)))</f>
        <v/>
      </c>
      <c r="EW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6" s="88" t="b">
        <f aca="false">AND(Tasks[[#This Row],[_IsLeaf]]=1,Tasks[[#This Row],[_LeafProgress]]&lt;1,N(Tasks[[#This Row],[_LeafTotalSlack]])&lt;=CriticalSlackDays)</f>
        <v>0</v>
      </c>
      <c r="EY96" s="42" t="n">
        <f aca="false">IF(AND(Tasks[[#This Row],[_IsLeaf]]=1,Tasks[[#This Row],[_ConstraintCode]]=1,Tasks[[#This Row],[Mode]]&lt;&gt;"Manual",N(Tasks[[#This Row],[Actual Start]])=0),MAX(0,N(Tasks[[#This Row],[Free Slack]])),0)</f>
        <v>0</v>
      </c>
      <c r="EZ96" s="89" t="str">
        <f aca="false">IF(NOT(Tasks[[#This Row],[_IsLeaf]]=1),"",IF(Tasks[[#This Row],[_AlapShift]]=0,Tasks[[#This Row],[_LeafCalcStart]],WORKDAY.INTL(Tasks[[#This Row],[_LeafCalcStart]],Tasks[[#This Row],[_AlapShift]],WorkWeek,Holidays)))</f>
        <v/>
      </c>
      <c r="FA96" s="89" t="str">
        <f aca="false">IF(NOT(Tasks[[#This Row],[_IsLeaf]]=1),"",IF(Tasks[[#This Row],[_AlapShift]]=0,Tasks[[#This Row],[_LeafCalcFinish]],WORKDAY.INTL(Tasks[[#This Row],[_LeafCalcFinish]],Tasks[[#This Row],[_AlapShift]],WorkWeek,Holidays)))</f>
        <v/>
      </c>
      <c r="FB96" s="89" t="str">
        <f aca="false">IF(NOT(Tasks[[#This Row],[_IsLeaf]]=1),"",IF(Tasks[[#This Row],[_AlapShift]]=0,Tasks[[#This Row],[_LeafFcstStart]],WORKDAY.INTL(Tasks[[#This Row],[_LeafFcstStart]],Tasks[[#This Row],[_AlapShift]],WorkWeek,Holidays)))</f>
        <v/>
      </c>
      <c r="FC96" s="89" t="str">
        <f aca="false">IF(NOT(Tasks[[#This Row],[_IsLeaf]]=1),"",IF(Tasks[[#This Row],[_AlapShift]]=0,Tasks[[#This Row],[_LeafFcstFinish]],WORKDAY.INTL(Tasks[[#This Row],[_LeafFcstFinish]],Tasks[[#This Row],[_AlapShift]],WorkWeek,Holidays)))</f>
        <v/>
      </c>
      <c r="FD96" s="89" t="str">
        <f aca="false">IF(Tasks[[#This Row],[Task Name]]="","",IF(Tasks[[#This Row],[_IsSummary]],MIN(INDEX(Tasks[_ShownCalcStart],Tasks[[#This Row],[_Row]]+1):INDEX(Tasks[_ShownCalcStart],Tasks[[#This Row],[_Row]]+Tasks[[#This Row],[_Descendants]])),Tasks[[#This Row],[_ShownCalcStart]]))</f>
        <v/>
      </c>
      <c r="FE96" s="89" t="str">
        <f aca="false">IF(Tasks[[#This Row],[Task Name]]="","",IF(Tasks[[#This Row],[_IsSummary]],MAX(INDEX(Tasks[_ShownCalcFinish],Tasks[[#This Row],[_Row]]+1):INDEX(Tasks[_ShownCalcFinish],Tasks[[#This Row],[_Row]]+Tasks[[#This Row],[_Descendants]])),Tasks[[#This Row],[_ShownCalcFinish]]))</f>
        <v/>
      </c>
      <c r="FF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6" s="42" t="n">
        <f aca="false">IF(AND(Tasks[[#This Row],[_IsLeaf]]=1,Tasks[[#This Row],[_LeafTotalWork]]&gt;0),NETWORKDAYS.INTL(ProjectStart,Tasks[[#This Row],[_ShownFcstStart]],WorkWeek,Holidays),0)</f>
        <v>0</v>
      </c>
      <c r="FS96" s="42" t="n">
        <f aca="false">IF(AND(Tasks[[#This Row],[_IsLeaf]]=1,Tasks[[#This Row],[_LeafTotalWork]]&gt;0),MAX(Tasks[[#This Row],[_StartWorkday]],NETWORKDAYS.INTL(ProjectStart,Tasks[[#This Row],[_ShownFcstFinish]],WorkWeek,Holidays)),0)</f>
        <v>0</v>
      </c>
      <c r="FT96" s="42" t="n">
        <f aca="false">IF(AND(Tasks[[#This Row],[_IsLeaf]]=1,Tasks[[#This Row],[_LeafTotalWork]]&gt;0),Tasks[[#This Row],[_LeafWork]]/(Tasks[[#This Row],[_FinishWorkday]]-Tasks[[#This Row],[_StartWorkday]]+1),0)</f>
        <v>0</v>
      </c>
      <c r="FU96" s="42" t="n">
        <f aca="false">Tasks[[#This Row],[_WorkPerWorkday]]*(Tasks[[#This Row],[_StartWorkday]]-1)</f>
        <v>-0</v>
      </c>
      <c r="FV96" s="42" t="n">
        <f aca="false">IF(Tasks[[#This Row],[_IsLeaf]]=1,MAX(N(Tasks[[#This Row],[_Days]]),0.1),0)</f>
        <v>0</v>
      </c>
      <c r="FW96" s="42" t="n">
        <f aca="false">Tasks[[#This Row],[_WeightDur]]*Tasks[[#This Row],[_LeafProgress]]</f>
        <v>0</v>
      </c>
      <c r="FX96" s="42" t="n">
        <f aca="false">Tasks[[#This Row],[_WeightDur]]*Tasks[[#This Row],[_PlannedPct]]</f>
        <v>0</v>
      </c>
      <c r="FY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6" s="42" t="str">
        <f aca="false">IF(AND(Tasks[[#This Row],[_IsLeaf]]=1,N(Tasks[[#This Row],[_Days]])=0,Tasks[[#This Row],[_LeafProgress]]&lt;1),Tasks[[#This Row],[_ShownFcstFinish]]+Tasks[[#This Row],[_Row]]/100000,"")</f>
        <v/>
      </c>
      <c r="GA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6" s="42" t="str">
        <f aca="false">IF(Tasks[[#This Row],[Task Name]]="","",LEFT(Tasks[[#This Row],[WBS]],FIND(".",Tasks[[#This Row],[WBS]]&amp;".")-1))</f>
        <v/>
      </c>
      <c r="GC96" s="42" t="str">
        <f aca="false">IF(AND(Tasks[[#This Row],[Task Name]]&lt;&gt;"",Tasks[[#This Row],[_Level]]=1),Tasks[[#This Row],[_Row]],"")</f>
        <v/>
      </c>
      <c r="GD96" s="42" t="str">
        <f aca="false">IF(AND(Tasks[[#This Row],[_IsLeaf]]=1,N(Tasks[[#This Row],[_Days]])=0),Tasks[[#This Row],[Planned Finish]]+Tasks[[#This Row],[_Row]]/100000,"")</f>
        <v/>
      </c>
      <c r="GE96" s="42" t="str">
        <f aca="false">IF(AND(Tasks[[#This Row],[_IsLeaf]]=1,Tasks[[#This Row],[_LeafProgress]]&lt;1,OR(N(Tasks[[#This Row],[Finish Var]])&gt;0,Tasks[[#This Row],[Status]]="Late Start")),MAX(0,Tasks[[#This Row],[Finish Var]])+1-Tasks[[#This Row],[_Row]]/1000000,"")</f>
        <v/>
      </c>
      <c r="GF96" s="42" t="str">
        <f aca="false">IF(AND(Tasks[[#This Row],[_IsLeaf]]=1,N(Tasks[[#This Row],[Actual Start]])=0,Tasks[[#This Row],[_ShownFcstStart]]&gt;=StatusDate,Tasks[[#This Row],[_ShownFcstStart]]&lt;=LookaheadEnd),Tasks[[#This Row],[_ShownFcstStart]]+Tasks[[#This Row],[_Row]]/100000,"")</f>
        <v/>
      </c>
      <c r="GG96" s="42" t="str">
        <f aca="false">IF(AND(Tasks[[#This Row],[_IsLeaf]]=1,Tasks[[#This Row],[_LeafProgress]]&lt;1,Tasks[[#This Row],[_ShownFcstFinish]]&gt;=StatusDate,Tasks[[#This Row],[_ShownFcstFinish]]&lt;=LookaheadEnd),Tasks[[#This Row],[_ShownFcstFinish]]+Tasks[[#This Row],[_Row]]/100000,"")</f>
        <v/>
      </c>
      <c r="GH96" s="42" t="str">
        <f aca="false">IF(Tasks[[#This Row],[_LeafCritical]],Tasks[[#This Row],[_ShownFcstStart]]+Tasks[[#This Row],[_Row]]/100000,"")</f>
        <v/>
      </c>
      <c r="GI96" s="42" t="n">
        <f aca="false">Tasks[[#This Row],[_LeafWork]]*Tasks[[#This Row],[_LeafProgress]]</f>
        <v>0</v>
      </c>
      <c r="GJ96" s="89" t="str">
        <f aca="false">IF(AND(Tasks[[#This Row],[_IsLeaf]]=1,Tasks[[#This Row],[_LeafProgress]]&gt;=1),IF(N(Tasks[[#This Row],[Actual Finish]])&gt;0,Tasks[[#This Row],[Actual Finish]],Tasks[[#This Row],[_ShownFcstFinish]]),"")</f>
        <v/>
      </c>
      <c r="GK96" s="42" t="n">
        <f aca="false">IF(Tasks[[#This Row],[_IsLeaf]]=1,N(Tasks[[#This Row],[Story Points]]),0)</f>
        <v>0</v>
      </c>
      <c r="GL96" s="42" t="str">
        <f aca="false">""</f>
        <v/>
      </c>
      <c r="GM96" s="88" t="b">
        <f aca="false">IF(Tasks[[#This Row],[Task Name]]="",FALSE(),AND(Tasks[[#This Row],[_IsLeaf]]=1,N(Tasks[[#This Row],[_Days]])=0))</f>
        <v>0</v>
      </c>
      <c r="GN96" s="89" t="n">
        <f aca="false">IF(Tasks[[#This Row],[Task Name]]="",0,IF(AND(Tasks[[#This Row],[_IsLeaf]]=1,NOT(Tasks[[#This Row],[_IsMilestone]]),N(Tasks[[#This Row],[Progress]])&gt;0),Tasks[[#This Row],[Start]],0))</f>
        <v>0</v>
      </c>
      <c r="GO96" s="89" t="n">
        <f aca="false">IF(Tasks[[#This Row],[_DoneFrom]]=0,0,IF(Tasks[[#This Row],[Progress]]&gt;=1,Tasks[[#This Row],[Finish]],MAX(Tasks[[#This Row],[_DoneFrom]],Tasks[[#This Row],[Start]]+ROUND((Tasks[[#This Row],[Finish]]-Tasks[[#This Row],[Start]]+1)*Tasks[[#This Row],[Progress]],0)-1)))</f>
        <v>0</v>
      </c>
      <c r="GP96" s="89" t="n">
        <f aca="false">IF(Tasks[[#This Row],[Task Name]]="",0,IF(OR(NOT(Tasks[[#This Row],[_IsLeaf]]=1),Tasks[[#This Row],[_IsMilestone]],N(Tasks[[#This Row],[Progress]])&gt;=1),0,IF(Tasks[[#This Row],[_DoneTo]]&gt;0,Tasks[[#This Row],[_DoneTo]]+1,Tasks[[#This Row],[Start]])))</f>
        <v>0</v>
      </c>
      <c r="GQ96" s="89" t="n">
        <f aca="false">IF(Tasks[[#This Row],[_RemFrom]]=0,0,Tasks[[#This Row],[Finish]])</f>
        <v>0</v>
      </c>
      <c r="GR96" s="88" t="b">
        <f aca="false">IF(Tasks[[#This Row],[Task Name]]="",FALSE(),OR(NOT(BaselineSet),N(Tasks[[#This Row],[Baseline Start]])&gt;0))</f>
        <v>0</v>
      </c>
      <c r="GS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6" s="90" t="str">
        <f aca="false">IF(Tasks[[#This Row],[_IsLeaf]]=1,Tasks[[#This Row],[_Row]],"")</f>
        <v/>
      </c>
      <c r="GW96" s="90" t="str">
        <f aca="false">IFERROR(INDEX(Tasks[UID],SMALL(Tasks[_PickKey],Tasks[[#This Row],[_Row]]))&amp;" "&amp;INDEX(Tasks[Task Name],SMALL(Tasks[_PickKey],Tasks[[#This Row],[_Row]])),"")</f>
        <v/>
      </c>
      <c r="GX96" s="42" t="str">
        <f aca="false">IF(Tasks[[#This Row],[Task Name]]="","",IF(Tasks[[#This Row],[_IsSummary]],NETWORKDAYS.INTL(Tasks[[#This Row],[Start]],Tasks[[#This Row],[Finish]],WorkWeek,Holidays),N(Tasks[[#This Row],[_Days]])))</f>
        <v/>
      </c>
    </row>
    <row r="97" customFormat="false" ht="15" hidden="false" customHeight="false" outlineLevel="0" collapsed="false">
      <c r="A97" s="21" t="str">
        <f aca="false">IF(Tasks[[#This Row],[Task Name]]="","",COUNTA(Tasks[[#Headers],[Task Name]]:Tasks[[#This Row],[Task Name]])-1)</f>
        <v/>
      </c>
      <c r="B97" s="22" t="n">
        <v>105</v>
      </c>
      <c r="C97" s="22"/>
      <c r="D97" s="23"/>
      <c r="E97" s="22"/>
      <c r="F97" s="23"/>
      <c r="G97" s="22"/>
      <c r="H97" s="22"/>
      <c r="I97" s="23"/>
      <c r="J97" s="22"/>
      <c r="K97" s="22"/>
      <c r="L97" s="23"/>
      <c r="M97" s="22"/>
      <c r="N97" s="22"/>
      <c r="O97" s="23"/>
      <c r="P97" s="22"/>
      <c r="Q97" s="22"/>
      <c r="R97" s="23"/>
      <c r="S97" s="23"/>
      <c r="T97" s="83"/>
      <c r="U97" s="23"/>
      <c r="V97" s="83"/>
      <c r="W97" s="23"/>
      <c r="X97" s="83"/>
      <c r="Y97" s="23"/>
      <c r="Z97" s="83"/>
      <c r="AA97" s="23"/>
      <c r="AB97" s="23"/>
      <c r="AC97" s="7"/>
      <c r="AD97" s="7"/>
      <c r="AE97" s="62" t="str">
        <f aca="false">IF(Tasks[[#This Row],[Task Name]]="","",IF(Tasks[[#This Row],[_IsSummary]],MIN(INDEX(Tasks[_ShownFcstStart],Tasks[[#This Row],[_Row]]+1):INDEX(Tasks[_ShownFcstStart],Tasks[[#This Row],[_Row]]+Tasks[[#This Row],[_Descendants]])),Tasks[[#This Row],[_ShownFcstStart]]))</f>
        <v/>
      </c>
      <c r="AF97" s="62" t="str">
        <f aca="false">IF(Tasks[[#This Row],[Task Name]]="","",IF(Tasks[[#This Row],[_IsSummary]],MAX(INDEX(Tasks[_ShownFcstFinish],Tasks[[#This Row],[_Row]]+1):INDEX(Tasks[_ShownFcstFinish],Tasks[[#This Row],[_Row]]+Tasks[[#This Row],[_Descendants]])),Tasks[[#This Row],[_ShownFcstFinish]]))</f>
        <v/>
      </c>
      <c r="AG97" s="21" t="str">
        <f aca="false">""</f>
        <v/>
      </c>
      <c r="AH97" s="23"/>
      <c r="AI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7" s="7"/>
      <c r="AK97" s="22"/>
      <c r="AL97" s="23"/>
      <c r="AM97" s="7"/>
      <c r="AN97" s="46" t="str">
        <f aca="false">IF(Tasks[[#This Row],[Task Name]]="","",IF(Tasks[[#This Row],[Finish]]&gt;=Tasks[[#This Row],[Planned Finish]],NETWORKDAYS.INTL(Tasks[[#This Row],[Planned Finish]],Tasks[[#This Row],[Finish]],WorkWeek,Holidays)-1,1-NETWORKDAYS.INTL(Tasks[[#This Row],[Finish]],Tasks[[#This Row],[Planned Finish]],WorkWeek,Holidays)))</f>
        <v/>
      </c>
      <c r="AO97" s="21" t="str">
        <f aca="false">IF(Tasks[[#This Row],[Task Name]]="","",IF(Tasks[[#This Row],[Progress]]&gt;=1,"Complete",IF(OR(N(Tasks[[#This Row],[Actual Start]])&gt;0,Tasks[[#This Row],[Progress]]&gt;0),IF(Tasks[[#This Row],[Finish Var]]&gt;0,"Behind","In Progress"),IF(Tasks[[#This Row],[Planned Start]]&lt;StatusDate,"Late Start","Not Started"))))</f>
        <v/>
      </c>
      <c r="AP97" s="21" t="str">
        <f aca="false">IF(Tasks[[#This Row],[Task Name]]="","",IF(IF(Tasks[[#This Row],[_IsSummary]],COUNTIF(INDEX(Tasks[_LeafCritical],Tasks[[#This Row],[_Row]]+1):INDEX(Tasks[_LeafCritical],Tasks[[#This Row],[_Row]]+Tasks[[#This Row],[_Descendants]]),TRUE())&gt;0,Tasks[[#This Row],[_LeafCritical]]),"Yes",""))</f>
        <v/>
      </c>
      <c r="AQ97" s="62" t="str">
        <f aca="false">IF(Tasks[[#This Row],[Task Name]]="","",IF(N(Tasks[[#This Row],[Baseline Start]])&gt;0,Tasks[[#This Row],[Baseline Start]],Tasks[[#This Row],[_CalcStart]]))</f>
        <v/>
      </c>
      <c r="AR97" s="62" t="str">
        <f aca="false">IF(Tasks[[#This Row],[Task Name]]="","",IF(N(Tasks[[#This Row],[Baseline Finish]])&gt;0,Tasks[[#This Row],[Baseline Finish]],Tasks[[#This Row],[_CalcFinish]]))</f>
        <v/>
      </c>
      <c r="AS97" s="46" t="str">
        <f aca="false">IF(Tasks[[#This Row],[Task Name]]="","",IF(Tasks[[#This Row],[Start]]&gt;=Tasks[[#This Row],[Planned Start]],NETWORKDAYS.INTL(Tasks[[#This Row],[Planned Start]],Tasks[[#This Row],[Start]],WorkWeek,Holidays)-1,1-NETWORKDAYS.INTL(Tasks[[#This Row],[Start]],Tasks[[#This Row],[Planned Start]],WorkWeek,Holidays)))</f>
        <v/>
      </c>
      <c r="AT97" s="62" t="str">
        <f aca="false">IF(Tasks[[#This Row],[Task Name]]="","",IF(Tasks[[#This Row],[_IsSummary]],MIN(INDEX(Tasks[_LeafLateStart],Tasks[[#This Row],[_Row]]+1):INDEX(Tasks[_LeafLateStart],Tasks[[#This Row],[_Row]]+Tasks[[#This Row],[_Descendants]])),Tasks[[#This Row],[_LeafLateStart]]))</f>
        <v/>
      </c>
      <c r="AU97" s="62" t="str">
        <f aca="false">IF(Tasks[[#This Row],[Task Name]]="","",IF(Tasks[[#This Row],[_IsSummary]],MAX(INDEX(Tasks[_LeafLateFinish],Tasks[[#This Row],[_Row]]+1):INDEX(Tasks[_LeafLateFinish],Tasks[[#This Row],[_Row]]+Tasks[[#This Row],[_Descendants]])),Tasks[[#This Row],[_LeafLateFinish]]))</f>
        <v/>
      </c>
      <c r="AV97" s="46" t="str">
        <f aca="false">IF(Tasks[[#This Row],[Task Name]]="","",IF(Tasks[[#This Row],[_IsSummary]],MIN(INDEX(Tasks[_LeafTotalSlack],Tasks[[#This Row],[_Row]]+1):INDEX(Tasks[_LeafTotalSlack],Tasks[[#This Row],[_Row]]+Tasks[[#This Row],[_Descendants]])),Tasks[[#This Row],[_LeafTotalSlack]]))</f>
        <v/>
      </c>
      <c r="AW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4"/>
      <c r="BA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t="str">
        <f aca="false">IF(Tasks[[#This Row],[Task Name]]="","",IF(Tasks[[#This Row],[_Level]]&lt;=OutlineShowLevel,"Yes","No"))</f>
        <v/>
      </c>
      <c r="BE97" s="85" t="str">
        <f aca="false">IF(Tasks[[#This Row],[Task Name]]="","",IF(Tasks[[#This Row],[_IsSummary]],SUM(INDEX(Tasks[_LeafTotalWork],Tasks[[#This Row],[_Row]]+1):INDEX(Tasks[_LeafTotalWork],Tasks[[#This Row],[_Row]]+Tasks[[#This Row],[_Descendants]])),Tasks[[#This Row],[_LeafTotalWork]]))</f>
        <v/>
      </c>
      <c r="BF97" s="23"/>
      <c r="BG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t="str">
        <f aca="false">""</f>
        <v/>
      </c>
      <c r="BI97" s="86"/>
      <c r="BJ97" s="22"/>
      <c r="BK97" s="46" t="str">
        <f aca="false">IF(OR(Tasks[[#This Row],[Task Name]]="",Tasks[[#This Row],[Baseline Duration]]=""),"",Tasks[[#This Row],[_SpanDays]]-N(Tasks[[#This Row],[Baseline Duration]]))</f>
        <v/>
      </c>
      <c r="BL97" s="85" t="str">
        <f aca="false">IF(OR(Tasks[[#This Row],[Task Name]]="",Tasks[[#This Row],[Baseline Work]]=""),"",Tasks[[#This Row],[Work]]-N(Tasks[[#This Row],[Baseline Work]]))</f>
        <v/>
      </c>
      <c r="BM97" s="62" t="str">
        <f aca="false">IF(Tasks[[#This Row],[Task Name]]="","",IF(OR(TakeBaseline="Yes",N(Tasks[[#This Row],[Baseline Start]])=0),Tasks[[#This Row],[Start]],Tasks[[#This Row],[Baseline Start]]))</f>
        <v/>
      </c>
      <c r="BN97" s="62" t="str">
        <f aca="false">IF(Tasks[[#This Row],[Task Name]]="","",IF(OR(TakeBaseline="Yes",N(Tasks[[#This Row],[Baseline Finish]])=0),Tasks[[#This Row],[Finish]],Tasks[[#This Row],[Baseline Finish]]))</f>
        <v/>
      </c>
      <c r="BO97" s="21" t="str">
        <f aca="false">IF(Tasks[[#This Row],[Task Name]]="","",IF(OR(TakeBaseline="Yes",N(Tasks[[#This Row],[Baseline Duration]])=0),Tasks[[#This Row],[_SpanDays]],Tasks[[#This Row],[Baseline Duration]]))</f>
        <v/>
      </c>
      <c r="BP97" s="85" t="str">
        <f aca="false">IF(Tasks[[#This Row],[Task Name]]="","",IF(OR(TakeBaseline="Yes",N(Tasks[[#This Row],[Baseline Work]])=0),Tasks[[#This Row],[Work]],Tasks[[#This Row],[Baseline Work]]))</f>
        <v/>
      </c>
      <c r="BQ97" s="7"/>
      <c r="BR97" s="7"/>
      <c r="BS97" s="22"/>
      <c r="BT97" s="87"/>
      <c r="BU97" s="42" t="str">
        <f aca="false">IF(Tasks[[#This Row],[Task Name]]="","",MAX(1,N(Tasks[[#This Row],[Level]])))</f>
        <v/>
      </c>
      <c r="BV97" s="42" t="n">
        <f aca="false">ROW()-ROW(Tasks[[#Headers],[ID]])</f>
        <v>92</v>
      </c>
      <c r="BW97" s="42" t="n">
        <f aca="false">IF(OR(Tasks[[#This Row],[Task Name]]="",Tasks[[#This Row],[_Level]]&lt;=1),0,IFERROR(LOOKUP(2,1/(Tasks[[#Headers],[_Level]]:Tasks[[#This Row],[_Level]]=Tasks[[#This Row],[_Level]]-1),ROW(Tasks[[#Headers],[_Level]]:Tasks[[#This Row],[_Level]])),0))</f>
        <v>0</v>
      </c>
      <c r="BX97" s="42" t="n">
        <f aca="false">IFERROR(N(INDEX(Tasks[_Level],Tasks[[#This Row],[_Row]]+1)),0)</f>
        <v>0</v>
      </c>
      <c r="BY97" s="88" t="b">
        <f aca="false">AND(Tasks[[#This Row],[Task Name]]&lt;&gt;"",Tasks[[#This Row],[_NextLevel]]&gt;Tasks[[#This Row],[_Level]])</f>
        <v>0</v>
      </c>
      <c r="BZ97" s="42" t="n">
        <f aca="false">IF(Tasks[[#This Row],[_IsSummary]],COUNTIF(Tasks[WBS],Tasks[[#This Row],[WBS]]&amp;".*"),0)</f>
        <v>0</v>
      </c>
      <c r="CA97" s="42" t="n">
        <f aca="false">IF(AND(Tasks[[#This Row],[Task Name]]&lt;&gt;"",NOT(Tasks[[#This Row],[_IsSummary]])),1,0)</f>
        <v>0</v>
      </c>
      <c r="CB97" s="42" t="n">
        <f aca="false">IF(N(Tasks[[#This Row],[_Pred1UID]])=0,0,IFERROR(MATCH(Tasks[[#This Row],[_Pred1UID]],Tasks[UID],0),-1))</f>
        <v>0</v>
      </c>
      <c r="CC97" s="42" t="n">
        <f aca="false">IF(N(Tasks[[#This Row],[_Pred2UID]])=0,0,IFERROR(MATCH(Tasks[[#This Row],[_Pred2UID]],Tasks[UID],0),-1))</f>
        <v>0</v>
      </c>
      <c r="CD97" s="42" t="n">
        <f aca="false">IF(N(Tasks[[#This Row],[_Pred3UID]])=0,0,IFERROR(MATCH(Tasks[[#This Row],[_Pred3UID]],Tasks[UID],0),-1))</f>
        <v>0</v>
      </c>
      <c r="CE97" s="42" t="n">
        <f aca="false">IF(N(Tasks[[#This Row],[_Pred4UID]])=0,0,IFERROR(MATCH(Tasks[[#This Row],[_Pred4UID]],Tasks[UID],0),-1))</f>
        <v>0</v>
      </c>
      <c r="CF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7" s="89" t="n">
        <f aca="false">IF(OR(Tasks[[#This Row],[_ConstraintCode]]=2,Tasks[[#This Row],[_ConstraintCode]]=3,Tasks[[#This Row],[_ConstraintCode]]=4,Tasks[[#This Row],[_ConstraintCode]]=6),Tasks[[#This Row],[_ConstraintStart]],0)</f>
        <v>0</v>
      </c>
      <c r="CI97" s="89" t="n">
        <f aca="false">IF(OR(Tasks[[#This Row],[_ConstraintCode]]=2,Tasks[[#This Row],[_ConstraintCode]]=3,Tasks[[#This Row],[_ConstraintCode]]=5,Tasks[[#This Row],[_ConstraintCode]]=7),Tasks[[#This Row],[_ConstraintStart]],2958465)</f>
        <v>2958465</v>
      </c>
      <c r="CJ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7" s="89" t="str">
        <f aca="false">IF(NOT(Tasks[[#This Row],[_IsLeaf]]=1),"",IF(N(Tasks[[#This Row],[_Days]])&lt;=0,Tasks[[#This Row],[_LeafCalcStart]],WORKDAY.INTL(Tasks[[#This Row],[_LeafCalcStart]],Tasks[[#This Row],[_Days]]-1,WorkWeek,Holidays)))</f>
        <v/>
      </c>
      <c r="CL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7" s="42" t="str">
        <f aca="false">IF(Tasks[[#This Row],[_Predecessors]]="","",TRIM(MID(SUBSTITUTE(SUBSTITUTE(SUBSTITUTE(UPPER(Tasks[[#This Row],[_Predecessors]]),";",",")," ",""),",",REPT(" ",99)),1,99)))</f>
        <v/>
      </c>
      <c r="CO97" s="42" t="str">
        <f aca="false">IF(Tasks[[#This Row],[_Pred1Text]]="","",IFERROR(VALUE(LEFT(Tasks[[#This Row],[_Pred1Text]],MIN(FIND("F",Tasks[[#This Row],[_Pred1Text]]&amp;"F"),FIND("S",Tasks[[#This Row],[_Pred1Text]]&amp;"S"),FIND("+",Tasks[[#This Row],[_Pred1Text]]&amp;"+"),FIND("-",Tasks[[#This Row],[_Pred1Text]]&amp;"-"))-1)),""))</f>
        <v/>
      </c>
      <c r="CP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7" s="42" t="str">
        <f aca="false">IF(Tasks[[#This Row],[_Pred1Text]]="","",TRIM(MID(SUBSTITUTE(SUBSTITUTE(SUBSTITUTE(UPPER(Tasks[[#This Row],[_Predecessors]]),";",",")," ",""),",",REPT(" ",99)),100,99)))</f>
        <v/>
      </c>
      <c r="CS97" s="42" t="str">
        <f aca="false">IF(Tasks[[#This Row],[_Pred2Text]]="","",IFERROR(VALUE(LEFT(Tasks[[#This Row],[_Pred2Text]],MIN(FIND("F",Tasks[[#This Row],[_Pred2Text]]&amp;"F"),FIND("S",Tasks[[#This Row],[_Pred2Text]]&amp;"S"),FIND("+",Tasks[[#This Row],[_Pred2Text]]&amp;"+"),FIND("-",Tasks[[#This Row],[_Pred2Text]]&amp;"-"))-1)),""))</f>
        <v/>
      </c>
      <c r="CT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7" s="42" t="str">
        <f aca="false">IF(Tasks[[#This Row],[_Pred2Text]]="","",TRIM(MID(SUBSTITUTE(SUBSTITUTE(SUBSTITUTE(UPPER(Tasks[[#This Row],[_Predecessors]]),";",",")," ",""),",",REPT(" ",99)),199,99)))</f>
        <v/>
      </c>
      <c r="CW97" s="42" t="str">
        <f aca="false">IF(Tasks[[#This Row],[_Pred3Text]]="","",IFERROR(VALUE(LEFT(Tasks[[#This Row],[_Pred3Text]],MIN(FIND("F",Tasks[[#This Row],[_Pred3Text]]&amp;"F"),FIND("S",Tasks[[#This Row],[_Pred3Text]]&amp;"S"),FIND("+",Tasks[[#This Row],[_Pred3Text]]&amp;"+"),FIND("-",Tasks[[#This Row],[_Pred3Text]]&amp;"-"))-1)),""))</f>
        <v/>
      </c>
      <c r="CX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7" s="42" t="str">
        <f aca="false">IF(Tasks[[#This Row],[_Pred3Text]]="","",TRIM(MID(SUBSTITUTE(SUBSTITUTE(SUBSTITUTE(UPPER(Tasks[[#This Row],[_Predecessors]]),";",",")," ",""),",",REPT(" ",99)),298,99)))</f>
        <v/>
      </c>
      <c r="DA97" s="42" t="str">
        <f aca="false">IF(Tasks[[#This Row],[_Pred4Text]]="","",IFERROR(VALUE(LEFT(Tasks[[#This Row],[_Pred4Text]],MIN(FIND("F",Tasks[[#This Row],[_Pred4Text]]&amp;"F"),FIND("S",Tasks[[#This Row],[_Pred4Text]]&amp;"S"),FIND("+",Tasks[[#This Row],[_Pred4Text]]&amp;"+"),FIND("-",Tasks[[#This Row],[_Pred4Text]]&amp;"-"))-1)),""))</f>
        <v/>
      </c>
      <c r="DB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7" s="42" t="str">
        <f aca="false">IF(OR(Tasks[[#This Row],[Task Name]]="",Tasks[[#This Row],[_Resources]]=""),"",TRIM(MID(SUBSTITUTE(Tasks[[#This Row],[_Resources]],",",REPT(" ",99)),1,99)))</f>
        <v/>
      </c>
      <c r="DE97" s="42" t="str">
        <f aca="false">IF(Tasks[[#This Row],[_Res1Text]]="","",TRIM(MID(SUBSTITUTE(Tasks[[#This Row],[_Resources]],",",REPT(" ",99)),100,99)))</f>
        <v/>
      </c>
      <c r="DF97" s="42" t="str">
        <f aca="false">IF(Tasks[[#This Row],[_Res2Text]]="","",TRIM(MID(SUBSTITUTE(Tasks[[#This Row],[_Resources]],",",REPT(" ",99)),199,99)))</f>
        <v/>
      </c>
      <c r="DG97" s="42" t="str">
        <f aca="false">IF(Tasks[[#This Row],[_Res3Text]]="","",TRIM(MID(SUBSTITUTE(Tasks[[#This Row],[_Resources]],",",REPT(" ",99)),298,99)))</f>
        <v/>
      </c>
      <c r="DH97" s="42" t="n">
        <f aca="false">IF(Tasks[[#This Row],[_Res1Text]]="",0,IFERROR(MATCH(TRIM(LEFT(Tasks[[#This Row],[_Res1Text]],FIND("[",Tasks[[#This Row],[_Res1Text]]&amp;"[")-1)),res_Name,0),IFERROR(MATCH(TRIM(LEFT(Tasks[[#This Row],[_Res1Text]],FIND("[",Tasks[[#This Row],[_Res1Text]]&amp;"[")-1)),res_Initials,0),0)))</f>
        <v>0</v>
      </c>
      <c r="DI97" s="42" t="n">
        <f aca="false">IF(Tasks[[#This Row],[_Res2Text]]="",0,IFERROR(MATCH(TRIM(LEFT(Tasks[[#This Row],[_Res2Text]],FIND("[",Tasks[[#This Row],[_Res2Text]]&amp;"[")-1)),res_Name,0),IFERROR(MATCH(TRIM(LEFT(Tasks[[#This Row],[_Res2Text]],FIND("[",Tasks[[#This Row],[_Res2Text]]&amp;"[")-1)),res_Initials,0),0)))</f>
        <v>0</v>
      </c>
      <c r="DJ97" s="42" t="n">
        <f aca="false">IF(Tasks[[#This Row],[_Res3Text]]="",0,IFERROR(MATCH(TRIM(LEFT(Tasks[[#This Row],[_Res3Text]],FIND("[",Tasks[[#This Row],[_Res3Text]]&amp;"[")-1)),res_Name,0),IFERROR(MATCH(TRIM(LEFT(Tasks[[#This Row],[_Res3Text]],FIND("[",Tasks[[#This Row],[_Res3Text]]&amp;"[")-1)),res_Initials,0),0)))</f>
        <v>0</v>
      </c>
      <c r="DK97" s="42" t="n">
        <f aca="false">IF(Tasks[[#This Row],[_Res4Text]]="",0,IFERROR(MATCH(TRIM(LEFT(Tasks[[#This Row],[_Res4Text]],FIND("[",Tasks[[#This Row],[_Res4Text]]&amp;"[")-1)),res_Name,0),IFERROR(MATCH(TRIM(LEFT(Tasks[[#This Row],[_Res4Text]],FIND("[",Tasks[[#This Row],[_Res4Text]]&amp;"[")-1)),res_Initials,0),0)))</f>
        <v>0</v>
      </c>
      <c r="DL97" s="42" t="str">
        <f aca="false">IF(Tasks[[#This Row],[_Res1Text]]="","",IF(Tasks[[#This Row],[_Res1Row]]&gt;0,INDEX(res_Name,Tasks[[#This Row],[_Res1Row]]),TRIM(LEFT(Tasks[[#This Row],[_Res1Text]],FIND("[",Tasks[[#This Row],[_Res1Text]]&amp;"[")-1))))</f>
        <v/>
      </c>
      <c r="DM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7" s="42" t="n">
        <f aca="false">IF(NOT(Tasks[[#This Row],[_IsLeaf]]=1),0,(Tasks[[#This Row],[_Resource1]]&lt;&gt;"")+(Tasks[[#This Row],[_Res2]]&lt;&gt;"")+(Tasks[[#This Row],[_Res3]]&lt;&gt;"")+(Tasks[[#This Row],[_Res4]]&lt;&gt;""))</f>
        <v>0</v>
      </c>
      <c r="DO97" s="42" t="str">
        <f aca="false">IF(Tasks[[#This Row],[_Res2Text]]="","",IF(Tasks[[#This Row],[_Res2Row]]&gt;0,INDEX(res_Name,Tasks[[#This Row],[_Res2Row]]),TRIM(LEFT(Tasks[[#This Row],[_Res2Text]],FIND("[",Tasks[[#This Row],[_Res2Text]]&amp;"[")-1))))</f>
        <v/>
      </c>
      <c r="DP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7" s="42" t="n">
        <f aca="false">IF(OR(NOT(Tasks[[#This Row],[_IsLeaf]]=1),Tasks[[#This Row],[_Res2Row]]=0),0,N(Tasks[[#This Row],[_Days]])*HoursPerDay*IF(Tasks[[#This Row],[_Res2Units]]="",DefaultUnits,Tasks[[#This Row],[_Res2Units]]))</f>
        <v>0</v>
      </c>
      <c r="DR97" s="42" t="n">
        <f aca="false">IF(AND(AND(Tasks[[#This Row],[_IsLeaf]]=1,Tasks[[#This Row],[_LeafTotalWork]]&gt;0),Tasks[[#This Row],[_Res2Work]]&gt;0),Tasks[[#This Row],[_Res2Work]]/(Tasks[[#This Row],[_FinishWorkday]]-Tasks[[#This Row],[_StartWorkday]]+1),0)</f>
        <v>0</v>
      </c>
      <c r="DS97" s="42" t="n">
        <f aca="false">Tasks[[#This Row],[_Res2WorkPerWD]]*MAX(0,Tasks[[#This Row],[_StartWorkday]]-1)</f>
        <v>0</v>
      </c>
      <c r="DT97" s="42" t="n">
        <f aca="false">Tasks[[#This Row],[_Res2Work]]*Tasks[[#This Row],[_LeafProgress]]</f>
        <v>0</v>
      </c>
      <c r="DU97" s="42" t="str">
        <f aca="false">IF(Tasks[[#This Row],[_Res3Text]]="","",IF(Tasks[[#This Row],[_Res3Row]]&gt;0,INDEX(res_Name,Tasks[[#This Row],[_Res3Row]]),TRIM(LEFT(Tasks[[#This Row],[_Res3Text]],FIND("[",Tasks[[#This Row],[_Res3Text]]&amp;"[")-1))))</f>
        <v/>
      </c>
      <c r="DV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7" s="42" t="n">
        <f aca="false">IF(OR(NOT(Tasks[[#This Row],[_IsLeaf]]=1),Tasks[[#This Row],[_Res3Row]]=0),0,N(Tasks[[#This Row],[_Days]])*HoursPerDay*IF(Tasks[[#This Row],[_Res3Units]]="",DefaultUnits,Tasks[[#This Row],[_Res3Units]]))</f>
        <v>0</v>
      </c>
      <c r="DX97" s="42" t="n">
        <f aca="false">IF(AND(AND(Tasks[[#This Row],[_IsLeaf]]=1,Tasks[[#This Row],[_LeafTotalWork]]&gt;0),Tasks[[#This Row],[_Res3Work]]&gt;0),Tasks[[#This Row],[_Res3Work]]/(Tasks[[#This Row],[_FinishWorkday]]-Tasks[[#This Row],[_StartWorkday]]+1),0)</f>
        <v>0</v>
      </c>
      <c r="DY97" s="42" t="n">
        <f aca="false">Tasks[[#This Row],[_Res3WorkPerWD]]*MAX(0,Tasks[[#This Row],[_StartWorkday]]-1)</f>
        <v>0</v>
      </c>
      <c r="DZ97" s="42" t="n">
        <f aca="false">Tasks[[#This Row],[_Res3Work]]*Tasks[[#This Row],[_LeafProgress]]</f>
        <v>0</v>
      </c>
      <c r="EA97" s="42" t="str">
        <f aca="false">IF(Tasks[[#This Row],[_Res4Text]]="","",IF(Tasks[[#This Row],[_Res4Row]]&gt;0,INDEX(res_Name,Tasks[[#This Row],[_Res4Row]]),TRIM(LEFT(Tasks[[#This Row],[_Res4Text]],FIND("[",Tasks[[#This Row],[_Res4Text]]&amp;"[")-1))))</f>
        <v/>
      </c>
      <c r="EB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7" s="42" t="n">
        <f aca="false">IF(OR(NOT(Tasks[[#This Row],[_IsLeaf]]=1),Tasks[[#This Row],[_Res4Row]]=0),0,N(Tasks[[#This Row],[_Days]])*HoursPerDay*IF(Tasks[[#This Row],[_Res4Units]]="",DefaultUnits,Tasks[[#This Row],[_Res4Units]]))</f>
        <v>0</v>
      </c>
      <c r="ED97" s="42" t="n">
        <f aca="false">IF(AND(AND(Tasks[[#This Row],[_IsLeaf]]=1,Tasks[[#This Row],[_LeafTotalWork]]&gt;0),Tasks[[#This Row],[_Res4Work]]&gt;0),Tasks[[#This Row],[_Res4Work]]/(Tasks[[#This Row],[_FinishWorkday]]-Tasks[[#This Row],[_StartWorkday]]+1),0)</f>
        <v>0</v>
      </c>
      <c r="EE97" s="42" t="n">
        <f aca="false">Tasks[[#This Row],[_Res4WorkPerWD]]*MAX(0,Tasks[[#This Row],[_StartWorkday]]-1)</f>
        <v>0</v>
      </c>
      <c r="EF97" s="42" t="n">
        <f aca="false">Tasks[[#This Row],[_Res4Work]]*Tasks[[#This Row],[_LeafProgress]]</f>
        <v>0</v>
      </c>
      <c r="EG97" s="42" t="n">
        <f aca="false">IF(ISNUMBER(Tasks[[#This Row],[% Complete]]),Tasks[[#This Row],[% Complete]],IF(Tasks[[#This Row],[Stage]]="",0,IFERROR(INDEX(stg_Pct,MATCH(Tasks[[#This Row],[Stage]],stg_Name,0)),0)))</f>
        <v>0</v>
      </c>
      <c r="EH97" s="42" t="n">
        <f aca="false">IF(NOT(Tasks[[#This Row],[_IsLeaf]]=1),0,IF(N(Tasks[[#This Row],[Actual Finish]])&gt;0,1,MIN(1,Tasks[[#This Row],[_Pct]])))</f>
        <v>0</v>
      </c>
      <c r="EI97" s="42" t="n">
        <f aca="false">IF(OR(NOT(Tasks[[#This Row],[_IsLeaf]]=1),Tasks[[#This Row],[_Res1Row]]=0),0,N(Tasks[[#This Row],[_Days]])*HoursPerDay*IF(Tasks[[#This Row],[_Units1]]="",DefaultUnits,Tasks[[#This Row],[_Units1]]))</f>
        <v>0</v>
      </c>
      <c r="EJ97" s="42" t="n">
        <f aca="false">Tasks[[#This Row],[_LeafWork]]+Tasks[[#This Row],[_Res2Work]]+Tasks[[#This Row],[_Res3Work]]+Tasks[[#This Row],[_Res4Work]]</f>
        <v>0</v>
      </c>
      <c r="EK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7" s="42" t="n">
        <f aca="false">IF(NOT(Tasks[[#This Row],[_IsLeaf]]=1),0,MAX(_xlfn.MAXIFS(Tasks[_Row],Tasks[_Pred1UID],Tasks[[#This Row],[UID]]),_xlfn.MAXIFS(Tasks[_Row],Tasks[_Pred2UID],Tasks[[#This Row],[UID]]),_xlfn.MAXIFS(Tasks[_Row],Tasks[_Pred3UID],Tasks[[#This Row],[UID]]),_xlfn.MAXIFS(Tasks[_Row],Tasks[_Pred4UID],Tasks[[#This Row],[UID]])))</f>
        <v>0</v>
      </c>
      <c r="ET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7" s="89" t="str">
        <f aca="false">IF(NOT(Tasks[[#This Row],[_IsLeaf]]=1),"",IF(N(Tasks[[#This Row],[_Days]])&lt;=0,Tasks[[#This Row],[_LeafLateFinish]],WORKDAY.INTL(Tasks[[#This Row],[_LeafLateFinish]],-(Tasks[[#This Row],[_Days]]-1),WorkWeek,Holidays)))</f>
        <v/>
      </c>
      <c r="EW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7" s="88" t="b">
        <f aca="false">AND(Tasks[[#This Row],[_IsLeaf]]=1,Tasks[[#This Row],[_LeafProgress]]&lt;1,N(Tasks[[#This Row],[_LeafTotalSlack]])&lt;=CriticalSlackDays)</f>
        <v>0</v>
      </c>
      <c r="EY97" s="42" t="n">
        <f aca="false">IF(AND(Tasks[[#This Row],[_IsLeaf]]=1,Tasks[[#This Row],[_ConstraintCode]]=1,Tasks[[#This Row],[Mode]]&lt;&gt;"Manual",N(Tasks[[#This Row],[Actual Start]])=0),MAX(0,N(Tasks[[#This Row],[Free Slack]])),0)</f>
        <v>0</v>
      </c>
      <c r="EZ97" s="89" t="str">
        <f aca="false">IF(NOT(Tasks[[#This Row],[_IsLeaf]]=1),"",IF(Tasks[[#This Row],[_AlapShift]]=0,Tasks[[#This Row],[_LeafCalcStart]],WORKDAY.INTL(Tasks[[#This Row],[_LeafCalcStart]],Tasks[[#This Row],[_AlapShift]],WorkWeek,Holidays)))</f>
        <v/>
      </c>
      <c r="FA97" s="89" t="str">
        <f aca="false">IF(NOT(Tasks[[#This Row],[_IsLeaf]]=1),"",IF(Tasks[[#This Row],[_AlapShift]]=0,Tasks[[#This Row],[_LeafCalcFinish]],WORKDAY.INTL(Tasks[[#This Row],[_LeafCalcFinish]],Tasks[[#This Row],[_AlapShift]],WorkWeek,Holidays)))</f>
        <v/>
      </c>
      <c r="FB97" s="89" t="str">
        <f aca="false">IF(NOT(Tasks[[#This Row],[_IsLeaf]]=1),"",IF(Tasks[[#This Row],[_AlapShift]]=0,Tasks[[#This Row],[_LeafFcstStart]],WORKDAY.INTL(Tasks[[#This Row],[_LeafFcstStart]],Tasks[[#This Row],[_AlapShift]],WorkWeek,Holidays)))</f>
        <v/>
      </c>
      <c r="FC97" s="89" t="str">
        <f aca="false">IF(NOT(Tasks[[#This Row],[_IsLeaf]]=1),"",IF(Tasks[[#This Row],[_AlapShift]]=0,Tasks[[#This Row],[_LeafFcstFinish]],WORKDAY.INTL(Tasks[[#This Row],[_LeafFcstFinish]],Tasks[[#This Row],[_AlapShift]],WorkWeek,Holidays)))</f>
        <v/>
      </c>
      <c r="FD97" s="89" t="str">
        <f aca="false">IF(Tasks[[#This Row],[Task Name]]="","",IF(Tasks[[#This Row],[_IsSummary]],MIN(INDEX(Tasks[_ShownCalcStart],Tasks[[#This Row],[_Row]]+1):INDEX(Tasks[_ShownCalcStart],Tasks[[#This Row],[_Row]]+Tasks[[#This Row],[_Descendants]])),Tasks[[#This Row],[_ShownCalcStart]]))</f>
        <v/>
      </c>
      <c r="FE97" s="89" t="str">
        <f aca="false">IF(Tasks[[#This Row],[Task Name]]="","",IF(Tasks[[#This Row],[_IsSummary]],MAX(INDEX(Tasks[_ShownCalcFinish],Tasks[[#This Row],[_Row]]+1):INDEX(Tasks[_ShownCalcFinish],Tasks[[#This Row],[_Row]]+Tasks[[#This Row],[_Descendants]])),Tasks[[#This Row],[_ShownCalcFinish]]))</f>
        <v/>
      </c>
      <c r="FF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7" s="42" t="n">
        <f aca="false">IF(AND(Tasks[[#This Row],[_IsLeaf]]=1,Tasks[[#This Row],[_LeafTotalWork]]&gt;0),NETWORKDAYS.INTL(ProjectStart,Tasks[[#This Row],[_ShownFcstStart]],WorkWeek,Holidays),0)</f>
        <v>0</v>
      </c>
      <c r="FS97" s="42" t="n">
        <f aca="false">IF(AND(Tasks[[#This Row],[_IsLeaf]]=1,Tasks[[#This Row],[_LeafTotalWork]]&gt;0),MAX(Tasks[[#This Row],[_StartWorkday]],NETWORKDAYS.INTL(ProjectStart,Tasks[[#This Row],[_ShownFcstFinish]],WorkWeek,Holidays)),0)</f>
        <v>0</v>
      </c>
      <c r="FT97" s="42" t="n">
        <f aca="false">IF(AND(Tasks[[#This Row],[_IsLeaf]]=1,Tasks[[#This Row],[_LeafTotalWork]]&gt;0),Tasks[[#This Row],[_LeafWork]]/(Tasks[[#This Row],[_FinishWorkday]]-Tasks[[#This Row],[_StartWorkday]]+1),0)</f>
        <v>0</v>
      </c>
      <c r="FU97" s="42" t="n">
        <f aca="false">Tasks[[#This Row],[_WorkPerWorkday]]*(Tasks[[#This Row],[_StartWorkday]]-1)</f>
        <v>-0</v>
      </c>
      <c r="FV97" s="42" t="n">
        <f aca="false">IF(Tasks[[#This Row],[_IsLeaf]]=1,MAX(N(Tasks[[#This Row],[_Days]]),0.1),0)</f>
        <v>0</v>
      </c>
      <c r="FW97" s="42" t="n">
        <f aca="false">Tasks[[#This Row],[_WeightDur]]*Tasks[[#This Row],[_LeafProgress]]</f>
        <v>0</v>
      </c>
      <c r="FX97" s="42" t="n">
        <f aca="false">Tasks[[#This Row],[_WeightDur]]*Tasks[[#This Row],[_PlannedPct]]</f>
        <v>0</v>
      </c>
      <c r="FY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7" s="42" t="str">
        <f aca="false">IF(AND(Tasks[[#This Row],[_IsLeaf]]=1,N(Tasks[[#This Row],[_Days]])=0,Tasks[[#This Row],[_LeafProgress]]&lt;1),Tasks[[#This Row],[_ShownFcstFinish]]+Tasks[[#This Row],[_Row]]/100000,"")</f>
        <v/>
      </c>
      <c r="GA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7" s="42" t="str">
        <f aca="false">IF(Tasks[[#This Row],[Task Name]]="","",LEFT(Tasks[[#This Row],[WBS]],FIND(".",Tasks[[#This Row],[WBS]]&amp;".")-1))</f>
        <v/>
      </c>
      <c r="GC97" s="42" t="str">
        <f aca="false">IF(AND(Tasks[[#This Row],[Task Name]]&lt;&gt;"",Tasks[[#This Row],[_Level]]=1),Tasks[[#This Row],[_Row]],"")</f>
        <v/>
      </c>
      <c r="GD97" s="42" t="str">
        <f aca="false">IF(AND(Tasks[[#This Row],[_IsLeaf]]=1,N(Tasks[[#This Row],[_Days]])=0),Tasks[[#This Row],[Planned Finish]]+Tasks[[#This Row],[_Row]]/100000,"")</f>
        <v/>
      </c>
      <c r="GE97" s="42" t="str">
        <f aca="false">IF(AND(Tasks[[#This Row],[_IsLeaf]]=1,Tasks[[#This Row],[_LeafProgress]]&lt;1,OR(N(Tasks[[#This Row],[Finish Var]])&gt;0,Tasks[[#This Row],[Status]]="Late Start")),MAX(0,Tasks[[#This Row],[Finish Var]])+1-Tasks[[#This Row],[_Row]]/1000000,"")</f>
        <v/>
      </c>
      <c r="GF97" s="42" t="str">
        <f aca="false">IF(AND(Tasks[[#This Row],[_IsLeaf]]=1,N(Tasks[[#This Row],[Actual Start]])=0,Tasks[[#This Row],[_ShownFcstStart]]&gt;=StatusDate,Tasks[[#This Row],[_ShownFcstStart]]&lt;=LookaheadEnd),Tasks[[#This Row],[_ShownFcstStart]]+Tasks[[#This Row],[_Row]]/100000,"")</f>
        <v/>
      </c>
      <c r="GG97" s="42" t="str">
        <f aca="false">IF(AND(Tasks[[#This Row],[_IsLeaf]]=1,Tasks[[#This Row],[_LeafProgress]]&lt;1,Tasks[[#This Row],[_ShownFcstFinish]]&gt;=StatusDate,Tasks[[#This Row],[_ShownFcstFinish]]&lt;=LookaheadEnd),Tasks[[#This Row],[_ShownFcstFinish]]+Tasks[[#This Row],[_Row]]/100000,"")</f>
        <v/>
      </c>
      <c r="GH97" s="42" t="str">
        <f aca="false">IF(Tasks[[#This Row],[_LeafCritical]],Tasks[[#This Row],[_ShownFcstStart]]+Tasks[[#This Row],[_Row]]/100000,"")</f>
        <v/>
      </c>
      <c r="GI97" s="42" t="n">
        <f aca="false">Tasks[[#This Row],[_LeafWork]]*Tasks[[#This Row],[_LeafProgress]]</f>
        <v>0</v>
      </c>
      <c r="GJ97" s="89" t="str">
        <f aca="false">IF(AND(Tasks[[#This Row],[_IsLeaf]]=1,Tasks[[#This Row],[_LeafProgress]]&gt;=1),IF(N(Tasks[[#This Row],[Actual Finish]])&gt;0,Tasks[[#This Row],[Actual Finish]],Tasks[[#This Row],[_ShownFcstFinish]]),"")</f>
        <v/>
      </c>
      <c r="GK97" s="42" t="n">
        <f aca="false">IF(Tasks[[#This Row],[_IsLeaf]]=1,N(Tasks[[#This Row],[Story Points]]),0)</f>
        <v>0</v>
      </c>
      <c r="GL97" s="42" t="str">
        <f aca="false">""</f>
        <v/>
      </c>
      <c r="GM97" s="88" t="b">
        <f aca="false">IF(Tasks[[#This Row],[Task Name]]="",FALSE(),AND(Tasks[[#This Row],[_IsLeaf]]=1,N(Tasks[[#This Row],[_Days]])=0))</f>
        <v>0</v>
      </c>
      <c r="GN97" s="89" t="n">
        <f aca="false">IF(Tasks[[#This Row],[Task Name]]="",0,IF(AND(Tasks[[#This Row],[_IsLeaf]]=1,NOT(Tasks[[#This Row],[_IsMilestone]]),N(Tasks[[#This Row],[Progress]])&gt;0),Tasks[[#This Row],[Start]],0))</f>
        <v>0</v>
      </c>
      <c r="GO97" s="89" t="n">
        <f aca="false">IF(Tasks[[#This Row],[_DoneFrom]]=0,0,IF(Tasks[[#This Row],[Progress]]&gt;=1,Tasks[[#This Row],[Finish]],MAX(Tasks[[#This Row],[_DoneFrom]],Tasks[[#This Row],[Start]]+ROUND((Tasks[[#This Row],[Finish]]-Tasks[[#This Row],[Start]]+1)*Tasks[[#This Row],[Progress]],0)-1)))</f>
        <v>0</v>
      </c>
      <c r="GP97" s="89" t="n">
        <f aca="false">IF(Tasks[[#This Row],[Task Name]]="",0,IF(OR(NOT(Tasks[[#This Row],[_IsLeaf]]=1),Tasks[[#This Row],[_IsMilestone]],N(Tasks[[#This Row],[Progress]])&gt;=1),0,IF(Tasks[[#This Row],[_DoneTo]]&gt;0,Tasks[[#This Row],[_DoneTo]]+1,Tasks[[#This Row],[Start]])))</f>
        <v>0</v>
      </c>
      <c r="GQ97" s="89" t="n">
        <f aca="false">IF(Tasks[[#This Row],[_RemFrom]]=0,0,Tasks[[#This Row],[Finish]])</f>
        <v>0</v>
      </c>
      <c r="GR97" s="88" t="b">
        <f aca="false">IF(Tasks[[#This Row],[Task Name]]="",FALSE(),OR(NOT(BaselineSet),N(Tasks[[#This Row],[Baseline Start]])&gt;0))</f>
        <v>0</v>
      </c>
      <c r="GS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7" s="90" t="str">
        <f aca="false">IF(Tasks[[#This Row],[_IsLeaf]]=1,Tasks[[#This Row],[_Row]],"")</f>
        <v/>
      </c>
      <c r="GW97" s="90" t="str">
        <f aca="false">IFERROR(INDEX(Tasks[UID],SMALL(Tasks[_PickKey],Tasks[[#This Row],[_Row]]))&amp;" "&amp;INDEX(Tasks[Task Name],SMALL(Tasks[_PickKey],Tasks[[#This Row],[_Row]])),"")</f>
        <v/>
      </c>
      <c r="GX97" s="42" t="str">
        <f aca="false">IF(Tasks[[#This Row],[Task Name]]="","",IF(Tasks[[#This Row],[_IsSummary]],NETWORKDAYS.INTL(Tasks[[#This Row],[Start]],Tasks[[#This Row],[Finish]],WorkWeek,Holidays),N(Tasks[[#This Row],[_Days]])))</f>
        <v/>
      </c>
    </row>
    <row r="98" customFormat="false" ht="15" hidden="false" customHeight="false" outlineLevel="0" collapsed="false">
      <c r="A98" s="21" t="str">
        <f aca="false">IF(Tasks[[#This Row],[Task Name]]="","",COUNTA(Tasks[[#Headers],[Task Name]]:Tasks[[#This Row],[Task Name]])-1)</f>
        <v/>
      </c>
      <c r="B98" s="22" t="n">
        <v>106</v>
      </c>
      <c r="C98" s="22"/>
      <c r="D98" s="23"/>
      <c r="E98" s="22"/>
      <c r="F98" s="23"/>
      <c r="G98" s="22"/>
      <c r="H98" s="22"/>
      <c r="I98" s="23"/>
      <c r="J98" s="22"/>
      <c r="K98" s="22"/>
      <c r="L98" s="23"/>
      <c r="M98" s="22"/>
      <c r="N98" s="22"/>
      <c r="O98" s="23"/>
      <c r="P98" s="22"/>
      <c r="Q98" s="22"/>
      <c r="R98" s="23"/>
      <c r="S98" s="23"/>
      <c r="T98" s="83"/>
      <c r="U98" s="23"/>
      <c r="V98" s="83"/>
      <c r="W98" s="23"/>
      <c r="X98" s="83"/>
      <c r="Y98" s="23"/>
      <c r="Z98" s="83"/>
      <c r="AA98" s="23"/>
      <c r="AB98" s="23"/>
      <c r="AC98" s="7"/>
      <c r="AD98" s="7"/>
      <c r="AE98" s="62" t="str">
        <f aca="false">IF(Tasks[[#This Row],[Task Name]]="","",IF(Tasks[[#This Row],[_IsSummary]],MIN(INDEX(Tasks[_ShownFcstStart],Tasks[[#This Row],[_Row]]+1):INDEX(Tasks[_ShownFcstStart],Tasks[[#This Row],[_Row]]+Tasks[[#This Row],[_Descendants]])),Tasks[[#This Row],[_ShownFcstStart]]))</f>
        <v/>
      </c>
      <c r="AF98" s="62" t="str">
        <f aca="false">IF(Tasks[[#This Row],[Task Name]]="","",IF(Tasks[[#This Row],[_IsSummary]],MAX(INDEX(Tasks[_ShownFcstFinish],Tasks[[#This Row],[_Row]]+1):INDEX(Tasks[_ShownFcstFinish],Tasks[[#This Row],[_Row]]+Tasks[[#This Row],[_Descendants]])),Tasks[[#This Row],[_ShownFcstFinish]]))</f>
        <v/>
      </c>
      <c r="AG98" s="21" t="str">
        <f aca="false">""</f>
        <v/>
      </c>
      <c r="AH98" s="23"/>
      <c r="AI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8" s="7"/>
      <c r="AK98" s="22"/>
      <c r="AL98" s="23"/>
      <c r="AM98" s="7"/>
      <c r="AN98" s="46" t="str">
        <f aca="false">IF(Tasks[[#This Row],[Task Name]]="","",IF(Tasks[[#This Row],[Finish]]&gt;=Tasks[[#This Row],[Planned Finish]],NETWORKDAYS.INTL(Tasks[[#This Row],[Planned Finish]],Tasks[[#This Row],[Finish]],WorkWeek,Holidays)-1,1-NETWORKDAYS.INTL(Tasks[[#This Row],[Finish]],Tasks[[#This Row],[Planned Finish]],WorkWeek,Holidays)))</f>
        <v/>
      </c>
      <c r="AO98" s="21" t="str">
        <f aca="false">IF(Tasks[[#This Row],[Task Name]]="","",IF(Tasks[[#This Row],[Progress]]&gt;=1,"Complete",IF(OR(N(Tasks[[#This Row],[Actual Start]])&gt;0,Tasks[[#This Row],[Progress]]&gt;0),IF(Tasks[[#This Row],[Finish Var]]&gt;0,"Behind","In Progress"),IF(Tasks[[#This Row],[Planned Start]]&lt;StatusDate,"Late Start","Not Started"))))</f>
        <v/>
      </c>
      <c r="AP98" s="21" t="str">
        <f aca="false">IF(Tasks[[#This Row],[Task Name]]="","",IF(IF(Tasks[[#This Row],[_IsSummary]],COUNTIF(INDEX(Tasks[_LeafCritical],Tasks[[#This Row],[_Row]]+1):INDEX(Tasks[_LeafCritical],Tasks[[#This Row],[_Row]]+Tasks[[#This Row],[_Descendants]]),TRUE())&gt;0,Tasks[[#This Row],[_LeafCritical]]),"Yes",""))</f>
        <v/>
      </c>
      <c r="AQ98" s="62" t="str">
        <f aca="false">IF(Tasks[[#This Row],[Task Name]]="","",IF(N(Tasks[[#This Row],[Baseline Start]])&gt;0,Tasks[[#This Row],[Baseline Start]],Tasks[[#This Row],[_CalcStart]]))</f>
        <v/>
      </c>
      <c r="AR98" s="62" t="str">
        <f aca="false">IF(Tasks[[#This Row],[Task Name]]="","",IF(N(Tasks[[#This Row],[Baseline Finish]])&gt;0,Tasks[[#This Row],[Baseline Finish]],Tasks[[#This Row],[_CalcFinish]]))</f>
        <v/>
      </c>
      <c r="AS98" s="46" t="str">
        <f aca="false">IF(Tasks[[#This Row],[Task Name]]="","",IF(Tasks[[#This Row],[Start]]&gt;=Tasks[[#This Row],[Planned Start]],NETWORKDAYS.INTL(Tasks[[#This Row],[Planned Start]],Tasks[[#This Row],[Start]],WorkWeek,Holidays)-1,1-NETWORKDAYS.INTL(Tasks[[#This Row],[Start]],Tasks[[#This Row],[Planned Start]],WorkWeek,Holidays)))</f>
        <v/>
      </c>
      <c r="AT98" s="62" t="str">
        <f aca="false">IF(Tasks[[#This Row],[Task Name]]="","",IF(Tasks[[#This Row],[_IsSummary]],MIN(INDEX(Tasks[_LeafLateStart],Tasks[[#This Row],[_Row]]+1):INDEX(Tasks[_LeafLateStart],Tasks[[#This Row],[_Row]]+Tasks[[#This Row],[_Descendants]])),Tasks[[#This Row],[_LeafLateStart]]))</f>
        <v/>
      </c>
      <c r="AU98" s="62" t="str">
        <f aca="false">IF(Tasks[[#This Row],[Task Name]]="","",IF(Tasks[[#This Row],[_IsSummary]],MAX(INDEX(Tasks[_LeafLateFinish],Tasks[[#This Row],[_Row]]+1):INDEX(Tasks[_LeafLateFinish],Tasks[[#This Row],[_Row]]+Tasks[[#This Row],[_Descendants]])),Tasks[[#This Row],[_LeafLateFinish]]))</f>
        <v/>
      </c>
      <c r="AV98" s="46" t="str">
        <f aca="false">IF(Tasks[[#This Row],[Task Name]]="","",IF(Tasks[[#This Row],[_IsSummary]],MIN(INDEX(Tasks[_LeafTotalSlack],Tasks[[#This Row],[_Row]]+1):INDEX(Tasks[_LeafTotalSlack],Tasks[[#This Row],[_Row]]+Tasks[[#This Row],[_Descendants]])),Tasks[[#This Row],[_LeafTotalSlack]]))</f>
        <v/>
      </c>
      <c r="AW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4"/>
      <c r="BA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t="str">
        <f aca="false">IF(Tasks[[#This Row],[Task Name]]="","",IF(Tasks[[#This Row],[_Level]]&lt;=OutlineShowLevel,"Yes","No"))</f>
        <v/>
      </c>
      <c r="BE98" s="85" t="str">
        <f aca="false">IF(Tasks[[#This Row],[Task Name]]="","",IF(Tasks[[#This Row],[_IsSummary]],SUM(INDEX(Tasks[_LeafTotalWork],Tasks[[#This Row],[_Row]]+1):INDEX(Tasks[_LeafTotalWork],Tasks[[#This Row],[_Row]]+Tasks[[#This Row],[_Descendants]])),Tasks[[#This Row],[_LeafTotalWork]]))</f>
        <v/>
      </c>
      <c r="BF98" s="23"/>
      <c r="BG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t="str">
        <f aca="false">""</f>
        <v/>
      </c>
      <c r="BI98" s="86"/>
      <c r="BJ98" s="22"/>
      <c r="BK98" s="46" t="str">
        <f aca="false">IF(OR(Tasks[[#This Row],[Task Name]]="",Tasks[[#This Row],[Baseline Duration]]=""),"",Tasks[[#This Row],[_SpanDays]]-N(Tasks[[#This Row],[Baseline Duration]]))</f>
        <v/>
      </c>
      <c r="BL98" s="85" t="str">
        <f aca="false">IF(OR(Tasks[[#This Row],[Task Name]]="",Tasks[[#This Row],[Baseline Work]]=""),"",Tasks[[#This Row],[Work]]-N(Tasks[[#This Row],[Baseline Work]]))</f>
        <v/>
      </c>
      <c r="BM98" s="62" t="str">
        <f aca="false">IF(Tasks[[#This Row],[Task Name]]="","",IF(OR(TakeBaseline="Yes",N(Tasks[[#This Row],[Baseline Start]])=0),Tasks[[#This Row],[Start]],Tasks[[#This Row],[Baseline Start]]))</f>
        <v/>
      </c>
      <c r="BN98" s="62" t="str">
        <f aca="false">IF(Tasks[[#This Row],[Task Name]]="","",IF(OR(TakeBaseline="Yes",N(Tasks[[#This Row],[Baseline Finish]])=0),Tasks[[#This Row],[Finish]],Tasks[[#This Row],[Baseline Finish]]))</f>
        <v/>
      </c>
      <c r="BO98" s="21" t="str">
        <f aca="false">IF(Tasks[[#This Row],[Task Name]]="","",IF(OR(TakeBaseline="Yes",N(Tasks[[#This Row],[Baseline Duration]])=0),Tasks[[#This Row],[_SpanDays]],Tasks[[#This Row],[Baseline Duration]]))</f>
        <v/>
      </c>
      <c r="BP98" s="85" t="str">
        <f aca="false">IF(Tasks[[#This Row],[Task Name]]="","",IF(OR(TakeBaseline="Yes",N(Tasks[[#This Row],[Baseline Work]])=0),Tasks[[#This Row],[Work]],Tasks[[#This Row],[Baseline Work]]))</f>
        <v/>
      </c>
      <c r="BQ98" s="7"/>
      <c r="BR98" s="7"/>
      <c r="BS98" s="22"/>
      <c r="BT98" s="87"/>
      <c r="BU98" s="42" t="str">
        <f aca="false">IF(Tasks[[#This Row],[Task Name]]="","",MAX(1,N(Tasks[[#This Row],[Level]])))</f>
        <v/>
      </c>
      <c r="BV98" s="42" t="n">
        <f aca="false">ROW()-ROW(Tasks[[#Headers],[ID]])</f>
        <v>93</v>
      </c>
      <c r="BW98" s="42" t="n">
        <f aca="false">IF(OR(Tasks[[#This Row],[Task Name]]="",Tasks[[#This Row],[_Level]]&lt;=1),0,IFERROR(LOOKUP(2,1/(Tasks[[#Headers],[_Level]]:Tasks[[#This Row],[_Level]]=Tasks[[#This Row],[_Level]]-1),ROW(Tasks[[#Headers],[_Level]]:Tasks[[#This Row],[_Level]])),0))</f>
        <v>0</v>
      </c>
      <c r="BX98" s="42" t="n">
        <f aca="false">IFERROR(N(INDEX(Tasks[_Level],Tasks[[#This Row],[_Row]]+1)),0)</f>
        <v>0</v>
      </c>
      <c r="BY98" s="88" t="b">
        <f aca="false">AND(Tasks[[#This Row],[Task Name]]&lt;&gt;"",Tasks[[#This Row],[_NextLevel]]&gt;Tasks[[#This Row],[_Level]])</f>
        <v>0</v>
      </c>
      <c r="BZ98" s="42" t="n">
        <f aca="false">IF(Tasks[[#This Row],[_IsSummary]],COUNTIF(Tasks[WBS],Tasks[[#This Row],[WBS]]&amp;".*"),0)</f>
        <v>0</v>
      </c>
      <c r="CA98" s="42" t="n">
        <f aca="false">IF(AND(Tasks[[#This Row],[Task Name]]&lt;&gt;"",NOT(Tasks[[#This Row],[_IsSummary]])),1,0)</f>
        <v>0</v>
      </c>
      <c r="CB98" s="42" t="n">
        <f aca="false">IF(N(Tasks[[#This Row],[_Pred1UID]])=0,0,IFERROR(MATCH(Tasks[[#This Row],[_Pred1UID]],Tasks[UID],0),-1))</f>
        <v>0</v>
      </c>
      <c r="CC98" s="42" t="n">
        <f aca="false">IF(N(Tasks[[#This Row],[_Pred2UID]])=0,0,IFERROR(MATCH(Tasks[[#This Row],[_Pred2UID]],Tasks[UID],0),-1))</f>
        <v>0</v>
      </c>
      <c r="CD98" s="42" t="n">
        <f aca="false">IF(N(Tasks[[#This Row],[_Pred3UID]])=0,0,IFERROR(MATCH(Tasks[[#This Row],[_Pred3UID]],Tasks[UID],0),-1))</f>
        <v>0</v>
      </c>
      <c r="CE98" s="42" t="n">
        <f aca="false">IF(N(Tasks[[#This Row],[_Pred4UID]])=0,0,IFERROR(MATCH(Tasks[[#This Row],[_Pred4UID]],Tasks[UID],0),-1))</f>
        <v>0</v>
      </c>
      <c r="CF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8" s="89" t="n">
        <f aca="false">IF(OR(Tasks[[#This Row],[_ConstraintCode]]=2,Tasks[[#This Row],[_ConstraintCode]]=3,Tasks[[#This Row],[_ConstraintCode]]=4,Tasks[[#This Row],[_ConstraintCode]]=6),Tasks[[#This Row],[_ConstraintStart]],0)</f>
        <v>0</v>
      </c>
      <c r="CI98" s="89" t="n">
        <f aca="false">IF(OR(Tasks[[#This Row],[_ConstraintCode]]=2,Tasks[[#This Row],[_ConstraintCode]]=3,Tasks[[#This Row],[_ConstraintCode]]=5,Tasks[[#This Row],[_ConstraintCode]]=7),Tasks[[#This Row],[_ConstraintStart]],2958465)</f>
        <v>2958465</v>
      </c>
      <c r="CJ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8" s="89" t="str">
        <f aca="false">IF(NOT(Tasks[[#This Row],[_IsLeaf]]=1),"",IF(N(Tasks[[#This Row],[_Days]])&lt;=0,Tasks[[#This Row],[_LeafCalcStart]],WORKDAY.INTL(Tasks[[#This Row],[_LeafCalcStart]],Tasks[[#This Row],[_Days]]-1,WorkWeek,Holidays)))</f>
        <v/>
      </c>
      <c r="CL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8" s="42" t="str">
        <f aca="false">IF(Tasks[[#This Row],[_Predecessors]]="","",TRIM(MID(SUBSTITUTE(SUBSTITUTE(SUBSTITUTE(UPPER(Tasks[[#This Row],[_Predecessors]]),";",",")," ",""),",",REPT(" ",99)),1,99)))</f>
        <v/>
      </c>
      <c r="CO98" s="42" t="str">
        <f aca="false">IF(Tasks[[#This Row],[_Pred1Text]]="","",IFERROR(VALUE(LEFT(Tasks[[#This Row],[_Pred1Text]],MIN(FIND("F",Tasks[[#This Row],[_Pred1Text]]&amp;"F"),FIND("S",Tasks[[#This Row],[_Pred1Text]]&amp;"S"),FIND("+",Tasks[[#This Row],[_Pred1Text]]&amp;"+"),FIND("-",Tasks[[#This Row],[_Pred1Text]]&amp;"-"))-1)),""))</f>
        <v/>
      </c>
      <c r="CP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8" s="42" t="str">
        <f aca="false">IF(Tasks[[#This Row],[_Pred1Text]]="","",TRIM(MID(SUBSTITUTE(SUBSTITUTE(SUBSTITUTE(UPPER(Tasks[[#This Row],[_Predecessors]]),";",",")," ",""),",",REPT(" ",99)),100,99)))</f>
        <v/>
      </c>
      <c r="CS98" s="42" t="str">
        <f aca="false">IF(Tasks[[#This Row],[_Pred2Text]]="","",IFERROR(VALUE(LEFT(Tasks[[#This Row],[_Pred2Text]],MIN(FIND("F",Tasks[[#This Row],[_Pred2Text]]&amp;"F"),FIND("S",Tasks[[#This Row],[_Pred2Text]]&amp;"S"),FIND("+",Tasks[[#This Row],[_Pred2Text]]&amp;"+"),FIND("-",Tasks[[#This Row],[_Pred2Text]]&amp;"-"))-1)),""))</f>
        <v/>
      </c>
      <c r="CT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8" s="42" t="str">
        <f aca="false">IF(Tasks[[#This Row],[_Pred2Text]]="","",TRIM(MID(SUBSTITUTE(SUBSTITUTE(SUBSTITUTE(UPPER(Tasks[[#This Row],[_Predecessors]]),";",",")," ",""),",",REPT(" ",99)),199,99)))</f>
        <v/>
      </c>
      <c r="CW98" s="42" t="str">
        <f aca="false">IF(Tasks[[#This Row],[_Pred3Text]]="","",IFERROR(VALUE(LEFT(Tasks[[#This Row],[_Pred3Text]],MIN(FIND("F",Tasks[[#This Row],[_Pred3Text]]&amp;"F"),FIND("S",Tasks[[#This Row],[_Pred3Text]]&amp;"S"),FIND("+",Tasks[[#This Row],[_Pred3Text]]&amp;"+"),FIND("-",Tasks[[#This Row],[_Pred3Text]]&amp;"-"))-1)),""))</f>
        <v/>
      </c>
      <c r="CX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8" s="42" t="str">
        <f aca="false">IF(Tasks[[#This Row],[_Pred3Text]]="","",TRIM(MID(SUBSTITUTE(SUBSTITUTE(SUBSTITUTE(UPPER(Tasks[[#This Row],[_Predecessors]]),";",",")," ",""),",",REPT(" ",99)),298,99)))</f>
        <v/>
      </c>
      <c r="DA98" s="42" t="str">
        <f aca="false">IF(Tasks[[#This Row],[_Pred4Text]]="","",IFERROR(VALUE(LEFT(Tasks[[#This Row],[_Pred4Text]],MIN(FIND("F",Tasks[[#This Row],[_Pred4Text]]&amp;"F"),FIND("S",Tasks[[#This Row],[_Pred4Text]]&amp;"S"),FIND("+",Tasks[[#This Row],[_Pred4Text]]&amp;"+"),FIND("-",Tasks[[#This Row],[_Pred4Text]]&amp;"-"))-1)),""))</f>
        <v/>
      </c>
      <c r="DB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8" s="42" t="str">
        <f aca="false">IF(OR(Tasks[[#This Row],[Task Name]]="",Tasks[[#This Row],[_Resources]]=""),"",TRIM(MID(SUBSTITUTE(Tasks[[#This Row],[_Resources]],",",REPT(" ",99)),1,99)))</f>
        <v/>
      </c>
      <c r="DE98" s="42" t="str">
        <f aca="false">IF(Tasks[[#This Row],[_Res1Text]]="","",TRIM(MID(SUBSTITUTE(Tasks[[#This Row],[_Resources]],",",REPT(" ",99)),100,99)))</f>
        <v/>
      </c>
      <c r="DF98" s="42" t="str">
        <f aca="false">IF(Tasks[[#This Row],[_Res2Text]]="","",TRIM(MID(SUBSTITUTE(Tasks[[#This Row],[_Resources]],",",REPT(" ",99)),199,99)))</f>
        <v/>
      </c>
      <c r="DG98" s="42" t="str">
        <f aca="false">IF(Tasks[[#This Row],[_Res3Text]]="","",TRIM(MID(SUBSTITUTE(Tasks[[#This Row],[_Resources]],",",REPT(" ",99)),298,99)))</f>
        <v/>
      </c>
      <c r="DH98" s="42" t="n">
        <f aca="false">IF(Tasks[[#This Row],[_Res1Text]]="",0,IFERROR(MATCH(TRIM(LEFT(Tasks[[#This Row],[_Res1Text]],FIND("[",Tasks[[#This Row],[_Res1Text]]&amp;"[")-1)),res_Name,0),IFERROR(MATCH(TRIM(LEFT(Tasks[[#This Row],[_Res1Text]],FIND("[",Tasks[[#This Row],[_Res1Text]]&amp;"[")-1)),res_Initials,0),0)))</f>
        <v>0</v>
      </c>
      <c r="DI98" s="42" t="n">
        <f aca="false">IF(Tasks[[#This Row],[_Res2Text]]="",0,IFERROR(MATCH(TRIM(LEFT(Tasks[[#This Row],[_Res2Text]],FIND("[",Tasks[[#This Row],[_Res2Text]]&amp;"[")-1)),res_Name,0),IFERROR(MATCH(TRIM(LEFT(Tasks[[#This Row],[_Res2Text]],FIND("[",Tasks[[#This Row],[_Res2Text]]&amp;"[")-1)),res_Initials,0),0)))</f>
        <v>0</v>
      </c>
      <c r="DJ98" s="42" t="n">
        <f aca="false">IF(Tasks[[#This Row],[_Res3Text]]="",0,IFERROR(MATCH(TRIM(LEFT(Tasks[[#This Row],[_Res3Text]],FIND("[",Tasks[[#This Row],[_Res3Text]]&amp;"[")-1)),res_Name,0),IFERROR(MATCH(TRIM(LEFT(Tasks[[#This Row],[_Res3Text]],FIND("[",Tasks[[#This Row],[_Res3Text]]&amp;"[")-1)),res_Initials,0),0)))</f>
        <v>0</v>
      </c>
      <c r="DK98" s="42" t="n">
        <f aca="false">IF(Tasks[[#This Row],[_Res4Text]]="",0,IFERROR(MATCH(TRIM(LEFT(Tasks[[#This Row],[_Res4Text]],FIND("[",Tasks[[#This Row],[_Res4Text]]&amp;"[")-1)),res_Name,0),IFERROR(MATCH(TRIM(LEFT(Tasks[[#This Row],[_Res4Text]],FIND("[",Tasks[[#This Row],[_Res4Text]]&amp;"[")-1)),res_Initials,0),0)))</f>
        <v>0</v>
      </c>
      <c r="DL98" s="42" t="str">
        <f aca="false">IF(Tasks[[#This Row],[_Res1Text]]="","",IF(Tasks[[#This Row],[_Res1Row]]&gt;0,INDEX(res_Name,Tasks[[#This Row],[_Res1Row]]),TRIM(LEFT(Tasks[[#This Row],[_Res1Text]],FIND("[",Tasks[[#This Row],[_Res1Text]]&amp;"[")-1))))</f>
        <v/>
      </c>
      <c r="DM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8" s="42" t="n">
        <f aca="false">IF(NOT(Tasks[[#This Row],[_IsLeaf]]=1),0,(Tasks[[#This Row],[_Resource1]]&lt;&gt;"")+(Tasks[[#This Row],[_Res2]]&lt;&gt;"")+(Tasks[[#This Row],[_Res3]]&lt;&gt;"")+(Tasks[[#This Row],[_Res4]]&lt;&gt;""))</f>
        <v>0</v>
      </c>
      <c r="DO98" s="42" t="str">
        <f aca="false">IF(Tasks[[#This Row],[_Res2Text]]="","",IF(Tasks[[#This Row],[_Res2Row]]&gt;0,INDEX(res_Name,Tasks[[#This Row],[_Res2Row]]),TRIM(LEFT(Tasks[[#This Row],[_Res2Text]],FIND("[",Tasks[[#This Row],[_Res2Text]]&amp;"[")-1))))</f>
        <v/>
      </c>
      <c r="DP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8" s="42" t="n">
        <f aca="false">IF(OR(NOT(Tasks[[#This Row],[_IsLeaf]]=1),Tasks[[#This Row],[_Res2Row]]=0),0,N(Tasks[[#This Row],[_Days]])*HoursPerDay*IF(Tasks[[#This Row],[_Res2Units]]="",DefaultUnits,Tasks[[#This Row],[_Res2Units]]))</f>
        <v>0</v>
      </c>
      <c r="DR98" s="42" t="n">
        <f aca="false">IF(AND(AND(Tasks[[#This Row],[_IsLeaf]]=1,Tasks[[#This Row],[_LeafTotalWork]]&gt;0),Tasks[[#This Row],[_Res2Work]]&gt;0),Tasks[[#This Row],[_Res2Work]]/(Tasks[[#This Row],[_FinishWorkday]]-Tasks[[#This Row],[_StartWorkday]]+1),0)</f>
        <v>0</v>
      </c>
      <c r="DS98" s="42" t="n">
        <f aca="false">Tasks[[#This Row],[_Res2WorkPerWD]]*MAX(0,Tasks[[#This Row],[_StartWorkday]]-1)</f>
        <v>0</v>
      </c>
      <c r="DT98" s="42" t="n">
        <f aca="false">Tasks[[#This Row],[_Res2Work]]*Tasks[[#This Row],[_LeafProgress]]</f>
        <v>0</v>
      </c>
      <c r="DU98" s="42" t="str">
        <f aca="false">IF(Tasks[[#This Row],[_Res3Text]]="","",IF(Tasks[[#This Row],[_Res3Row]]&gt;0,INDEX(res_Name,Tasks[[#This Row],[_Res3Row]]),TRIM(LEFT(Tasks[[#This Row],[_Res3Text]],FIND("[",Tasks[[#This Row],[_Res3Text]]&amp;"[")-1))))</f>
        <v/>
      </c>
      <c r="DV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8" s="42" t="n">
        <f aca="false">IF(OR(NOT(Tasks[[#This Row],[_IsLeaf]]=1),Tasks[[#This Row],[_Res3Row]]=0),0,N(Tasks[[#This Row],[_Days]])*HoursPerDay*IF(Tasks[[#This Row],[_Res3Units]]="",DefaultUnits,Tasks[[#This Row],[_Res3Units]]))</f>
        <v>0</v>
      </c>
      <c r="DX98" s="42" t="n">
        <f aca="false">IF(AND(AND(Tasks[[#This Row],[_IsLeaf]]=1,Tasks[[#This Row],[_LeafTotalWork]]&gt;0),Tasks[[#This Row],[_Res3Work]]&gt;0),Tasks[[#This Row],[_Res3Work]]/(Tasks[[#This Row],[_FinishWorkday]]-Tasks[[#This Row],[_StartWorkday]]+1),0)</f>
        <v>0</v>
      </c>
      <c r="DY98" s="42" t="n">
        <f aca="false">Tasks[[#This Row],[_Res3WorkPerWD]]*MAX(0,Tasks[[#This Row],[_StartWorkday]]-1)</f>
        <v>0</v>
      </c>
      <c r="DZ98" s="42" t="n">
        <f aca="false">Tasks[[#This Row],[_Res3Work]]*Tasks[[#This Row],[_LeafProgress]]</f>
        <v>0</v>
      </c>
      <c r="EA98" s="42" t="str">
        <f aca="false">IF(Tasks[[#This Row],[_Res4Text]]="","",IF(Tasks[[#This Row],[_Res4Row]]&gt;0,INDEX(res_Name,Tasks[[#This Row],[_Res4Row]]),TRIM(LEFT(Tasks[[#This Row],[_Res4Text]],FIND("[",Tasks[[#This Row],[_Res4Text]]&amp;"[")-1))))</f>
        <v/>
      </c>
      <c r="EB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8" s="42" t="n">
        <f aca="false">IF(OR(NOT(Tasks[[#This Row],[_IsLeaf]]=1),Tasks[[#This Row],[_Res4Row]]=0),0,N(Tasks[[#This Row],[_Days]])*HoursPerDay*IF(Tasks[[#This Row],[_Res4Units]]="",DefaultUnits,Tasks[[#This Row],[_Res4Units]]))</f>
        <v>0</v>
      </c>
      <c r="ED98" s="42" t="n">
        <f aca="false">IF(AND(AND(Tasks[[#This Row],[_IsLeaf]]=1,Tasks[[#This Row],[_LeafTotalWork]]&gt;0),Tasks[[#This Row],[_Res4Work]]&gt;0),Tasks[[#This Row],[_Res4Work]]/(Tasks[[#This Row],[_FinishWorkday]]-Tasks[[#This Row],[_StartWorkday]]+1),0)</f>
        <v>0</v>
      </c>
      <c r="EE98" s="42" t="n">
        <f aca="false">Tasks[[#This Row],[_Res4WorkPerWD]]*MAX(0,Tasks[[#This Row],[_StartWorkday]]-1)</f>
        <v>0</v>
      </c>
      <c r="EF98" s="42" t="n">
        <f aca="false">Tasks[[#This Row],[_Res4Work]]*Tasks[[#This Row],[_LeafProgress]]</f>
        <v>0</v>
      </c>
      <c r="EG98" s="42" t="n">
        <f aca="false">IF(ISNUMBER(Tasks[[#This Row],[% Complete]]),Tasks[[#This Row],[% Complete]],IF(Tasks[[#This Row],[Stage]]="",0,IFERROR(INDEX(stg_Pct,MATCH(Tasks[[#This Row],[Stage]],stg_Name,0)),0)))</f>
        <v>0</v>
      </c>
      <c r="EH98" s="42" t="n">
        <f aca="false">IF(NOT(Tasks[[#This Row],[_IsLeaf]]=1),0,IF(N(Tasks[[#This Row],[Actual Finish]])&gt;0,1,MIN(1,Tasks[[#This Row],[_Pct]])))</f>
        <v>0</v>
      </c>
      <c r="EI98" s="42" t="n">
        <f aca="false">IF(OR(NOT(Tasks[[#This Row],[_IsLeaf]]=1),Tasks[[#This Row],[_Res1Row]]=0),0,N(Tasks[[#This Row],[_Days]])*HoursPerDay*IF(Tasks[[#This Row],[_Units1]]="",DefaultUnits,Tasks[[#This Row],[_Units1]]))</f>
        <v>0</v>
      </c>
      <c r="EJ98" s="42" t="n">
        <f aca="false">Tasks[[#This Row],[_LeafWork]]+Tasks[[#This Row],[_Res2Work]]+Tasks[[#This Row],[_Res3Work]]+Tasks[[#This Row],[_Res4Work]]</f>
        <v>0</v>
      </c>
      <c r="EK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8" s="42" t="n">
        <f aca="false">IF(NOT(Tasks[[#This Row],[_IsLeaf]]=1),0,MAX(_xlfn.MAXIFS(Tasks[_Row],Tasks[_Pred1UID],Tasks[[#This Row],[UID]]),_xlfn.MAXIFS(Tasks[_Row],Tasks[_Pred2UID],Tasks[[#This Row],[UID]]),_xlfn.MAXIFS(Tasks[_Row],Tasks[_Pred3UID],Tasks[[#This Row],[UID]]),_xlfn.MAXIFS(Tasks[_Row],Tasks[_Pred4UID],Tasks[[#This Row],[UID]])))</f>
        <v>0</v>
      </c>
      <c r="ET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8" s="89" t="str">
        <f aca="false">IF(NOT(Tasks[[#This Row],[_IsLeaf]]=1),"",IF(N(Tasks[[#This Row],[_Days]])&lt;=0,Tasks[[#This Row],[_LeafLateFinish]],WORKDAY.INTL(Tasks[[#This Row],[_LeafLateFinish]],-(Tasks[[#This Row],[_Days]]-1),WorkWeek,Holidays)))</f>
        <v/>
      </c>
      <c r="EW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8" s="88" t="b">
        <f aca="false">AND(Tasks[[#This Row],[_IsLeaf]]=1,Tasks[[#This Row],[_LeafProgress]]&lt;1,N(Tasks[[#This Row],[_LeafTotalSlack]])&lt;=CriticalSlackDays)</f>
        <v>0</v>
      </c>
      <c r="EY98" s="42" t="n">
        <f aca="false">IF(AND(Tasks[[#This Row],[_IsLeaf]]=1,Tasks[[#This Row],[_ConstraintCode]]=1,Tasks[[#This Row],[Mode]]&lt;&gt;"Manual",N(Tasks[[#This Row],[Actual Start]])=0),MAX(0,N(Tasks[[#This Row],[Free Slack]])),0)</f>
        <v>0</v>
      </c>
      <c r="EZ98" s="89" t="str">
        <f aca="false">IF(NOT(Tasks[[#This Row],[_IsLeaf]]=1),"",IF(Tasks[[#This Row],[_AlapShift]]=0,Tasks[[#This Row],[_LeafCalcStart]],WORKDAY.INTL(Tasks[[#This Row],[_LeafCalcStart]],Tasks[[#This Row],[_AlapShift]],WorkWeek,Holidays)))</f>
        <v/>
      </c>
      <c r="FA98" s="89" t="str">
        <f aca="false">IF(NOT(Tasks[[#This Row],[_IsLeaf]]=1),"",IF(Tasks[[#This Row],[_AlapShift]]=0,Tasks[[#This Row],[_LeafCalcFinish]],WORKDAY.INTL(Tasks[[#This Row],[_LeafCalcFinish]],Tasks[[#This Row],[_AlapShift]],WorkWeek,Holidays)))</f>
        <v/>
      </c>
      <c r="FB98" s="89" t="str">
        <f aca="false">IF(NOT(Tasks[[#This Row],[_IsLeaf]]=1),"",IF(Tasks[[#This Row],[_AlapShift]]=0,Tasks[[#This Row],[_LeafFcstStart]],WORKDAY.INTL(Tasks[[#This Row],[_LeafFcstStart]],Tasks[[#This Row],[_AlapShift]],WorkWeek,Holidays)))</f>
        <v/>
      </c>
      <c r="FC98" s="89" t="str">
        <f aca="false">IF(NOT(Tasks[[#This Row],[_IsLeaf]]=1),"",IF(Tasks[[#This Row],[_AlapShift]]=0,Tasks[[#This Row],[_LeafFcstFinish]],WORKDAY.INTL(Tasks[[#This Row],[_LeafFcstFinish]],Tasks[[#This Row],[_AlapShift]],WorkWeek,Holidays)))</f>
        <v/>
      </c>
      <c r="FD98" s="89" t="str">
        <f aca="false">IF(Tasks[[#This Row],[Task Name]]="","",IF(Tasks[[#This Row],[_IsSummary]],MIN(INDEX(Tasks[_ShownCalcStart],Tasks[[#This Row],[_Row]]+1):INDEX(Tasks[_ShownCalcStart],Tasks[[#This Row],[_Row]]+Tasks[[#This Row],[_Descendants]])),Tasks[[#This Row],[_ShownCalcStart]]))</f>
        <v/>
      </c>
      <c r="FE98" s="89" t="str">
        <f aca="false">IF(Tasks[[#This Row],[Task Name]]="","",IF(Tasks[[#This Row],[_IsSummary]],MAX(INDEX(Tasks[_ShownCalcFinish],Tasks[[#This Row],[_Row]]+1):INDEX(Tasks[_ShownCalcFinish],Tasks[[#This Row],[_Row]]+Tasks[[#This Row],[_Descendants]])),Tasks[[#This Row],[_ShownCalcFinish]]))</f>
        <v/>
      </c>
      <c r="FF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8" s="42" t="n">
        <f aca="false">IF(AND(Tasks[[#This Row],[_IsLeaf]]=1,Tasks[[#This Row],[_LeafTotalWork]]&gt;0),NETWORKDAYS.INTL(ProjectStart,Tasks[[#This Row],[_ShownFcstStart]],WorkWeek,Holidays),0)</f>
        <v>0</v>
      </c>
      <c r="FS98" s="42" t="n">
        <f aca="false">IF(AND(Tasks[[#This Row],[_IsLeaf]]=1,Tasks[[#This Row],[_LeafTotalWork]]&gt;0),MAX(Tasks[[#This Row],[_StartWorkday]],NETWORKDAYS.INTL(ProjectStart,Tasks[[#This Row],[_ShownFcstFinish]],WorkWeek,Holidays)),0)</f>
        <v>0</v>
      </c>
      <c r="FT98" s="42" t="n">
        <f aca="false">IF(AND(Tasks[[#This Row],[_IsLeaf]]=1,Tasks[[#This Row],[_LeafTotalWork]]&gt;0),Tasks[[#This Row],[_LeafWork]]/(Tasks[[#This Row],[_FinishWorkday]]-Tasks[[#This Row],[_StartWorkday]]+1),0)</f>
        <v>0</v>
      </c>
      <c r="FU98" s="42" t="n">
        <f aca="false">Tasks[[#This Row],[_WorkPerWorkday]]*(Tasks[[#This Row],[_StartWorkday]]-1)</f>
        <v>-0</v>
      </c>
      <c r="FV98" s="42" t="n">
        <f aca="false">IF(Tasks[[#This Row],[_IsLeaf]]=1,MAX(N(Tasks[[#This Row],[_Days]]),0.1),0)</f>
        <v>0</v>
      </c>
      <c r="FW98" s="42" t="n">
        <f aca="false">Tasks[[#This Row],[_WeightDur]]*Tasks[[#This Row],[_LeafProgress]]</f>
        <v>0</v>
      </c>
      <c r="FX98" s="42" t="n">
        <f aca="false">Tasks[[#This Row],[_WeightDur]]*Tasks[[#This Row],[_PlannedPct]]</f>
        <v>0</v>
      </c>
      <c r="FY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8" s="42" t="str">
        <f aca="false">IF(AND(Tasks[[#This Row],[_IsLeaf]]=1,N(Tasks[[#This Row],[_Days]])=0,Tasks[[#This Row],[_LeafProgress]]&lt;1),Tasks[[#This Row],[_ShownFcstFinish]]+Tasks[[#This Row],[_Row]]/100000,"")</f>
        <v/>
      </c>
      <c r="GA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8" s="42" t="str">
        <f aca="false">IF(Tasks[[#This Row],[Task Name]]="","",LEFT(Tasks[[#This Row],[WBS]],FIND(".",Tasks[[#This Row],[WBS]]&amp;".")-1))</f>
        <v/>
      </c>
      <c r="GC98" s="42" t="str">
        <f aca="false">IF(AND(Tasks[[#This Row],[Task Name]]&lt;&gt;"",Tasks[[#This Row],[_Level]]=1),Tasks[[#This Row],[_Row]],"")</f>
        <v/>
      </c>
      <c r="GD98" s="42" t="str">
        <f aca="false">IF(AND(Tasks[[#This Row],[_IsLeaf]]=1,N(Tasks[[#This Row],[_Days]])=0),Tasks[[#This Row],[Planned Finish]]+Tasks[[#This Row],[_Row]]/100000,"")</f>
        <v/>
      </c>
      <c r="GE98" s="42" t="str">
        <f aca="false">IF(AND(Tasks[[#This Row],[_IsLeaf]]=1,Tasks[[#This Row],[_LeafProgress]]&lt;1,OR(N(Tasks[[#This Row],[Finish Var]])&gt;0,Tasks[[#This Row],[Status]]="Late Start")),MAX(0,Tasks[[#This Row],[Finish Var]])+1-Tasks[[#This Row],[_Row]]/1000000,"")</f>
        <v/>
      </c>
      <c r="GF98" s="42" t="str">
        <f aca="false">IF(AND(Tasks[[#This Row],[_IsLeaf]]=1,N(Tasks[[#This Row],[Actual Start]])=0,Tasks[[#This Row],[_ShownFcstStart]]&gt;=StatusDate,Tasks[[#This Row],[_ShownFcstStart]]&lt;=LookaheadEnd),Tasks[[#This Row],[_ShownFcstStart]]+Tasks[[#This Row],[_Row]]/100000,"")</f>
        <v/>
      </c>
      <c r="GG98" s="42" t="str">
        <f aca="false">IF(AND(Tasks[[#This Row],[_IsLeaf]]=1,Tasks[[#This Row],[_LeafProgress]]&lt;1,Tasks[[#This Row],[_ShownFcstFinish]]&gt;=StatusDate,Tasks[[#This Row],[_ShownFcstFinish]]&lt;=LookaheadEnd),Tasks[[#This Row],[_ShownFcstFinish]]+Tasks[[#This Row],[_Row]]/100000,"")</f>
        <v/>
      </c>
      <c r="GH98" s="42" t="str">
        <f aca="false">IF(Tasks[[#This Row],[_LeafCritical]],Tasks[[#This Row],[_ShownFcstStart]]+Tasks[[#This Row],[_Row]]/100000,"")</f>
        <v/>
      </c>
      <c r="GI98" s="42" t="n">
        <f aca="false">Tasks[[#This Row],[_LeafWork]]*Tasks[[#This Row],[_LeafProgress]]</f>
        <v>0</v>
      </c>
      <c r="GJ98" s="89" t="str">
        <f aca="false">IF(AND(Tasks[[#This Row],[_IsLeaf]]=1,Tasks[[#This Row],[_LeafProgress]]&gt;=1),IF(N(Tasks[[#This Row],[Actual Finish]])&gt;0,Tasks[[#This Row],[Actual Finish]],Tasks[[#This Row],[_ShownFcstFinish]]),"")</f>
        <v/>
      </c>
      <c r="GK98" s="42" t="n">
        <f aca="false">IF(Tasks[[#This Row],[_IsLeaf]]=1,N(Tasks[[#This Row],[Story Points]]),0)</f>
        <v>0</v>
      </c>
      <c r="GL98" s="42" t="str">
        <f aca="false">""</f>
        <v/>
      </c>
      <c r="GM98" s="88" t="b">
        <f aca="false">IF(Tasks[[#This Row],[Task Name]]="",FALSE(),AND(Tasks[[#This Row],[_IsLeaf]]=1,N(Tasks[[#This Row],[_Days]])=0))</f>
        <v>0</v>
      </c>
      <c r="GN98" s="89" t="n">
        <f aca="false">IF(Tasks[[#This Row],[Task Name]]="",0,IF(AND(Tasks[[#This Row],[_IsLeaf]]=1,NOT(Tasks[[#This Row],[_IsMilestone]]),N(Tasks[[#This Row],[Progress]])&gt;0),Tasks[[#This Row],[Start]],0))</f>
        <v>0</v>
      </c>
      <c r="GO98" s="89" t="n">
        <f aca="false">IF(Tasks[[#This Row],[_DoneFrom]]=0,0,IF(Tasks[[#This Row],[Progress]]&gt;=1,Tasks[[#This Row],[Finish]],MAX(Tasks[[#This Row],[_DoneFrom]],Tasks[[#This Row],[Start]]+ROUND((Tasks[[#This Row],[Finish]]-Tasks[[#This Row],[Start]]+1)*Tasks[[#This Row],[Progress]],0)-1)))</f>
        <v>0</v>
      </c>
      <c r="GP98" s="89" t="n">
        <f aca="false">IF(Tasks[[#This Row],[Task Name]]="",0,IF(OR(NOT(Tasks[[#This Row],[_IsLeaf]]=1),Tasks[[#This Row],[_IsMilestone]],N(Tasks[[#This Row],[Progress]])&gt;=1),0,IF(Tasks[[#This Row],[_DoneTo]]&gt;0,Tasks[[#This Row],[_DoneTo]]+1,Tasks[[#This Row],[Start]])))</f>
        <v>0</v>
      </c>
      <c r="GQ98" s="89" t="n">
        <f aca="false">IF(Tasks[[#This Row],[_RemFrom]]=0,0,Tasks[[#This Row],[Finish]])</f>
        <v>0</v>
      </c>
      <c r="GR98" s="88" t="b">
        <f aca="false">IF(Tasks[[#This Row],[Task Name]]="",FALSE(),OR(NOT(BaselineSet),N(Tasks[[#This Row],[Baseline Start]])&gt;0))</f>
        <v>0</v>
      </c>
      <c r="GS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8" s="90" t="str">
        <f aca="false">IF(Tasks[[#This Row],[_IsLeaf]]=1,Tasks[[#This Row],[_Row]],"")</f>
        <v/>
      </c>
      <c r="GW98" s="90" t="str">
        <f aca="false">IFERROR(INDEX(Tasks[UID],SMALL(Tasks[_PickKey],Tasks[[#This Row],[_Row]]))&amp;" "&amp;INDEX(Tasks[Task Name],SMALL(Tasks[_PickKey],Tasks[[#This Row],[_Row]])),"")</f>
        <v/>
      </c>
      <c r="GX98" s="42" t="str">
        <f aca="false">IF(Tasks[[#This Row],[Task Name]]="","",IF(Tasks[[#This Row],[_IsSummary]],NETWORKDAYS.INTL(Tasks[[#This Row],[Start]],Tasks[[#This Row],[Finish]],WorkWeek,Holidays),N(Tasks[[#This Row],[_Days]])))</f>
        <v/>
      </c>
    </row>
    <row r="99" customFormat="false" ht="15" hidden="false" customHeight="false" outlineLevel="0" collapsed="false">
      <c r="A99" s="21" t="str">
        <f aca="false">IF(Tasks[[#This Row],[Task Name]]="","",COUNTA(Tasks[[#Headers],[Task Name]]:Tasks[[#This Row],[Task Name]])-1)</f>
        <v/>
      </c>
      <c r="B99" s="22" t="n">
        <v>107</v>
      </c>
      <c r="C99" s="22"/>
      <c r="D99" s="23"/>
      <c r="E99" s="22"/>
      <c r="F99" s="23"/>
      <c r="G99" s="22"/>
      <c r="H99" s="22"/>
      <c r="I99" s="23"/>
      <c r="J99" s="22"/>
      <c r="K99" s="22"/>
      <c r="L99" s="23"/>
      <c r="M99" s="22"/>
      <c r="N99" s="22"/>
      <c r="O99" s="23"/>
      <c r="P99" s="22"/>
      <c r="Q99" s="22"/>
      <c r="R99" s="23"/>
      <c r="S99" s="23"/>
      <c r="T99" s="83"/>
      <c r="U99" s="23"/>
      <c r="V99" s="83"/>
      <c r="W99" s="23"/>
      <c r="X99" s="83"/>
      <c r="Y99" s="23"/>
      <c r="Z99" s="83"/>
      <c r="AA99" s="23"/>
      <c r="AB99" s="23"/>
      <c r="AC99" s="7"/>
      <c r="AD99" s="7"/>
      <c r="AE99" s="62" t="str">
        <f aca="false">IF(Tasks[[#This Row],[Task Name]]="","",IF(Tasks[[#This Row],[_IsSummary]],MIN(INDEX(Tasks[_ShownFcstStart],Tasks[[#This Row],[_Row]]+1):INDEX(Tasks[_ShownFcstStart],Tasks[[#This Row],[_Row]]+Tasks[[#This Row],[_Descendants]])),Tasks[[#This Row],[_ShownFcstStart]]))</f>
        <v/>
      </c>
      <c r="AF99" s="62" t="str">
        <f aca="false">IF(Tasks[[#This Row],[Task Name]]="","",IF(Tasks[[#This Row],[_IsSummary]],MAX(INDEX(Tasks[_ShownFcstFinish],Tasks[[#This Row],[_Row]]+1):INDEX(Tasks[_ShownFcstFinish],Tasks[[#This Row],[_Row]]+Tasks[[#This Row],[_Descendants]])),Tasks[[#This Row],[_ShownFcstFinish]]))</f>
        <v/>
      </c>
      <c r="AG99" s="21" t="str">
        <f aca="false">""</f>
        <v/>
      </c>
      <c r="AH99" s="23"/>
      <c r="AI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99" s="7"/>
      <c r="AK99" s="22"/>
      <c r="AL99" s="23"/>
      <c r="AM99" s="7"/>
      <c r="AN99" s="46" t="str">
        <f aca="false">IF(Tasks[[#This Row],[Task Name]]="","",IF(Tasks[[#This Row],[Finish]]&gt;=Tasks[[#This Row],[Planned Finish]],NETWORKDAYS.INTL(Tasks[[#This Row],[Planned Finish]],Tasks[[#This Row],[Finish]],WorkWeek,Holidays)-1,1-NETWORKDAYS.INTL(Tasks[[#This Row],[Finish]],Tasks[[#This Row],[Planned Finish]],WorkWeek,Holidays)))</f>
        <v/>
      </c>
      <c r="AO99" s="21" t="str">
        <f aca="false">IF(Tasks[[#This Row],[Task Name]]="","",IF(Tasks[[#This Row],[Progress]]&gt;=1,"Complete",IF(OR(N(Tasks[[#This Row],[Actual Start]])&gt;0,Tasks[[#This Row],[Progress]]&gt;0),IF(Tasks[[#This Row],[Finish Var]]&gt;0,"Behind","In Progress"),IF(Tasks[[#This Row],[Planned Start]]&lt;StatusDate,"Late Start","Not Started"))))</f>
        <v/>
      </c>
      <c r="AP99" s="21" t="str">
        <f aca="false">IF(Tasks[[#This Row],[Task Name]]="","",IF(IF(Tasks[[#This Row],[_IsSummary]],COUNTIF(INDEX(Tasks[_LeafCritical],Tasks[[#This Row],[_Row]]+1):INDEX(Tasks[_LeafCritical],Tasks[[#This Row],[_Row]]+Tasks[[#This Row],[_Descendants]]),TRUE())&gt;0,Tasks[[#This Row],[_LeafCritical]]),"Yes",""))</f>
        <v/>
      </c>
      <c r="AQ99" s="62" t="str">
        <f aca="false">IF(Tasks[[#This Row],[Task Name]]="","",IF(N(Tasks[[#This Row],[Baseline Start]])&gt;0,Tasks[[#This Row],[Baseline Start]],Tasks[[#This Row],[_CalcStart]]))</f>
        <v/>
      </c>
      <c r="AR99" s="62" t="str">
        <f aca="false">IF(Tasks[[#This Row],[Task Name]]="","",IF(N(Tasks[[#This Row],[Baseline Finish]])&gt;0,Tasks[[#This Row],[Baseline Finish]],Tasks[[#This Row],[_CalcFinish]]))</f>
        <v/>
      </c>
      <c r="AS99" s="46" t="str">
        <f aca="false">IF(Tasks[[#This Row],[Task Name]]="","",IF(Tasks[[#This Row],[Start]]&gt;=Tasks[[#This Row],[Planned Start]],NETWORKDAYS.INTL(Tasks[[#This Row],[Planned Start]],Tasks[[#This Row],[Start]],WorkWeek,Holidays)-1,1-NETWORKDAYS.INTL(Tasks[[#This Row],[Start]],Tasks[[#This Row],[Planned Start]],WorkWeek,Holidays)))</f>
        <v/>
      </c>
      <c r="AT99" s="62" t="str">
        <f aca="false">IF(Tasks[[#This Row],[Task Name]]="","",IF(Tasks[[#This Row],[_IsSummary]],MIN(INDEX(Tasks[_LeafLateStart],Tasks[[#This Row],[_Row]]+1):INDEX(Tasks[_LeafLateStart],Tasks[[#This Row],[_Row]]+Tasks[[#This Row],[_Descendants]])),Tasks[[#This Row],[_LeafLateStart]]))</f>
        <v/>
      </c>
      <c r="AU99" s="62" t="str">
        <f aca="false">IF(Tasks[[#This Row],[Task Name]]="","",IF(Tasks[[#This Row],[_IsSummary]],MAX(INDEX(Tasks[_LeafLateFinish],Tasks[[#This Row],[_Row]]+1):INDEX(Tasks[_LeafLateFinish],Tasks[[#This Row],[_Row]]+Tasks[[#This Row],[_Descendants]])),Tasks[[#This Row],[_LeafLateFinish]]))</f>
        <v/>
      </c>
      <c r="AV99" s="46" t="str">
        <f aca="false">IF(Tasks[[#This Row],[Task Name]]="","",IF(Tasks[[#This Row],[_IsSummary]],MIN(INDEX(Tasks[_LeafTotalSlack],Tasks[[#This Row],[_Row]]+1):INDEX(Tasks[_LeafTotalSlack],Tasks[[#This Row],[_Row]]+Tasks[[#This Row],[_Descendants]])),Tasks[[#This Row],[_LeafTotalSlack]]))</f>
        <v/>
      </c>
      <c r="AW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4"/>
      <c r="BA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t="str">
        <f aca="false">IF(Tasks[[#This Row],[Task Name]]="","",IF(Tasks[[#This Row],[_Level]]&lt;=OutlineShowLevel,"Yes","No"))</f>
        <v/>
      </c>
      <c r="BE99" s="85" t="str">
        <f aca="false">IF(Tasks[[#This Row],[Task Name]]="","",IF(Tasks[[#This Row],[_IsSummary]],SUM(INDEX(Tasks[_LeafTotalWork],Tasks[[#This Row],[_Row]]+1):INDEX(Tasks[_LeafTotalWork],Tasks[[#This Row],[_Row]]+Tasks[[#This Row],[_Descendants]])),Tasks[[#This Row],[_LeafTotalWork]]))</f>
        <v/>
      </c>
      <c r="BF99" s="23"/>
      <c r="BG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t="str">
        <f aca="false">""</f>
        <v/>
      </c>
      <c r="BI99" s="86"/>
      <c r="BJ99" s="22"/>
      <c r="BK99" s="46" t="str">
        <f aca="false">IF(OR(Tasks[[#This Row],[Task Name]]="",Tasks[[#This Row],[Baseline Duration]]=""),"",Tasks[[#This Row],[_SpanDays]]-N(Tasks[[#This Row],[Baseline Duration]]))</f>
        <v/>
      </c>
      <c r="BL99" s="85" t="str">
        <f aca="false">IF(OR(Tasks[[#This Row],[Task Name]]="",Tasks[[#This Row],[Baseline Work]]=""),"",Tasks[[#This Row],[Work]]-N(Tasks[[#This Row],[Baseline Work]]))</f>
        <v/>
      </c>
      <c r="BM99" s="62" t="str">
        <f aca="false">IF(Tasks[[#This Row],[Task Name]]="","",IF(OR(TakeBaseline="Yes",N(Tasks[[#This Row],[Baseline Start]])=0),Tasks[[#This Row],[Start]],Tasks[[#This Row],[Baseline Start]]))</f>
        <v/>
      </c>
      <c r="BN99" s="62" t="str">
        <f aca="false">IF(Tasks[[#This Row],[Task Name]]="","",IF(OR(TakeBaseline="Yes",N(Tasks[[#This Row],[Baseline Finish]])=0),Tasks[[#This Row],[Finish]],Tasks[[#This Row],[Baseline Finish]]))</f>
        <v/>
      </c>
      <c r="BO99" s="21" t="str">
        <f aca="false">IF(Tasks[[#This Row],[Task Name]]="","",IF(OR(TakeBaseline="Yes",N(Tasks[[#This Row],[Baseline Duration]])=0),Tasks[[#This Row],[_SpanDays]],Tasks[[#This Row],[Baseline Duration]]))</f>
        <v/>
      </c>
      <c r="BP99" s="85" t="str">
        <f aca="false">IF(Tasks[[#This Row],[Task Name]]="","",IF(OR(TakeBaseline="Yes",N(Tasks[[#This Row],[Baseline Work]])=0),Tasks[[#This Row],[Work]],Tasks[[#This Row],[Baseline Work]]))</f>
        <v/>
      </c>
      <c r="BQ99" s="7"/>
      <c r="BR99" s="7"/>
      <c r="BS99" s="22"/>
      <c r="BT99" s="87"/>
      <c r="BU99" s="42" t="str">
        <f aca="false">IF(Tasks[[#This Row],[Task Name]]="","",MAX(1,N(Tasks[[#This Row],[Level]])))</f>
        <v/>
      </c>
      <c r="BV99" s="42" t="n">
        <f aca="false">ROW()-ROW(Tasks[[#Headers],[ID]])</f>
        <v>94</v>
      </c>
      <c r="BW99" s="42" t="n">
        <f aca="false">IF(OR(Tasks[[#This Row],[Task Name]]="",Tasks[[#This Row],[_Level]]&lt;=1),0,IFERROR(LOOKUP(2,1/(Tasks[[#Headers],[_Level]]:Tasks[[#This Row],[_Level]]=Tasks[[#This Row],[_Level]]-1),ROW(Tasks[[#Headers],[_Level]]:Tasks[[#This Row],[_Level]])),0))</f>
        <v>0</v>
      </c>
      <c r="BX99" s="42" t="n">
        <f aca="false">IFERROR(N(INDEX(Tasks[_Level],Tasks[[#This Row],[_Row]]+1)),0)</f>
        <v>0</v>
      </c>
      <c r="BY99" s="88" t="b">
        <f aca="false">AND(Tasks[[#This Row],[Task Name]]&lt;&gt;"",Tasks[[#This Row],[_NextLevel]]&gt;Tasks[[#This Row],[_Level]])</f>
        <v>0</v>
      </c>
      <c r="BZ99" s="42" t="n">
        <f aca="false">IF(Tasks[[#This Row],[_IsSummary]],COUNTIF(Tasks[WBS],Tasks[[#This Row],[WBS]]&amp;".*"),0)</f>
        <v>0</v>
      </c>
      <c r="CA99" s="42" t="n">
        <f aca="false">IF(AND(Tasks[[#This Row],[Task Name]]&lt;&gt;"",NOT(Tasks[[#This Row],[_IsSummary]])),1,0)</f>
        <v>0</v>
      </c>
      <c r="CB99" s="42" t="n">
        <f aca="false">IF(N(Tasks[[#This Row],[_Pred1UID]])=0,0,IFERROR(MATCH(Tasks[[#This Row],[_Pred1UID]],Tasks[UID],0),-1))</f>
        <v>0</v>
      </c>
      <c r="CC99" s="42" t="n">
        <f aca="false">IF(N(Tasks[[#This Row],[_Pred2UID]])=0,0,IFERROR(MATCH(Tasks[[#This Row],[_Pred2UID]],Tasks[UID],0),-1))</f>
        <v>0</v>
      </c>
      <c r="CD99" s="42" t="n">
        <f aca="false">IF(N(Tasks[[#This Row],[_Pred3UID]])=0,0,IFERROR(MATCH(Tasks[[#This Row],[_Pred3UID]],Tasks[UID],0),-1))</f>
        <v>0</v>
      </c>
      <c r="CE99" s="42" t="n">
        <f aca="false">IF(N(Tasks[[#This Row],[_Pred4UID]])=0,0,IFERROR(MATCH(Tasks[[#This Row],[_Pred4UID]],Tasks[UID],0),-1))</f>
        <v>0</v>
      </c>
      <c r="CF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99" s="89" t="n">
        <f aca="false">IF(OR(Tasks[[#This Row],[_ConstraintCode]]=2,Tasks[[#This Row],[_ConstraintCode]]=3,Tasks[[#This Row],[_ConstraintCode]]=4,Tasks[[#This Row],[_ConstraintCode]]=6),Tasks[[#This Row],[_ConstraintStart]],0)</f>
        <v>0</v>
      </c>
      <c r="CI99" s="89" t="n">
        <f aca="false">IF(OR(Tasks[[#This Row],[_ConstraintCode]]=2,Tasks[[#This Row],[_ConstraintCode]]=3,Tasks[[#This Row],[_ConstraintCode]]=5,Tasks[[#This Row],[_ConstraintCode]]=7),Tasks[[#This Row],[_ConstraintStart]],2958465)</f>
        <v>2958465</v>
      </c>
      <c r="CJ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99" s="89" t="str">
        <f aca="false">IF(NOT(Tasks[[#This Row],[_IsLeaf]]=1),"",IF(N(Tasks[[#This Row],[_Days]])&lt;=0,Tasks[[#This Row],[_LeafCalcStart]],WORKDAY.INTL(Tasks[[#This Row],[_LeafCalcStart]],Tasks[[#This Row],[_Days]]-1,WorkWeek,Holidays)))</f>
        <v/>
      </c>
      <c r="CL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99" s="42" t="str">
        <f aca="false">IF(Tasks[[#This Row],[_Predecessors]]="","",TRIM(MID(SUBSTITUTE(SUBSTITUTE(SUBSTITUTE(UPPER(Tasks[[#This Row],[_Predecessors]]),";",",")," ",""),",",REPT(" ",99)),1,99)))</f>
        <v/>
      </c>
      <c r="CO99" s="42" t="str">
        <f aca="false">IF(Tasks[[#This Row],[_Pred1Text]]="","",IFERROR(VALUE(LEFT(Tasks[[#This Row],[_Pred1Text]],MIN(FIND("F",Tasks[[#This Row],[_Pred1Text]]&amp;"F"),FIND("S",Tasks[[#This Row],[_Pred1Text]]&amp;"S"),FIND("+",Tasks[[#This Row],[_Pred1Text]]&amp;"+"),FIND("-",Tasks[[#This Row],[_Pred1Text]]&amp;"-"))-1)),""))</f>
        <v/>
      </c>
      <c r="CP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99" s="42" t="str">
        <f aca="false">IF(Tasks[[#This Row],[_Pred1Text]]="","",TRIM(MID(SUBSTITUTE(SUBSTITUTE(SUBSTITUTE(UPPER(Tasks[[#This Row],[_Predecessors]]),";",",")," ",""),",",REPT(" ",99)),100,99)))</f>
        <v/>
      </c>
      <c r="CS99" s="42" t="str">
        <f aca="false">IF(Tasks[[#This Row],[_Pred2Text]]="","",IFERROR(VALUE(LEFT(Tasks[[#This Row],[_Pred2Text]],MIN(FIND("F",Tasks[[#This Row],[_Pred2Text]]&amp;"F"),FIND("S",Tasks[[#This Row],[_Pred2Text]]&amp;"S"),FIND("+",Tasks[[#This Row],[_Pred2Text]]&amp;"+"),FIND("-",Tasks[[#This Row],[_Pred2Text]]&amp;"-"))-1)),""))</f>
        <v/>
      </c>
      <c r="CT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99" s="42" t="str">
        <f aca="false">IF(Tasks[[#This Row],[_Pred2Text]]="","",TRIM(MID(SUBSTITUTE(SUBSTITUTE(SUBSTITUTE(UPPER(Tasks[[#This Row],[_Predecessors]]),";",",")," ",""),",",REPT(" ",99)),199,99)))</f>
        <v/>
      </c>
      <c r="CW99" s="42" t="str">
        <f aca="false">IF(Tasks[[#This Row],[_Pred3Text]]="","",IFERROR(VALUE(LEFT(Tasks[[#This Row],[_Pred3Text]],MIN(FIND("F",Tasks[[#This Row],[_Pred3Text]]&amp;"F"),FIND("S",Tasks[[#This Row],[_Pred3Text]]&amp;"S"),FIND("+",Tasks[[#This Row],[_Pred3Text]]&amp;"+"),FIND("-",Tasks[[#This Row],[_Pred3Text]]&amp;"-"))-1)),""))</f>
        <v/>
      </c>
      <c r="CX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99" s="42" t="str">
        <f aca="false">IF(Tasks[[#This Row],[_Pred3Text]]="","",TRIM(MID(SUBSTITUTE(SUBSTITUTE(SUBSTITUTE(UPPER(Tasks[[#This Row],[_Predecessors]]),";",",")," ",""),",",REPT(" ",99)),298,99)))</f>
        <v/>
      </c>
      <c r="DA99" s="42" t="str">
        <f aca="false">IF(Tasks[[#This Row],[_Pred4Text]]="","",IFERROR(VALUE(LEFT(Tasks[[#This Row],[_Pred4Text]],MIN(FIND("F",Tasks[[#This Row],[_Pred4Text]]&amp;"F"),FIND("S",Tasks[[#This Row],[_Pred4Text]]&amp;"S"),FIND("+",Tasks[[#This Row],[_Pred4Text]]&amp;"+"),FIND("-",Tasks[[#This Row],[_Pred4Text]]&amp;"-"))-1)),""))</f>
        <v/>
      </c>
      <c r="DB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99" s="42" t="str">
        <f aca="false">IF(OR(Tasks[[#This Row],[Task Name]]="",Tasks[[#This Row],[_Resources]]=""),"",TRIM(MID(SUBSTITUTE(Tasks[[#This Row],[_Resources]],",",REPT(" ",99)),1,99)))</f>
        <v/>
      </c>
      <c r="DE99" s="42" t="str">
        <f aca="false">IF(Tasks[[#This Row],[_Res1Text]]="","",TRIM(MID(SUBSTITUTE(Tasks[[#This Row],[_Resources]],",",REPT(" ",99)),100,99)))</f>
        <v/>
      </c>
      <c r="DF99" s="42" t="str">
        <f aca="false">IF(Tasks[[#This Row],[_Res2Text]]="","",TRIM(MID(SUBSTITUTE(Tasks[[#This Row],[_Resources]],",",REPT(" ",99)),199,99)))</f>
        <v/>
      </c>
      <c r="DG99" s="42" t="str">
        <f aca="false">IF(Tasks[[#This Row],[_Res3Text]]="","",TRIM(MID(SUBSTITUTE(Tasks[[#This Row],[_Resources]],",",REPT(" ",99)),298,99)))</f>
        <v/>
      </c>
      <c r="DH99" s="42" t="n">
        <f aca="false">IF(Tasks[[#This Row],[_Res1Text]]="",0,IFERROR(MATCH(TRIM(LEFT(Tasks[[#This Row],[_Res1Text]],FIND("[",Tasks[[#This Row],[_Res1Text]]&amp;"[")-1)),res_Name,0),IFERROR(MATCH(TRIM(LEFT(Tasks[[#This Row],[_Res1Text]],FIND("[",Tasks[[#This Row],[_Res1Text]]&amp;"[")-1)),res_Initials,0),0)))</f>
        <v>0</v>
      </c>
      <c r="DI99" s="42" t="n">
        <f aca="false">IF(Tasks[[#This Row],[_Res2Text]]="",0,IFERROR(MATCH(TRIM(LEFT(Tasks[[#This Row],[_Res2Text]],FIND("[",Tasks[[#This Row],[_Res2Text]]&amp;"[")-1)),res_Name,0),IFERROR(MATCH(TRIM(LEFT(Tasks[[#This Row],[_Res2Text]],FIND("[",Tasks[[#This Row],[_Res2Text]]&amp;"[")-1)),res_Initials,0),0)))</f>
        <v>0</v>
      </c>
      <c r="DJ99" s="42" t="n">
        <f aca="false">IF(Tasks[[#This Row],[_Res3Text]]="",0,IFERROR(MATCH(TRIM(LEFT(Tasks[[#This Row],[_Res3Text]],FIND("[",Tasks[[#This Row],[_Res3Text]]&amp;"[")-1)),res_Name,0),IFERROR(MATCH(TRIM(LEFT(Tasks[[#This Row],[_Res3Text]],FIND("[",Tasks[[#This Row],[_Res3Text]]&amp;"[")-1)),res_Initials,0),0)))</f>
        <v>0</v>
      </c>
      <c r="DK99" s="42" t="n">
        <f aca="false">IF(Tasks[[#This Row],[_Res4Text]]="",0,IFERROR(MATCH(TRIM(LEFT(Tasks[[#This Row],[_Res4Text]],FIND("[",Tasks[[#This Row],[_Res4Text]]&amp;"[")-1)),res_Name,0),IFERROR(MATCH(TRIM(LEFT(Tasks[[#This Row],[_Res4Text]],FIND("[",Tasks[[#This Row],[_Res4Text]]&amp;"[")-1)),res_Initials,0),0)))</f>
        <v>0</v>
      </c>
      <c r="DL99" s="42" t="str">
        <f aca="false">IF(Tasks[[#This Row],[_Res1Text]]="","",IF(Tasks[[#This Row],[_Res1Row]]&gt;0,INDEX(res_Name,Tasks[[#This Row],[_Res1Row]]),TRIM(LEFT(Tasks[[#This Row],[_Res1Text]],FIND("[",Tasks[[#This Row],[_Res1Text]]&amp;"[")-1))))</f>
        <v/>
      </c>
      <c r="DM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99" s="42" t="n">
        <f aca="false">IF(NOT(Tasks[[#This Row],[_IsLeaf]]=1),0,(Tasks[[#This Row],[_Resource1]]&lt;&gt;"")+(Tasks[[#This Row],[_Res2]]&lt;&gt;"")+(Tasks[[#This Row],[_Res3]]&lt;&gt;"")+(Tasks[[#This Row],[_Res4]]&lt;&gt;""))</f>
        <v>0</v>
      </c>
      <c r="DO99" s="42" t="str">
        <f aca="false">IF(Tasks[[#This Row],[_Res2Text]]="","",IF(Tasks[[#This Row],[_Res2Row]]&gt;0,INDEX(res_Name,Tasks[[#This Row],[_Res2Row]]),TRIM(LEFT(Tasks[[#This Row],[_Res2Text]],FIND("[",Tasks[[#This Row],[_Res2Text]]&amp;"[")-1))))</f>
        <v/>
      </c>
      <c r="DP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99" s="42" t="n">
        <f aca="false">IF(OR(NOT(Tasks[[#This Row],[_IsLeaf]]=1),Tasks[[#This Row],[_Res2Row]]=0),0,N(Tasks[[#This Row],[_Days]])*HoursPerDay*IF(Tasks[[#This Row],[_Res2Units]]="",DefaultUnits,Tasks[[#This Row],[_Res2Units]]))</f>
        <v>0</v>
      </c>
      <c r="DR99" s="42" t="n">
        <f aca="false">IF(AND(AND(Tasks[[#This Row],[_IsLeaf]]=1,Tasks[[#This Row],[_LeafTotalWork]]&gt;0),Tasks[[#This Row],[_Res2Work]]&gt;0),Tasks[[#This Row],[_Res2Work]]/(Tasks[[#This Row],[_FinishWorkday]]-Tasks[[#This Row],[_StartWorkday]]+1),0)</f>
        <v>0</v>
      </c>
      <c r="DS99" s="42" t="n">
        <f aca="false">Tasks[[#This Row],[_Res2WorkPerWD]]*MAX(0,Tasks[[#This Row],[_StartWorkday]]-1)</f>
        <v>0</v>
      </c>
      <c r="DT99" s="42" t="n">
        <f aca="false">Tasks[[#This Row],[_Res2Work]]*Tasks[[#This Row],[_LeafProgress]]</f>
        <v>0</v>
      </c>
      <c r="DU99" s="42" t="str">
        <f aca="false">IF(Tasks[[#This Row],[_Res3Text]]="","",IF(Tasks[[#This Row],[_Res3Row]]&gt;0,INDEX(res_Name,Tasks[[#This Row],[_Res3Row]]),TRIM(LEFT(Tasks[[#This Row],[_Res3Text]],FIND("[",Tasks[[#This Row],[_Res3Text]]&amp;"[")-1))))</f>
        <v/>
      </c>
      <c r="DV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99" s="42" t="n">
        <f aca="false">IF(OR(NOT(Tasks[[#This Row],[_IsLeaf]]=1),Tasks[[#This Row],[_Res3Row]]=0),0,N(Tasks[[#This Row],[_Days]])*HoursPerDay*IF(Tasks[[#This Row],[_Res3Units]]="",DefaultUnits,Tasks[[#This Row],[_Res3Units]]))</f>
        <v>0</v>
      </c>
      <c r="DX99" s="42" t="n">
        <f aca="false">IF(AND(AND(Tasks[[#This Row],[_IsLeaf]]=1,Tasks[[#This Row],[_LeafTotalWork]]&gt;0),Tasks[[#This Row],[_Res3Work]]&gt;0),Tasks[[#This Row],[_Res3Work]]/(Tasks[[#This Row],[_FinishWorkday]]-Tasks[[#This Row],[_StartWorkday]]+1),0)</f>
        <v>0</v>
      </c>
      <c r="DY99" s="42" t="n">
        <f aca="false">Tasks[[#This Row],[_Res3WorkPerWD]]*MAX(0,Tasks[[#This Row],[_StartWorkday]]-1)</f>
        <v>0</v>
      </c>
      <c r="DZ99" s="42" t="n">
        <f aca="false">Tasks[[#This Row],[_Res3Work]]*Tasks[[#This Row],[_LeafProgress]]</f>
        <v>0</v>
      </c>
      <c r="EA99" s="42" t="str">
        <f aca="false">IF(Tasks[[#This Row],[_Res4Text]]="","",IF(Tasks[[#This Row],[_Res4Row]]&gt;0,INDEX(res_Name,Tasks[[#This Row],[_Res4Row]]),TRIM(LEFT(Tasks[[#This Row],[_Res4Text]],FIND("[",Tasks[[#This Row],[_Res4Text]]&amp;"[")-1))))</f>
        <v/>
      </c>
      <c r="EB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99" s="42" t="n">
        <f aca="false">IF(OR(NOT(Tasks[[#This Row],[_IsLeaf]]=1),Tasks[[#This Row],[_Res4Row]]=0),0,N(Tasks[[#This Row],[_Days]])*HoursPerDay*IF(Tasks[[#This Row],[_Res4Units]]="",DefaultUnits,Tasks[[#This Row],[_Res4Units]]))</f>
        <v>0</v>
      </c>
      <c r="ED99" s="42" t="n">
        <f aca="false">IF(AND(AND(Tasks[[#This Row],[_IsLeaf]]=1,Tasks[[#This Row],[_LeafTotalWork]]&gt;0),Tasks[[#This Row],[_Res4Work]]&gt;0),Tasks[[#This Row],[_Res4Work]]/(Tasks[[#This Row],[_FinishWorkday]]-Tasks[[#This Row],[_StartWorkday]]+1),0)</f>
        <v>0</v>
      </c>
      <c r="EE99" s="42" t="n">
        <f aca="false">Tasks[[#This Row],[_Res4WorkPerWD]]*MAX(0,Tasks[[#This Row],[_StartWorkday]]-1)</f>
        <v>0</v>
      </c>
      <c r="EF99" s="42" t="n">
        <f aca="false">Tasks[[#This Row],[_Res4Work]]*Tasks[[#This Row],[_LeafProgress]]</f>
        <v>0</v>
      </c>
      <c r="EG99" s="42" t="n">
        <f aca="false">IF(ISNUMBER(Tasks[[#This Row],[% Complete]]),Tasks[[#This Row],[% Complete]],IF(Tasks[[#This Row],[Stage]]="",0,IFERROR(INDEX(stg_Pct,MATCH(Tasks[[#This Row],[Stage]],stg_Name,0)),0)))</f>
        <v>0</v>
      </c>
      <c r="EH99" s="42" t="n">
        <f aca="false">IF(NOT(Tasks[[#This Row],[_IsLeaf]]=1),0,IF(N(Tasks[[#This Row],[Actual Finish]])&gt;0,1,MIN(1,Tasks[[#This Row],[_Pct]])))</f>
        <v>0</v>
      </c>
      <c r="EI99" s="42" t="n">
        <f aca="false">IF(OR(NOT(Tasks[[#This Row],[_IsLeaf]]=1),Tasks[[#This Row],[_Res1Row]]=0),0,N(Tasks[[#This Row],[_Days]])*HoursPerDay*IF(Tasks[[#This Row],[_Units1]]="",DefaultUnits,Tasks[[#This Row],[_Units1]]))</f>
        <v>0</v>
      </c>
      <c r="EJ99" s="42" t="n">
        <f aca="false">Tasks[[#This Row],[_LeafWork]]+Tasks[[#This Row],[_Res2Work]]+Tasks[[#This Row],[_Res3Work]]+Tasks[[#This Row],[_Res4Work]]</f>
        <v>0</v>
      </c>
      <c r="EK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99" s="42" t="n">
        <f aca="false">IF(NOT(Tasks[[#This Row],[_IsLeaf]]=1),0,MAX(_xlfn.MAXIFS(Tasks[_Row],Tasks[_Pred1UID],Tasks[[#This Row],[UID]]),_xlfn.MAXIFS(Tasks[_Row],Tasks[_Pred2UID],Tasks[[#This Row],[UID]]),_xlfn.MAXIFS(Tasks[_Row],Tasks[_Pred3UID],Tasks[[#This Row],[UID]]),_xlfn.MAXIFS(Tasks[_Row],Tasks[_Pred4UID],Tasks[[#This Row],[UID]])))</f>
        <v>0</v>
      </c>
      <c r="ET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99" s="89" t="str">
        <f aca="false">IF(NOT(Tasks[[#This Row],[_IsLeaf]]=1),"",IF(N(Tasks[[#This Row],[_Days]])&lt;=0,Tasks[[#This Row],[_LeafLateFinish]],WORKDAY.INTL(Tasks[[#This Row],[_LeafLateFinish]],-(Tasks[[#This Row],[_Days]]-1),WorkWeek,Holidays)))</f>
        <v/>
      </c>
      <c r="EW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99" s="88" t="b">
        <f aca="false">AND(Tasks[[#This Row],[_IsLeaf]]=1,Tasks[[#This Row],[_LeafProgress]]&lt;1,N(Tasks[[#This Row],[_LeafTotalSlack]])&lt;=CriticalSlackDays)</f>
        <v>0</v>
      </c>
      <c r="EY99" s="42" t="n">
        <f aca="false">IF(AND(Tasks[[#This Row],[_IsLeaf]]=1,Tasks[[#This Row],[_ConstraintCode]]=1,Tasks[[#This Row],[Mode]]&lt;&gt;"Manual",N(Tasks[[#This Row],[Actual Start]])=0),MAX(0,N(Tasks[[#This Row],[Free Slack]])),0)</f>
        <v>0</v>
      </c>
      <c r="EZ99" s="89" t="str">
        <f aca="false">IF(NOT(Tasks[[#This Row],[_IsLeaf]]=1),"",IF(Tasks[[#This Row],[_AlapShift]]=0,Tasks[[#This Row],[_LeafCalcStart]],WORKDAY.INTL(Tasks[[#This Row],[_LeafCalcStart]],Tasks[[#This Row],[_AlapShift]],WorkWeek,Holidays)))</f>
        <v/>
      </c>
      <c r="FA99" s="89" t="str">
        <f aca="false">IF(NOT(Tasks[[#This Row],[_IsLeaf]]=1),"",IF(Tasks[[#This Row],[_AlapShift]]=0,Tasks[[#This Row],[_LeafCalcFinish]],WORKDAY.INTL(Tasks[[#This Row],[_LeafCalcFinish]],Tasks[[#This Row],[_AlapShift]],WorkWeek,Holidays)))</f>
        <v/>
      </c>
      <c r="FB99" s="89" t="str">
        <f aca="false">IF(NOT(Tasks[[#This Row],[_IsLeaf]]=1),"",IF(Tasks[[#This Row],[_AlapShift]]=0,Tasks[[#This Row],[_LeafFcstStart]],WORKDAY.INTL(Tasks[[#This Row],[_LeafFcstStart]],Tasks[[#This Row],[_AlapShift]],WorkWeek,Holidays)))</f>
        <v/>
      </c>
      <c r="FC99" s="89" t="str">
        <f aca="false">IF(NOT(Tasks[[#This Row],[_IsLeaf]]=1),"",IF(Tasks[[#This Row],[_AlapShift]]=0,Tasks[[#This Row],[_LeafFcstFinish]],WORKDAY.INTL(Tasks[[#This Row],[_LeafFcstFinish]],Tasks[[#This Row],[_AlapShift]],WorkWeek,Holidays)))</f>
        <v/>
      </c>
      <c r="FD99" s="89" t="str">
        <f aca="false">IF(Tasks[[#This Row],[Task Name]]="","",IF(Tasks[[#This Row],[_IsSummary]],MIN(INDEX(Tasks[_ShownCalcStart],Tasks[[#This Row],[_Row]]+1):INDEX(Tasks[_ShownCalcStart],Tasks[[#This Row],[_Row]]+Tasks[[#This Row],[_Descendants]])),Tasks[[#This Row],[_ShownCalcStart]]))</f>
        <v/>
      </c>
      <c r="FE99" s="89" t="str">
        <f aca="false">IF(Tasks[[#This Row],[Task Name]]="","",IF(Tasks[[#This Row],[_IsSummary]],MAX(INDEX(Tasks[_ShownCalcFinish],Tasks[[#This Row],[_Row]]+1):INDEX(Tasks[_ShownCalcFinish],Tasks[[#This Row],[_Row]]+Tasks[[#This Row],[_Descendants]])),Tasks[[#This Row],[_ShownCalcFinish]]))</f>
        <v/>
      </c>
      <c r="FF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99" s="42" t="n">
        <f aca="false">IF(AND(Tasks[[#This Row],[_IsLeaf]]=1,Tasks[[#This Row],[_LeafTotalWork]]&gt;0),NETWORKDAYS.INTL(ProjectStart,Tasks[[#This Row],[_ShownFcstStart]],WorkWeek,Holidays),0)</f>
        <v>0</v>
      </c>
      <c r="FS99" s="42" t="n">
        <f aca="false">IF(AND(Tasks[[#This Row],[_IsLeaf]]=1,Tasks[[#This Row],[_LeafTotalWork]]&gt;0),MAX(Tasks[[#This Row],[_StartWorkday]],NETWORKDAYS.INTL(ProjectStart,Tasks[[#This Row],[_ShownFcstFinish]],WorkWeek,Holidays)),0)</f>
        <v>0</v>
      </c>
      <c r="FT99" s="42" t="n">
        <f aca="false">IF(AND(Tasks[[#This Row],[_IsLeaf]]=1,Tasks[[#This Row],[_LeafTotalWork]]&gt;0),Tasks[[#This Row],[_LeafWork]]/(Tasks[[#This Row],[_FinishWorkday]]-Tasks[[#This Row],[_StartWorkday]]+1),0)</f>
        <v>0</v>
      </c>
      <c r="FU99" s="42" t="n">
        <f aca="false">Tasks[[#This Row],[_WorkPerWorkday]]*(Tasks[[#This Row],[_StartWorkday]]-1)</f>
        <v>-0</v>
      </c>
      <c r="FV99" s="42" t="n">
        <f aca="false">IF(Tasks[[#This Row],[_IsLeaf]]=1,MAX(N(Tasks[[#This Row],[_Days]]),0.1),0)</f>
        <v>0</v>
      </c>
      <c r="FW99" s="42" t="n">
        <f aca="false">Tasks[[#This Row],[_WeightDur]]*Tasks[[#This Row],[_LeafProgress]]</f>
        <v>0</v>
      </c>
      <c r="FX99" s="42" t="n">
        <f aca="false">Tasks[[#This Row],[_WeightDur]]*Tasks[[#This Row],[_PlannedPct]]</f>
        <v>0</v>
      </c>
      <c r="FY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99" s="42" t="str">
        <f aca="false">IF(AND(Tasks[[#This Row],[_IsLeaf]]=1,N(Tasks[[#This Row],[_Days]])=0,Tasks[[#This Row],[_LeafProgress]]&lt;1),Tasks[[#This Row],[_ShownFcstFinish]]+Tasks[[#This Row],[_Row]]/100000,"")</f>
        <v/>
      </c>
      <c r="GA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99" s="42" t="str">
        <f aca="false">IF(Tasks[[#This Row],[Task Name]]="","",LEFT(Tasks[[#This Row],[WBS]],FIND(".",Tasks[[#This Row],[WBS]]&amp;".")-1))</f>
        <v/>
      </c>
      <c r="GC99" s="42" t="str">
        <f aca="false">IF(AND(Tasks[[#This Row],[Task Name]]&lt;&gt;"",Tasks[[#This Row],[_Level]]=1),Tasks[[#This Row],[_Row]],"")</f>
        <v/>
      </c>
      <c r="GD99" s="42" t="str">
        <f aca="false">IF(AND(Tasks[[#This Row],[_IsLeaf]]=1,N(Tasks[[#This Row],[_Days]])=0),Tasks[[#This Row],[Planned Finish]]+Tasks[[#This Row],[_Row]]/100000,"")</f>
        <v/>
      </c>
      <c r="GE99" s="42" t="str">
        <f aca="false">IF(AND(Tasks[[#This Row],[_IsLeaf]]=1,Tasks[[#This Row],[_LeafProgress]]&lt;1,OR(N(Tasks[[#This Row],[Finish Var]])&gt;0,Tasks[[#This Row],[Status]]="Late Start")),MAX(0,Tasks[[#This Row],[Finish Var]])+1-Tasks[[#This Row],[_Row]]/1000000,"")</f>
        <v/>
      </c>
      <c r="GF99" s="42" t="str">
        <f aca="false">IF(AND(Tasks[[#This Row],[_IsLeaf]]=1,N(Tasks[[#This Row],[Actual Start]])=0,Tasks[[#This Row],[_ShownFcstStart]]&gt;=StatusDate,Tasks[[#This Row],[_ShownFcstStart]]&lt;=LookaheadEnd),Tasks[[#This Row],[_ShownFcstStart]]+Tasks[[#This Row],[_Row]]/100000,"")</f>
        <v/>
      </c>
      <c r="GG99" s="42" t="str">
        <f aca="false">IF(AND(Tasks[[#This Row],[_IsLeaf]]=1,Tasks[[#This Row],[_LeafProgress]]&lt;1,Tasks[[#This Row],[_ShownFcstFinish]]&gt;=StatusDate,Tasks[[#This Row],[_ShownFcstFinish]]&lt;=LookaheadEnd),Tasks[[#This Row],[_ShownFcstFinish]]+Tasks[[#This Row],[_Row]]/100000,"")</f>
        <v/>
      </c>
      <c r="GH99" s="42" t="str">
        <f aca="false">IF(Tasks[[#This Row],[_LeafCritical]],Tasks[[#This Row],[_ShownFcstStart]]+Tasks[[#This Row],[_Row]]/100000,"")</f>
        <v/>
      </c>
      <c r="GI99" s="42" t="n">
        <f aca="false">Tasks[[#This Row],[_LeafWork]]*Tasks[[#This Row],[_LeafProgress]]</f>
        <v>0</v>
      </c>
      <c r="GJ99" s="89" t="str">
        <f aca="false">IF(AND(Tasks[[#This Row],[_IsLeaf]]=1,Tasks[[#This Row],[_LeafProgress]]&gt;=1),IF(N(Tasks[[#This Row],[Actual Finish]])&gt;0,Tasks[[#This Row],[Actual Finish]],Tasks[[#This Row],[_ShownFcstFinish]]),"")</f>
        <v/>
      </c>
      <c r="GK99" s="42" t="n">
        <f aca="false">IF(Tasks[[#This Row],[_IsLeaf]]=1,N(Tasks[[#This Row],[Story Points]]),0)</f>
        <v>0</v>
      </c>
      <c r="GL99" s="42" t="str">
        <f aca="false">""</f>
        <v/>
      </c>
      <c r="GM99" s="88" t="b">
        <f aca="false">IF(Tasks[[#This Row],[Task Name]]="",FALSE(),AND(Tasks[[#This Row],[_IsLeaf]]=1,N(Tasks[[#This Row],[_Days]])=0))</f>
        <v>0</v>
      </c>
      <c r="GN99" s="89" t="n">
        <f aca="false">IF(Tasks[[#This Row],[Task Name]]="",0,IF(AND(Tasks[[#This Row],[_IsLeaf]]=1,NOT(Tasks[[#This Row],[_IsMilestone]]),N(Tasks[[#This Row],[Progress]])&gt;0),Tasks[[#This Row],[Start]],0))</f>
        <v>0</v>
      </c>
      <c r="GO99" s="89" t="n">
        <f aca="false">IF(Tasks[[#This Row],[_DoneFrom]]=0,0,IF(Tasks[[#This Row],[Progress]]&gt;=1,Tasks[[#This Row],[Finish]],MAX(Tasks[[#This Row],[_DoneFrom]],Tasks[[#This Row],[Start]]+ROUND((Tasks[[#This Row],[Finish]]-Tasks[[#This Row],[Start]]+1)*Tasks[[#This Row],[Progress]],0)-1)))</f>
        <v>0</v>
      </c>
      <c r="GP99" s="89" t="n">
        <f aca="false">IF(Tasks[[#This Row],[Task Name]]="",0,IF(OR(NOT(Tasks[[#This Row],[_IsLeaf]]=1),Tasks[[#This Row],[_IsMilestone]],N(Tasks[[#This Row],[Progress]])&gt;=1),0,IF(Tasks[[#This Row],[_DoneTo]]&gt;0,Tasks[[#This Row],[_DoneTo]]+1,Tasks[[#This Row],[Start]])))</f>
        <v>0</v>
      </c>
      <c r="GQ99" s="89" t="n">
        <f aca="false">IF(Tasks[[#This Row],[_RemFrom]]=0,0,Tasks[[#This Row],[Finish]])</f>
        <v>0</v>
      </c>
      <c r="GR99" s="88" t="b">
        <f aca="false">IF(Tasks[[#This Row],[Task Name]]="",FALSE(),OR(NOT(BaselineSet),N(Tasks[[#This Row],[Baseline Start]])&gt;0))</f>
        <v>0</v>
      </c>
      <c r="GS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99" s="90" t="str">
        <f aca="false">IF(Tasks[[#This Row],[_IsLeaf]]=1,Tasks[[#This Row],[_Row]],"")</f>
        <v/>
      </c>
      <c r="GW99" s="90" t="str">
        <f aca="false">IFERROR(INDEX(Tasks[UID],SMALL(Tasks[_PickKey],Tasks[[#This Row],[_Row]]))&amp;" "&amp;INDEX(Tasks[Task Name],SMALL(Tasks[_PickKey],Tasks[[#This Row],[_Row]])),"")</f>
        <v/>
      </c>
      <c r="GX99" s="42" t="str">
        <f aca="false">IF(Tasks[[#This Row],[Task Name]]="","",IF(Tasks[[#This Row],[_IsSummary]],NETWORKDAYS.INTL(Tasks[[#This Row],[Start]],Tasks[[#This Row],[Finish]],WorkWeek,Holidays),N(Tasks[[#This Row],[_Days]])))</f>
        <v/>
      </c>
    </row>
    <row r="100" customFormat="false" ht="15" hidden="false" customHeight="false" outlineLevel="0" collapsed="false">
      <c r="A100" s="21" t="str">
        <f aca="false">IF(Tasks[[#This Row],[Task Name]]="","",COUNTA(Tasks[[#Headers],[Task Name]]:Tasks[[#This Row],[Task Name]])-1)</f>
        <v/>
      </c>
      <c r="B100" s="22" t="n">
        <v>108</v>
      </c>
      <c r="C100" s="22"/>
      <c r="D100" s="23"/>
      <c r="E100" s="22"/>
      <c r="F100" s="23"/>
      <c r="G100" s="22"/>
      <c r="H100" s="22"/>
      <c r="I100" s="23"/>
      <c r="J100" s="22"/>
      <c r="K100" s="22"/>
      <c r="L100" s="23"/>
      <c r="M100" s="22"/>
      <c r="N100" s="22"/>
      <c r="O100" s="23"/>
      <c r="P100" s="22"/>
      <c r="Q100" s="22"/>
      <c r="R100" s="23"/>
      <c r="S100" s="23"/>
      <c r="T100" s="83"/>
      <c r="U100" s="23"/>
      <c r="V100" s="83"/>
      <c r="W100" s="23"/>
      <c r="X100" s="83"/>
      <c r="Y100" s="23"/>
      <c r="Z100" s="83"/>
      <c r="AA100" s="23"/>
      <c r="AB100" s="23"/>
      <c r="AC100" s="7"/>
      <c r="AD100" s="7"/>
      <c r="AE100" s="62" t="str">
        <f aca="false">IF(Tasks[[#This Row],[Task Name]]="","",IF(Tasks[[#This Row],[_IsSummary]],MIN(INDEX(Tasks[_ShownFcstStart],Tasks[[#This Row],[_Row]]+1):INDEX(Tasks[_ShownFcstStart],Tasks[[#This Row],[_Row]]+Tasks[[#This Row],[_Descendants]])),Tasks[[#This Row],[_ShownFcstStart]]))</f>
        <v/>
      </c>
      <c r="AF100" s="62" t="str">
        <f aca="false">IF(Tasks[[#This Row],[Task Name]]="","",IF(Tasks[[#This Row],[_IsSummary]],MAX(INDEX(Tasks[_ShownFcstFinish],Tasks[[#This Row],[_Row]]+1):INDEX(Tasks[_ShownFcstFinish],Tasks[[#This Row],[_Row]]+Tasks[[#This Row],[_Descendants]])),Tasks[[#This Row],[_ShownFcstFinish]]))</f>
        <v/>
      </c>
      <c r="AG100" s="21" t="str">
        <f aca="false">""</f>
        <v/>
      </c>
      <c r="AH100" s="23"/>
      <c r="AI1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0" s="7"/>
      <c r="AK100" s="22"/>
      <c r="AL100" s="23"/>
      <c r="AM100" s="7"/>
      <c r="AN100" s="46" t="str">
        <f aca="false">IF(Tasks[[#This Row],[Task Name]]="","",IF(Tasks[[#This Row],[Finish]]&gt;=Tasks[[#This Row],[Planned Finish]],NETWORKDAYS.INTL(Tasks[[#This Row],[Planned Finish]],Tasks[[#This Row],[Finish]],WorkWeek,Holidays)-1,1-NETWORKDAYS.INTL(Tasks[[#This Row],[Finish]],Tasks[[#This Row],[Planned Finish]],WorkWeek,Holidays)))</f>
        <v/>
      </c>
      <c r="AO100" s="21" t="str">
        <f aca="false">IF(Tasks[[#This Row],[Task Name]]="","",IF(Tasks[[#This Row],[Progress]]&gt;=1,"Complete",IF(OR(N(Tasks[[#This Row],[Actual Start]])&gt;0,Tasks[[#This Row],[Progress]]&gt;0),IF(Tasks[[#This Row],[Finish Var]]&gt;0,"Behind","In Progress"),IF(Tasks[[#This Row],[Planned Start]]&lt;StatusDate,"Late Start","Not Started"))))</f>
        <v/>
      </c>
      <c r="AP100" s="21" t="str">
        <f aca="false">IF(Tasks[[#This Row],[Task Name]]="","",IF(IF(Tasks[[#This Row],[_IsSummary]],COUNTIF(INDEX(Tasks[_LeafCritical],Tasks[[#This Row],[_Row]]+1):INDEX(Tasks[_LeafCritical],Tasks[[#This Row],[_Row]]+Tasks[[#This Row],[_Descendants]]),TRUE())&gt;0,Tasks[[#This Row],[_LeafCritical]]),"Yes",""))</f>
        <v/>
      </c>
      <c r="AQ100" s="62" t="str">
        <f aca="false">IF(Tasks[[#This Row],[Task Name]]="","",IF(N(Tasks[[#This Row],[Baseline Start]])&gt;0,Tasks[[#This Row],[Baseline Start]],Tasks[[#This Row],[_CalcStart]]))</f>
        <v/>
      </c>
      <c r="AR100" s="62" t="str">
        <f aca="false">IF(Tasks[[#This Row],[Task Name]]="","",IF(N(Tasks[[#This Row],[Baseline Finish]])&gt;0,Tasks[[#This Row],[Baseline Finish]],Tasks[[#This Row],[_CalcFinish]]))</f>
        <v/>
      </c>
      <c r="AS100" s="46" t="str">
        <f aca="false">IF(Tasks[[#This Row],[Task Name]]="","",IF(Tasks[[#This Row],[Start]]&gt;=Tasks[[#This Row],[Planned Start]],NETWORKDAYS.INTL(Tasks[[#This Row],[Planned Start]],Tasks[[#This Row],[Start]],WorkWeek,Holidays)-1,1-NETWORKDAYS.INTL(Tasks[[#This Row],[Start]],Tasks[[#This Row],[Planned Start]],WorkWeek,Holidays)))</f>
        <v/>
      </c>
      <c r="AT100" s="62" t="str">
        <f aca="false">IF(Tasks[[#This Row],[Task Name]]="","",IF(Tasks[[#This Row],[_IsSummary]],MIN(INDEX(Tasks[_LeafLateStart],Tasks[[#This Row],[_Row]]+1):INDEX(Tasks[_LeafLateStart],Tasks[[#This Row],[_Row]]+Tasks[[#This Row],[_Descendants]])),Tasks[[#This Row],[_LeafLateStart]]))</f>
        <v/>
      </c>
      <c r="AU100" s="62" t="str">
        <f aca="false">IF(Tasks[[#This Row],[Task Name]]="","",IF(Tasks[[#This Row],[_IsSummary]],MAX(INDEX(Tasks[_LeafLateFinish],Tasks[[#This Row],[_Row]]+1):INDEX(Tasks[_LeafLateFinish],Tasks[[#This Row],[_Row]]+Tasks[[#This Row],[_Descendants]])),Tasks[[#This Row],[_LeafLateFinish]]))</f>
        <v/>
      </c>
      <c r="AV100" s="46" t="str">
        <f aca="false">IF(Tasks[[#This Row],[Task Name]]="","",IF(Tasks[[#This Row],[_IsSummary]],MIN(INDEX(Tasks[_LeafTotalSlack],Tasks[[#This Row],[_Row]]+1):INDEX(Tasks[_LeafTotalSlack],Tasks[[#This Row],[_Row]]+Tasks[[#This Row],[_Descendants]])),Tasks[[#This Row],[_LeafTotalSlack]]))</f>
        <v/>
      </c>
      <c r="AW1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4"/>
      <c r="BA1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t="str">
        <f aca="false">IF(Tasks[[#This Row],[Task Name]]="","",IF(Tasks[[#This Row],[_Level]]&lt;=OutlineShowLevel,"Yes","No"))</f>
        <v/>
      </c>
      <c r="BE100" s="85" t="str">
        <f aca="false">IF(Tasks[[#This Row],[Task Name]]="","",IF(Tasks[[#This Row],[_IsSummary]],SUM(INDEX(Tasks[_LeafTotalWork],Tasks[[#This Row],[_Row]]+1):INDEX(Tasks[_LeafTotalWork],Tasks[[#This Row],[_Row]]+Tasks[[#This Row],[_Descendants]])),Tasks[[#This Row],[_LeafTotalWork]]))</f>
        <v/>
      </c>
      <c r="BF100" s="23"/>
      <c r="BG1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t="str">
        <f aca="false">""</f>
        <v/>
      </c>
      <c r="BI100" s="86"/>
      <c r="BJ100" s="22"/>
      <c r="BK100" s="46" t="str">
        <f aca="false">IF(OR(Tasks[[#This Row],[Task Name]]="",Tasks[[#This Row],[Baseline Duration]]=""),"",Tasks[[#This Row],[_SpanDays]]-N(Tasks[[#This Row],[Baseline Duration]]))</f>
        <v/>
      </c>
      <c r="BL100" s="85" t="str">
        <f aca="false">IF(OR(Tasks[[#This Row],[Task Name]]="",Tasks[[#This Row],[Baseline Work]]=""),"",Tasks[[#This Row],[Work]]-N(Tasks[[#This Row],[Baseline Work]]))</f>
        <v/>
      </c>
      <c r="BM100" s="62" t="str">
        <f aca="false">IF(Tasks[[#This Row],[Task Name]]="","",IF(OR(TakeBaseline="Yes",N(Tasks[[#This Row],[Baseline Start]])=0),Tasks[[#This Row],[Start]],Tasks[[#This Row],[Baseline Start]]))</f>
        <v/>
      </c>
      <c r="BN100" s="62" t="str">
        <f aca="false">IF(Tasks[[#This Row],[Task Name]]="","",IF(OR(TakeBaseline="Yes",N(Tasks[[#This Row],[Baseline Finish]])=0),Tasks[[#This Row],[Finish]],Tasks[[#This Row],[Baseline Finish]]))</f>
        <v/>
      </c>
      <c r="BO100" s="21" t="str">
        <f aca="false">IF(Tasks[[#This Row],[Task Name]]="","",IF(OR(TakeBaseline="Yes",N(Tasks[[#This Row],[Baseline Duration]])=0),Tasks[[#This Row],[_SpanDays]],Tasks[[#This Row],[Baseline Duration]]))</f>
        <v/>
      </c>
      <c r="BP100" s="85" t="str">
        <f aca="false">IF(Tasks[[#This Row],[Task Name]]="","",IF(OR(TakeBaseline="Yes",N(Tasks[[#This Row],[Baseline Work]])=0),Tasks[[#This Row],[Work]],Tasks[[#This Row],[Baseline Work]]))</f>
        <v/>
      </c>
      <c r="BQ100" s="7"/>
      <c r="BR100" s="7"/>
      <c r="BS100" s="22"/>
      <c r="BT100" s="87"/>
      <c r="BU100" s="42" t="str">
        <f aca="false">IF(Tasks[[#This Row],[Task Name]]="","",MAX(1,N(Tasks[[#This Row],[Level]])))</f>
        <v/>
      </c>
      <c r="BV100" s="42" t="n">
        <f aca="false">ROW()-ROW(Tasks[[#Headers],[ID]])</f>
        <v>95</v>
      </c>
      <c r="BW100" s="42" t="n">
        <f aca="false">IF(OR(Tasks[[#This Row],[Task Name]]="",Tasks[[#This Row],[_Level]]&lt;=1),0,IFERROR(LOOKUP(2,1/(Tasks[[#Headers],[_Level]]:Tasks[[#This Row],[_Level]]=Tasks[[#This Row],[_Level]]-1),ROW(Tasks[[#Headers],[_Level]]:Tasks[[#This Row],[_Level]])),0))</f>
        <v>0</v>
      </c>
      <c r="BX100" s="42" t="n">
        <f aca="false">IFERROR(N(INDEX(Tasks[_Level],Tasks[[#This Row],[_Row]]+1)),0)</f>
        <v>0</v>
      </c>
      <c r="BY100" s="88" t="b">
        <f aca="false">AND(Tasks[[#This Row],[Task Name]]&lt;&gt;"",Tasks[[#This Row],[_NextLevel]]&gt;Tasks[[#This Row],[_Level]])</f>
        <v>0</v>
      </c>
      <c r="BZ100" s="42" t="n">
        <f aca="false">IF(Tasks[[#This Row],[_IsSummary]],COUNTIF(Tasks[WBS],Tasks[[#This Row],[WBS]]&amp;".*"),0)</f>
        <v>0</v>
      </c>
      <c r="CA100" s="42" t="n">
        <f aca="false">IF(AND(Tasks[[#This Row],[Task Name]]&lt;&gt;"",NOT(Tasks[[#This Row],[_IsSummary]])),1,0)</f>
        <v>0</v>
      </c>
      <c r="CB100" s="42" t="n">
        <f aca="false">IF(N(Tasks[[#This Row],[_Pred1UID]])=0,0,IFERROR(MATCH(Tasks[[#This Row],[_Pred1UID]],Tasks[UID],0),-1))</f>
        <v>0</v>
      </c>
      <c r="CC100" s="42" t="n">
        <f aca="false">IF(N(Tasks[[#This Row],[_Pred2UID]])=0,0,IFERROR(MATCH(Tasks[[#This Row],[_Pred2UID]],Tasks[UID],0),-1))</f>
        <v>0</v>
      </c>
      <c r="CD100" s="42" t="n">
        <f aca="false">IF(N(Tasks[[#This Row],[_Pred3UID]])=0,0,IFERROR(MATCH(Tasks[[#This Row],[_Pred3UID]],Tasks[UID],0),-1))</f>
        <v>0</v>
      </c>
      <c r="CE100" s="42" t="n">
        <f aca="false">IF(N(Tasks[[#This Row],[_Pred4UID]])=0,0,IFERROR(MATCH(Tasks[[#This Row],[_Pred4UID]],Tasks[UID],0),-1))</f>
        <v>0</v>
      </c>
      <c r="CF1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0" s="89" t="n">
        <f aca="false">IF(OR(Tasks[[#This Row],[_ConstraintCode]]=2,Tasks[[#This Row],[_ConstraintCode]]=3,Tasks[[#This Row],[_ConstraintCode]]=4,Tasks[[#This Row],[_ConstraintCode]]=6),Tasks[[#This Row],[_ConstraintStart]],0)</f>
        <v>0</v>
      </c>
      <c r="CI100" s="89" t="n">
        <f aca="false">IF(OR(Tasks[[#This Row],[_ConstraintCode]]=2,Tasks[[#This Row],[_ConstraintCode]]=3,Tasks[[#This Row],[_ConstraintCode]]=5,Tasks[[#This Row],[_ConstraintCode]]=7),Tasks[[#This Row],[_ConstraintStart]],2958465)</f>
        <v>2958465</v>
      </c>
      <c r="CJ1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0" s="89" t="str">
        <f aca="false">IF(NOT(Tasks[[#This Row],[_IsLeaf]]=1),"",IF(N(Tasks[[#This Row],[_Days]])&lt;=0,Tasks[[#This Row],[_LeafCalcStart]],WORKDAY.INTL(Tasks[[#This Row],[_LeafCalcStart]],Tasks[[#This Row],[_Days]]-1,WorkWeek,Holidays)))</f>
        <v/>
      </c>
      <c r="CL1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0" s="42" t="str">
        <f aca="false">IF(Tasks[[#This Row],[_Predecessors]]="","",TRIM(MID(SUBSTITUTE(SUBSTITUTE(SUBSTITUTE(UPPER(Tasks[[#This Row],[_Predecessors]]),";",",")," ",""),",",REPT(" ",99)),1,99)))</f>
        <v/>
      </c>
      <c r="CO100" s="42" t="str">
        <f aca="false">IF(Tasks[[#This Row],[_Pred1Text]]="","",IFERROR(VALUE(LEFT(Tasks[[#This Row],[_Pred1Text]],MIN(FIND("F",Tasks[[#This Row],[_Pred1Text]]&amp;"F"),FIND("S",Tasks[[#This Row],[_Pred1Text]]&amp;"S"),FIND("+",Tasks[[#This Row],[_Pred1Text]]&amp;"+"),FIND("-",Tasks[[#This Row],[_Pred1Text]]&amp;"-"))-1)),""))</f>
        <v/>
      </c>
      <c r="CP1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0" s="42" t="str">
        <f aca="false">IF(Tasks[[#This Row],[_Pred1Text]]="","",TRIM(MID(SUBSTITUTE(SUBSTITUTE(SUBSTITUTE(UPPER(Tasks[[#This Row],[_Predecessors]]),";",",")," ",""),",",REPT(" ",99)),100,99)))</f>
        <v/>
      </c>
      <c r="CS100" s="42" t="str">
        <f aca="false">IF(Tasks[[#This Row],[_Pred2Text]]="","",IFERROR(VALUE(LEFT(Tasks[[#This Row],[_Pred2Text]],MIN(FIND("F",Tasks[[#This Row],[_Pred2Text]]&amp;"F"),FIND("S",Tasks[[#This Row],[_Pred2Text]]&amp;"S"),FIND("+",Tasks[[#This Row],[_Pred2Text]]&amp;"+"),FIND("-",Tasks[[#This Row],[_Pred2Text]]&amp;"-"))-1)),""))</f>
        <v/>
      </c>
      <c r="CT1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0" s="42" t="str">
        <f aca="false">IF(Tasks[[#This Row],[_Pred2Text]]="","",TRIM(MID(SUBSTITUTE(SUBSTITUTE(SUBSTITUTE(UPPER(Tasks[[#This Row],[_Predecessors]]),";",",")," ",""),",",REPT(" ",99)),199,99)))</f>
        <v/>
      </c>
      <c r="CW100" s="42" t="str">
        <f aca="false">IF(Tasks[[#This Row],[_Pred3Text]]="","",IFERROR(VALUE(LEFT(Tasks[[#This Row],[_Pred3Text]],MIN(FIND("F",Tasks[[#This Row],[_Pred3Text]]&amp;"F"),FIND("S",Tasks[[#This Row],[_Pred3Text]]&amp;"S"),FIND("+",Tasks[[#This Row],[_Pred3Text]]&amp;"+"),FIND("-",Tasks[[#This Row],[_Pred3Text]]&amp;"-"))-1)),""))</f>
        <v/>
      </c>
      <c r="CX1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0" s="42" t="str">
        <f aca="false">IF(Tasks[[#This Row],[_Pred3Text]]="","",TRIM(MID(SUBSTITUTE(SUBSTITUTE(SUBSTITUTE(UPPER(Tasks[[#This Row],[_Predecessors]]),";",",")," ",""),",",REPT(" ",99)),298,99)))</f>
        <v/>
      </c>
      <c r="DA100" s="42" t="str">
        <f aca="false">IF(Tasks[[#This Row],[_Pred4Text]]="","",IFERROR(VALUE(LEFT(Tasks[[#This Row],[_Pred4Text]],MIN(FIND("F",Tasks[[#This Row],[_Pred4Text]]&amp;"F"),FIND("S",Tasks[[#This Row],[_Pred4Text]]&amp;"S"),FIND("+",Tasks[[#This Row],[_Pred4Text]]&amp;"+"),FIND("-",Tasks[[#This Row],[_Pred4Text]]&amp;"-"))-1)),""))</f>
        <v/>
      </c>
      <c r="DB1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0" s="42" t="str">
        <f aca="false">IF(OR(Tasks[[#This Row],[Task Name]]="",Tasks[[#This Row],[_Resources]]=""),"",TRIM(MID(SUBSTITUTE(Tasks[[#This Row],[_Resources]],",",REPT(" ",99)),1,99)))</f>
        <v/>
      </c>
      <c r="DE100" s="42" t="str">
        <f aca="false">IF(Tasks[[#This Row],[_Res1Text]]="","",TRIM(MID(SUBSTITUTE(Tasks[[#This Row],[_Resources]],",",REPT(" ",99)),100,99)))</f>
        <v/>
      </c>
      <c r="DF100" s="42" t="str">
        <f aca="false">IF(Tasks[[#This Row],[_Res2Text]]="","",TRIM(MID(SUBSTITUTE(Tasks[[#This Row],[_Resources]],",",REPT(" ",99)),199,99)))</f>
        <v/>
      </c>
      <c r="DG100" s="42" t="str">
        <f aca="false">IF(Tasks[[#This Row],[_Res3Text]]="","",TRIM(MID(SUBSTITUTE(Tasks[[#This Row],[_Resources]],",",REPT(" ",99)),298,99)))</f>
        <v/>
      </c>
      <c r="DH100" s="42" t="n">
        <f aca="false">IF(Tasks[[#This Row],[_Res1Text]]="",0,IFERROR(MATCH(TRIM(LEFT(Tasks[[#This Row],[_Res1Text]],FIND("[",Tasks[[#This Row],[_Res1Text]]&amp;"[")-1)),res_Name,0),IFERROR(MATCH(TRIM(LEFT(Tasks[[#This Row],[_Res1Text]],FIND("[",Tasks[[#This Row],[_Res1Text]]&amp;"[")-1)),res_Initials,0),0)))</f>
        <v>0</v>
      </c>
      <c r="DI100" s="42" t="n">
        <f aca="false">IF(Tasks[[#This Row],[_Res2Text]]="",0,IFERROR(MATCH(TRIM(LEFT(Tasks[[#This Row],[_Res2Text]],FIND("[",Tasks[[#This Row],[_Res2Text]]&amp;"[")-1)),res_Name,0),IFERROR(MATCH(TRIM(LEFT(Tasks[[#This Row],[_Res2Text]],FIND("[",Tasks[[#This Row],[_Res2Text]]&amp;"[")-1)),res_Initials,0),0)))</f>
        <v>0</v>
      </c>
      <c r="DJ100" s="42" t="n">
        <f aca="false">IF(Tasks[[#This Row],[_Res3Text]]="",0,IFERROR(MATCH(TRIM(LEFT(Tasks[[#This Row],[_Res3Text]],FIND("[",Tasks[[#This Row],[_Res3Text]]&amp;"[")-1)),res_Name,0),IFERROR(MATCH(TRIM(LEFT(Tasks[[#This Row],[_Res3Text]],FIND("[",Tasks[[#This Row],[_Res3Text]]&amp;"[")-1)),res_Initials,0),0)))</f>
        <v>0</v>
      </c>
      <c r="DK100" s="42" t="n">
        <f aca="false">IF(Tasks[[#This Row],[_Res4Text]]="",0,IFERROR(MATCH(TRIM(LEFT(Tasks[[#This Row],[_Res4Text]],FIND("[",Tasks[[#This Row],[_Res4Text]]&amp;"[")-1)),res_Name,0),IFERROR(MATCH(TRIM(LEFT(Tasks[[#This Row],[_Res4Text]],FIND("[",Tasks[[#This Row],[_Res4Text]]&amp;"[")-1)),res_Initials,0),0)))</f>
        <v>0</v>
      </c>
      <c r="DL100" s="42" t="str">
        <f aca="false">IF(Tasks[[#This Row],[_Res1Text]]="","",IF(Tasks[[#This Row],[_Res1Row]]&gt;0,INDEX(res_Name,Tasks[[#This Row],[_Res1Row]]),TRIM(LEFT(Tasks[[#This Row],[_Res1Text]],FIND("[",Tasks[[#This Row],[_Res1Text]]&amp;"[")-1))))</f>
        <v/>
      </c>
      <c r="DM1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0" s="42" t="n">
        <f aca="false">IF(NOT(Tasks[[#This Row],[_IsLeaf]]=1),0,(Tasks[[#This Row],[_Resource1]]&lt;&gt;"")+(Tasks[[#This Row],[_Res2]]&lt;&gt;"")+(Tasks[[#This Row],[_Res3]]&lt;&gt;"")+(Tasks[[#This Row],[_Res4]]&lt;&gt;""))</f>
        <v>0</v>
      </c>
      <c r="DO100" s="42" t="str">
        <f aca="false">IF(Tasks[[#This Row],[_Res2Text]]="","",IF(Tasks[[#This Row],[_Res2Row]]&gt;0,INDEX(res_Name,Tasks[[#This Row],[_Res2Row]]),TRIM(LEFT(Tasks[[#This Row],[_Res2Text]],FIND("[",Tasks[[#This Row],[_Res2Text]]&amp;"[")-1))))</f>
        <v/>
      </c>
      <c r="DP1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0" s="42" t="n">
        <f aca="false">IF(OR(NOT(Tasks[[#This Row],[_IsLeaf]]=1),Tasks[[#This Row],[_Res2Row]]=0),0,N(Tasks[[#This Row],[_Days]])*HoursPerDay*IF(Tasks[[#This Row],[_Res2Units]]="",DefaultUnits,Tasks[[#This Row],[_Res2Units]]))</f>
        <v>0</v>
      </c>
      <c r="DR100" s="42" t="n">
        <f aca="false">IF(AND(AND(Tasks[[#This Row],[_IsLeaf]]=1,Tasks[[#This Row],[_LeafTotalWork]]&gt;0),Tasks[[#This Row],[_Res2Work]]&gt;0),Tasks[[#This Row],[_Res2Work]]/(Tasks[[#This Row],[_FinishWorkday]]-Tasks[[#This Row],[_StartWorkday]]+1),0)</f>
        <v>0</v>
      </c>
      <c r="DS100" s="42" t="n">
        <f aca="false">Tasks[[#This Row],[_Res2WorkPerWD]]*MAX(0,Tasks[[#This Row],[_StartWorkday]]-1)</f>
        <v>0</v>
      </c>
      <c r="DT100" s="42" t="n">
        <f aca="false">Tasks[[#This Row],[_Res2Work]]*Tasks[[#This Row],[_LeafProgress]]</f>
        <v>0</v>
      </c>
      <c r="DU100" s="42" t="str">
        <f aca="false">IF(Tasks[[#This Row],[_Res3Text]]="","",IF(Tasks[[#This Row],[_Res3Row]]&gt;0,INDEX(res_Name,Tasks[[#This Row],[_Res3Row]]),TRIM(LEFT(Tasks[[#This Row],[_Res3Text]],FIND("[",Tasks[[#This Row],[_Res3Text]]&amp;"[")-1))))</f>
        <v/>
      </c>
      <c r="DV1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0" s="42" t="n">
        <f aca="false">IF(OR(NOT(Tasks[[#This Row],[_IsLeaf]]=1),Tasks[[#This Row],[_Res3Row]]=0),0,N(Tasks[[#This Row],[_Days]])*HoursPerDay*IF(Tasks[[#This Row],[_Res3Units]]="",DefaultUnits,Tasks[[#This Row],[_Res3Units]]))</f>
        <v>0</v>
      </c>
      <c r="DX100" s="42" t="n">
        <f aca="false">IF(AND(AND(Tasks[[#This Row],[_IsLeaf]]=1,Tasks[[#This Row],[_LeafTotalWork]]&gt;0),Tasks[[#This Row],[_Res3Work]]&gt;0),Tasks[[#This Row],[_Res3Work]]/(Tasks[[#This Row],[_FinishWorkday]]-Tasks[[#This Row],[_StartWorkday]]+1),0)</f>
        <v>0</v>
      </c>
      <c r="DY100" s="42" t="n">
        <f aca="false">Tasks[[#This Row],[_Res3WorkPerWD]]*MAX(0,Tasks[[#This Row],[_StartWorkday]]-1)</f>
        <v>0</v>
      </c>
      <c r="DZ100" s="42" t="n">
        <f aca="false">Tasks[[#This Row],[_Res3Work]]*Tasks[[#This Row],[_LeafProgress]]</f>
        <v>0</v>
      </c>
      <c r="EA100" s="42" t="str">
        <f aca="false">IF(Tasks[[#This Row],[_Res4Text]]="","",IF(Tasks[[#This Row],[_Res4Row]]&gt;0,INDEX(res_Name,Tasks[[#This Row],[_Res4Row]]),TRIM(LEFT(Tasks[[#This Row],[_Res4Text]],FIND("[",Tasks[[#This Row],[_Res4Text]]&amp;"[")-1))))</f>
        <v/>
      </c>
      <c r="EB1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0" s="42" t="n">
        <f aca="false">IF(OR(NOT(Tasks[[#This Row],[_IsLeaf]]=1),Tasks[[#This Row],[_Res4Row]]=0),0,N(Tasks[[#This Row],[_Days]])*HoursPerDay*IF(Tasks[[#This Row],[_Res4Units]]="",DefaultUnits,Tasks[[#This Row],[_Res4Units]]))</f>
        <v>0</v>
      </c>
      <c r="ED100" s="42" t="n">
        <f aca="false">IF(AND(AND(Tasks[[#This Row],[_IsLeaf]]=1,Tasks[[#This Row],[_LeafTotalWork]]&gt;0),Tasks[[#This Row],[_Res4Work]]&gt;0),Tasks[[#This Row],[_Res4Work]]/(Tasks[[#This Row],[_FinishWorkday]]-Tasks[[#This Row],[_StartWorkday]]+1),0)</f>
        <v>0</v>
      </c>
      <c r="EE100" s="42" t="n">
        <f aca="false">Tasks[[#This Row],[_Res4WorkPerWD]]*MAX(0,Tasks[[#This Row],[_StartWorkday]]-1)</f>
        <v>0</v>
      </c>
      <c r="EF100" s="42" t="n">
        <f aca="false">Tasks[[#This Row],[_Res4Work]]*Tasks[[#This Row],[_LeafProgress]]</f>
        <v>0</v>
      </c>
      <c r="EG100" s="42" t="n">
        <f aca="false">IF(ISNUMBER(Tasks[[#This Row],[% Complete]]),Tasks[[#This Row],[% Complete]],IF(Tasks[[#This Row],[Stage]]="",0,IFERROR(INDEX(stg_Pct,MATCH(Tasks[[#This Row],[Stage]],stg_Name,0)),0)))</f>
        <v>0</v>
      </c>
      <c r="EH100" s="42" t="n">
        <f aca="false">IF(NOT(Tasks[[#This Row],[_IsLeaf]]=1),0,IF(N(Tasks[[#This Row],[Actual Finish]])&gt;0,1,MIN(1,Tasks[[#This Row],[_Pct]])))</f>
        <v>0</v>
      </c>
      <c r="EI100" s="42" t="n">
        <f aca="false">IF(OR(NOT(Tasks[[#This Row],[_IsLeaf]]=1),Tasks[[#This Row],[_Res1Row]]=0),0,N(Tasks[[#This Row],[_Days]])*HoursPerDay*IF(Tasks[[#This Row],[_Units1]]="",DefaultUnits,Tasks[[#This Row],[_Units1]]))</f>
        <v>0</v>
      </c>
      <c r="EJ100" s="42" t="n">
        <f aca="false">Tasks[[#This Row],[_LeafWork]]+Tasks[[#This Row],[_Res2Work]]+Tasks[[#This Row],[_Res3Work]]+Tasks[[#This Row],[_Res4Work]]</f>
        <v>0</v>
      </c>
      <c r="EK1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0" s="42" t="n">
        <f aca="false">IF(NOT(Tasks[[#This Row],[_IsLeaf]]=1),0,MAX(_xlfn.MAXIFS(Tasks[_Row],Tasks[_Pred1UID],Tasks[[#This Row],[UID]]),_xlfn.MAXIFS(Tasks[_Row],Tasks[_Pred2UID],Tasks[[#This Row],[UID]]),_xlfn.MAXIFS(Tasks[_Row],Tasks[_Pred3UID],Tasks[[#This Row],[UID]]),_xlfn.MAXIFS(Tasks[_Row],Tasks[_Pred4UID],Tasks[[#This Row],[UID]])))</f>
        <v>0</v>
      </c>
      <c r="ET1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0" s="89" t="str">
        <f aca="false">IF(NOT(Tasks[[#This Row],[_IsLeaf]]=1),"",IF(N(Tasks[[#This Row],[_Days]])&lt;=0,Tasks[[#This Row],[_LeafLateFinish]],WORKDAY.INTL(Tasks[[#This Row],[_LeafLateFinish]],-(Tasks[[#This Row],[_Days]]-1),WorkWeek,Holidays)))</f>
        <v/>
      </c>
      <c r="EW1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0" s="88" t="b">
        <f aca="false">AND(Tasks[[#This Row],[_IsLeaf]]=1,Tasks[[#This Row],[_LeafProgress]]&lt;1,N(Tasks[[#This Row],[_LeafTotalSlack]])&lt;=CriticalSlackDays)</f>
        <v>0</v>
      </c>
      <c r="EY100" s="42" t="n">
        <f aca="false">IF(AND(Tasks[[#This Row],[_IsLeaf]]=1,Tasks[[#This Row],[_ConstraintCode]]=1,Tasks[[#This Row],[Mode]]&lt;&gt;"Manual",N(Tasks[[#This Row],[Actual Start]])=0),MAX(0,N(Tasks[[#This Row],[Free Slack]])),0)</f>
        <v>0</v>
      </c>
      <c r="EZ100" s="89" t="str">
        <f aca="false">IF(NOT(Tasks[[#This Row],[_IsLeaf]]=1),"",IF(Tasks[[#This Row],[_AlapShift]]=0,Tasks[[#This Row],[_LeafCalcStart]],WORKDAY.INTL(Tasks[[#This Row],[_LeafCalcStart]],Tasks[[#This Row],[_AlapShift]],WorkWeek,Holidays)))</f>
        <v/>
      </c>
      <c r="FA100" s="89" t="str">
        <f aca="false">IF(NOT(Tasks[[#This Row],[_IsLeaf]]=1),"",IF(Tasks[[#This Row],[_AlapShift]]=0,Tasks[[#This Row],[_LeafCalcFinish]],WORKDAY.INTL(Tasks[[#This Row],[_LeafCalcFinish]],Tasks[[#This Row],[_AlapShift]],WorkWeek,Holidays)))</f>
        <v/>
      </c>
      <c r="FB100" s="89" t="str">
        <f aca="false">IF(NOT(Tasks[[#This Row],[_IsLeaf]]=1),"",IF(Tasks[[#This Row],[_AlapShift]]=0,Tasks[[#This Row],[_LeafFcstStart]],WORKDAY.INTL(Tasks[[#This Row],[_LeafFcstStart]],Tasks[[#This Row],[_AlapShift]],WorkWeek,Holidays)))</f>
        <v/>
      </c>
      <c r="FC100" s="89" t="str">
        <f aca="false">IF(NOT(Tasks[[#This Row],[_IsLeaf]]=1),"",IF(Tasks[[#This Row],[_AlapShift]]=0,Tasks[[#This Row],[_LeafFcstFinish]],WORKDAY.INTL(Tasks[[#This Row],[_LeafFcstFinish]],Tasks[[#This Row],[_AlapShift]],WorkWeek,Holidays)))</f>
        <v/>
      </c>
      <c r="FD100" s="89" t="str">
        <f aca="false">IF(Tasks[[#This Row],[Task Name]]="","",IF(Tasks[[#This Row],[_IsSummary]],MIN(INDEX(Tasks[_ShownCalcStart],Tasks[[#This Row],[_Row]]+1):INDEX(Tasks[_ShownCalcStart],Tasks[[#This Row],[_Row]]+Tasks[[#This Row],[_Descendants]])),Tasks[[#This Row],[_ShownCalcStart]]))</f>
        <v/>
      </c>
      <c r="FE100" s="89" t="str">
        <f aca="false">IF(Tasks[[#This Row],[Task Name]]="","",IF(Tasks[[#This Row],[_IsSummary]],MAX(INDEX(Tasks[_ShownCalcFinish],Tasks[[#This Row],[_Row]]+1):INDEX(Tasks[_ShownCalcFinish],Tasks[[#This Row],[_Row]]+Tasks[[#This Row],[_Descendants]])),Tasks[[#This Row],[_ShownCalcFinish]]))</f>
        <v/>
      </c>
      <c r="FF1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0" s="42" t="n">
        <f aca="false">IF(AND(Tasks[[#This Row],[_IsLeaf]]=1,Tasks[[#This Row],[_LeafTotalWork]]&gt;0),NETWORKDAYS.INTL(ProjectStart,Tasks[[#This Row],[_ShownFcstStart]],WorkWeek,Holidays),0)</f>
        <v>0</v>
      </c>
      <c r="FS100" s="42" t="n">
        <f aca="false">IF(AND(Tasks[[#This Row],[_IsLeaf]]=1,Tasks[[#This Row],[_LeafTotalWork]]&gt;0),MAX(Tasks[[#This Row],[_StartWorkday]],NETWORKDAYS.INTL(ProjectStart,Tasks[[#This Row],[_ShownFcstFinish]],WorkWeek,Holidays)),0)</f>
        <v>0</v>
      </c>
      <c r="FT100" s="42" t="n">
        <f aca="false">IF(AND(Tasks[[#This Row],[_IsLeaf]]=1,Tasks[[#This Row],[_LeafTotalWork]]&gt;0),Tasks[[#This Row],[_LeafWork]]/(Tasks[[#This Row],[_FinishWorkday]]-Tasks[[#This Row],[_StartWorkday]]+1),0)</f>
        <v>0</v>
      </c>
      <c r="FU100" s="42" t="n">
        <f aca="false">Tasks[[#This Row],[_WorkPerWorkday]]*(Tasks[[#This Row],[_StartWorkday]]-1)</f>
        <v>-0</v>
      </c>
      <c r="FV100" s="42" t="n">
        <f aca="false">IF(Tasks[[#This Row],[_IsLeaf]]=1,MAX(N(Tasks[[#This Row],[_Days]]),0.1),0)</f>
        <v>0</v>
      </c>
      <c r="FW100" s="42" t="n">
        <f aca="false">Tasks[[#This Row],[_WeightDur]]*Tasks[[#This Row],[_LeafProgress]]</f>
        <v>0</v>
      </c>
      <c r="FX100" s="42" t="n">
        <f aca="false">Tasks[[#This Row],[_WeightDur]]*Tasks[[#This Row],[_PlannedPct]]</f>
        <v>0</v>
      </c>
      <c r="FY1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0" s="42" t="str">
        <f aca="false">IF(AND(Tasks[[#This Row],[_IsLeaf]]=1,N(Tasks[[#This Row],[_Days]])=0,Tasks[[#This Row],[_LeafProgress]]&lt;1),Tasks[[#This Row],[_ShownFcstFinish]]+Tasks[[#This Row],[_Row]]/100000,"")</f>
        <v/>
      </c>
      <c r="GA1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0" s="42" t="str">
        <f aca="false">IF(Tasks[[#This Row],[Task Name]]="","",LEFT(Tasks[[#This Row],[WBS]],FIND(".",Tasks[[#This Row],[WBS]]&amp;".")-1))</f>
        <v/>
      </c>
      <c r="GC100" s="42" t="str">
        <f aca="false">IF(AND(Tasks[[#This Row],[Task Name]]&lt;&gt;"",Tasks[[#This Row],[_Level]]=1),Tasks[[#This Row],[_Row]],"")</f>
        <v/>
      </c>
      <c r="GD100" s="42" t="str">
        <f aca="false">IF(AND(Tasks[[#This Row],[_IsLeaf]]=1,N(Tasks[[#This Row],[_Days]])=0),Tasks[[#This Row],[Planned Finish]]+Tasks[[#This Row],[_Row]]/100000,"")</f>
        <v/>
      </c>
      <c r="GE100" s="42" t="str">
        <f aca="false">IF(AND(Tasks[[#This Row],[_IsLeaf]]=1,Tasks[[#This Row],[_LeafProgress]]&lt;1,OR(N(Tasks[[#This Row],[Finish Var]])&gt;0,Tasks[[#This Row],[Status]]="Late Start")),MAX(0,Tasks[[#This Row],[Finish Var]])+1-Tasks[[#This Row],[_Row]]/1000000,"")</f>
        <v/>
      </c>
      <c r="GF100" s="42" t="str">
        <f aca="false">IF(AND(Tasks[[#This Row],[_IsLeaf]]=1,N(Tasks[[#This Row],[Actual Start]])=0,Tasks[[#This Row],[_ShownFcstStart]]&gt;=StatusDate,Tasks[[#This Row],[_ShownFcstStart]]&lt;=LookaheadEnd),Tasks[[#This Row],[_ShownFcstStart]]+Tasks[[#This Row],[_Row]]/100000,"")</f>
        <v/>
      </c>
      <c r="GG100" s="42" t="str">
        <f aca="false">IF(AND(Tasks[[#This Row],[_IsLeaf]]=1,Tasks[[#This Row],[_LeafProgress]]&lt;1,Tasks[[#This Row],[_ShownFcstFinish]]&gt;=StatusDate,Tasks[[#This Row],[_ShownFcstFinish]]&lt;=LookaheadEnd),Tasks[[#This Row],[_ShownFcstFinish]]+Tasks[[#This Row],[_Row]]/100000,"")</f>
        <v/>
      </c>
      <c r="GH100" s="42" t="str">
        <f aca="false">IF(Tasks[[#This Row],[_LeafCritical]],Tasks[[#This Row],[_ShownFcstStart]]+Tasks[[#This Row],[_Row]]/100000,"")</f>
        <v/>
      </c>
      <c r="GI100" s="42" t="n">
        <f aca="false">Tasks[[#This Row],[_LeafWork]]*Tasks[[#This Row],[_LeafProgress]]</f>
        <v>0</v>
      </c>
      <c r="GJ100" s="89" t="str">
        <f aca="false">IF(AND(Tasks[[#This Row],[_IsLeaf]]=1,Tasks[[#This Row],[_LeafProgress]]&gt;=1),IF(N(Tasks[[#This Row],[Actual Finish]])&gt;0,Tasks[[#This Row],[Actual Finish]],Tasks[[#This Row],[_ShownFcstFinish]]),"")</f>
        <v/>
      </c>
      <c r="GK100" s="42" t="n">
        <f aca="false">IF(Tasks[[#This Row],[_IsLeaf]]=1,N(Tasks[[#This Row],[Story Points]]),0)</f>
        <v>0</v>
      </c>
      <c r="GL100" s="42" t="str">
        <f aca="false">""</f>
        <v/>
      </c>
      <c r="GM100" s="88" t="b">
        <f aca="false">IF(Tasks[[#This Row],[Task Name]]="",FALSE(),AND(Tasks[[#This Row],[_IsLeaf]]=1,N(Tasks[[#This Row],[_Days]])=0))</f>
        <v>0</v>
      </c>
      <c r="GN100" s="89" t="n">
        <f aca="false">IF(Tasks[[#This Row],[Task Name]]="",0,IF(AND(Tasks[[#This Row],[_IsLeaf]]=1,NOT(Tasks[[#This Row],[_IsMilestone]]),N(Tasks[[#This Row],[Progress]])&gt;0),Tasks[[#This Row],[Start]],0))</f>
        <v>0</v>
      </c>
      <c r="GO100" s="89" t="n">
        <f aca="false">IF(Tasks[[#This Row],[_DoneFrom]]=0,0,IF(Tasks[[#This Row],[Progress]]&gt;=1,Tasks[[#This Row],[Finish]],MAX(Tasks[[#This Row],[_DoneFrom]],Tasks[[#This Row],[Start]]+ROUND((Tasks[[#This Row],[Finish]]-Tasks[[#This Row],[Start]]+1)*Tasks[[#This Row],[Progress]],0)-1)))</f>
        <v>0</v>
      </c>
      <c r="GP100" s="89" t="n">
        <f aca="false">IF(Tasks[[#This Row],[Task Name]]="",0,IF(OR(NOT(Tasks[[#This Row],[_IsLeaf]]=1),Tasks[[#This Row],[_IsMilestone]],N(Tasks[[#This Row],[Progress]])&gt;=1),0,IF(Tasks[[#This Row],[_DoneTo]]&gt;0,Tasks[[#This Row],[_DoneTo]]+1,Tasks[[#This Row],[Start]])))</f>
        <v>0</v>
      </c>
      <c r="GQ100" s="89" t="n">
        <f aca="false">IF(Tasks[[#This Row],[_RemFrom]]=0,0,Tasks[[#This Row],[Finish]])</f>
        <v>0</v>
      </c>
      <c r="GR100" s="88" t="b">
        <f aca="false">IF(Tasks[[#This Row],[Task Name]]="",FALSE(),OR(NOT(BaselineSet),N(Tasks[[#This Row],[Baseline Start]])&gt;0))</f>
        <v>0</v>
      </c>
      <c r="GS1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0" s="90" t="str">
        <f aca="false">IF(Tasks[[#This Row],[_IsLeaf]]=1,Tasks[[#This Row],[_Row]],"")</f>
        <v/>
      </c>
      <c r="GW100" s="90" t="str">
        <f aca="false">IFERROR(INDEX(Tasks[UID],SMALL(Tasks[_PickKey],Tasks[[#This Row],[_Row]]))&amp;" "&amp;INDEX(Tasks[Task Name],SMALL(Tasks[_PickKey],Tasks[[#This Row],[_Row]])),"")</f>
        <v/>
      </c>
      <c r="GX100" s="42" t="str">
        <f aca="false">IF(Tasks[[#This Row],[Task Name]]="","",IF(Tasks[[#This Row],[_IsSummary]],NETWORKDAYS.INTL(Tasks[[#This Row],[Start]],Tasks[[#This Row],[Finish]],WorkWeek,Holidays),N(Tasks[[#This Row],[_Days]])))</f>
        <v/>
      </c>
    </row>
    <row r="101" customFormat="false" ht="15" hidden="false" customHeight="false" outlineLevel="0" collapsed="false">
      <c r="A101" s="21" t="str">
        <f aca="false">IF(Tasks[[#This Row],[Task Name]]="","",COUNTA(Tasks[[#Headers],[Task Name]]:Tasks[[#This Row],[Task Name]])-1)</f>
        <v/>
      </c>
      <c r="B101" s="22" t="n">
        <v>109</v>
      </c>
      <c r="C101" s="22"/>
      <c r="D101" s="23"/>
      <c r="E101" s="22"/>
      <c r="F101" s="23"/>
      <c r="G101" s="22"/>
      <c r="H101" s="22"/>
      <c r="I101" s="23"/>
      <c r="J101" s="22"/>
      <c r="K101" s="22"/>
      <c r="L101" s="23"/>
      <c r="M101" s="22"/>
      <c r="N101" s="22"/>
      <c r="O101" s="23"/>
      <c r="P101" s="22"/>
      <c r="Q101" s="22"/>
      <c r="R101" s="23"/>
      <c r="S101" s="23"/>
      <c r="T101" s="83"/>
      <c r="U101" s="23"/>
      <c r="V101" s="83"/>
      <c r="W101" s="23"/>
      <c r="X101" s="83"/>
      <c r="Y101" s="23"/>
      <c r="Z101" s="83"/>
      <c r="AA101" s="23"/>
      <c r="AB101" s="23"/>
      <c r="AC101" s="7"/>
      <c r="AD101" s="7"/>
      <c r="AE101" s="62" t="str">
        <f aca="false">IF(Tasks[[#This Row],[Task Name]]="","",IF(Tasks[[#This Row],[_IsSummary]],MIN(INDEX(Tasks[_ShownFcstStart],Tasks[[#This Row],[_Row]]+1):INDEX(Tasks[_ShownFcstStart],Tasks[[#This Row],[_Row]]+Tasks[[#This Row],[_Descendants]])),Tasks[[#This Row],[_ShownFcstStart]]))</f>
        <v/>
      </c>
      <c r="AF101" s="62" t="str">
        <f aca="false">IF(Tasks[[#This Row],[Task Name]]="","",IF(Tasks[[#This Row],[_IsSummary]],MAX(INDEX(Tasks[_ShownFcstFinish],Tasks[[#This Row],[_Row]]+1):INDEX(Tasks[_ShownFcstFinish],Tasks[[#This Row],[_Row]]+Tasks[[#This Row],[_Descendants]])),Tasks[[#This Row],[_ShownFcstFinish]]))</f>
        <v/>
      </c>
      <c r="AG101" s="21" t="str">
        <f aca="false">""</f>
        <v/>
      </c>
      <c r="AH101" s="23"/>
      <c r="AI1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1" s="7"/>
      <c r="AK101" s="22"/>
      <c r="AL101" s="23"/>
      <c r="AM101" s="7"/>
      <c r="AN101" s="46" t="str">
        <f aca="false">IF(Tasks[[#This Row],[Task Name]]="","",IF(Tasks[[#This Row],[Finish]]&gt;=Tasks[[#This Row],[Planned Finish]],NETWORKDAYS.INTL(Tasks[[#This Row],[Planned Finish]],Tasks[[#This Row],[Finish]],WorkWeek,Holidays)-1,1-NETWORKDAYS.INTL(Tasks[[#This Row],[Finish]],Tasks[[#This Row],[Planned Finish]],WorkWeek,Holidays)))</f>
        <v/>
      </c>
      <c r="AO101" s="21" t="str">
        <f aca="false">IF(Tasks[[#This Row],[Task Name]]="","",IF(Tasks[[#This Row],[Progress]]&gt;=1,"Complete",IF(OR(N(Tasks[[#This Row],[Actual Start]])&gt;0,Tasks[[#This Row],[Progress]]&gt;0),IF(Tasks[[#This Row],[Finish Var]]&gt;0,"Behind","In Progress"),IF(Tasks[[#This Row],[Planned Start]]&lt;StatusDate,"Late Start","Not Started"))))</f>
        <v/>
      </c>
      <c r="AP101" s="21" t="str">
        <f aca="false">IF(Tasks[[#This Row],[Task Name]]="","",IF(IF(Tasks[[#This Row],[_IsSummary]],COUNTIF(INDEX(Tasks[_LeafCritical],Tasks[[#This Row],[_Row]]+1):INDEX(Tasks[_LeafCritical],Tasks[[#This Row],[_Row]]+Tasks[[#This Row],[_Descendants]]),TRUE())&gt;0,Tasks[[#This Row],[_LeafCritical]]),"Yes",""))</f>
        <v/>
      </c>
      <c r="AQ101" s="62" t="str">
        <f aca="false">IF(Tasks[[#This Row],[Task Name]]="","",IF(N(Tasks[[#This Row],[Baseline Start]])&gt;0,Tasks[[#This Row],[Baseline Start]],Tasks[[#This Row],[_CalcStart]]))</f>
        <v/>
      </c>
      <c r="AR101" s="62" t="str">
        <f aca="false">IF(Tasks[[#This Row],[Task Name]]="","",IF(N(Tasks[[#This Row],[Baseline Finish]])&gt;0,Tasks[[#This Row],[Baseline Finish]],Tasks[[#This Row],[_CalcFinish]]))</f>
        <v/>
      </c>
      <c r="AS101" s="46" t="str">
        <f aca="false">IF(Tasks[[#This Row],[Task Name]]="","",IF(Tasks[[#This Row],[Start]]&gt;=Tasks[[#This Row],[Planned Start]],NETWORKDAYS.INTL(Tasks[[#This Row],[Planned Start]],Tasks[[#This Row],[Start]],WorkWeek,Holidays)-1,1-NETWORKDAYS.INTL(Tasks[[#This Row],[Start]],Tasks[[#This Row],[Planned Start]],WorkWeek,Holidays)))</f>
        <v/>
      </c>
      <c r="AT101" s="62" t="str">
        <f aca="false">IF(Tasks[[#This Row],[Task Name]]="","",IF(Tasks[[#This Row],[_IsSummary]],MIN(INDEX(Tasks[_LeafLateStart],Tasks[[#This Row],[_Row]]+1):INDEX(Tasks[_LeafLateStart],Tasks[[#This Row],[_Row]]+Tasks[[#This Row],[_Descendants]])),Tasks[[#This Row],[_LeafLateStart]]))</f>
        <v/>
      </c>
      <c r="AU101" s="62" t="str">
        <f aca="false">IF(Tasks[[#This Row],[Task Name]]="","",IF(Tasks[[#This Row],[_IsSummary]],MAX(INDEX(Tasks[_LeafLateFinish],Tasks[[#This Row],[_Row]]+1):INDEX(Tasks[_LeafLateFinish],Tasks[[#This Row],[_Row]]+Tasks[[#This Row],[_Descendants]])),Tasks[[#This Row],[_LeafLateFinish]]))</f>
        <v/>
      </c>
      <c r="AV101" s="46" t="str">
        <f aca="false">IF(Tasks[[#This Row],[Task Name]]="","",IF(Tasks[[#This Row],[_IsSummary]],MIN(INDEX(Tasks[_LeafTotalSlack],Tasks[[#This Row],[_Row]]+1):INDEX(Tasks[_LeafTotalSlack],Tasks[[#This Row],[_Row]]+Tasks[[#This Row],[_Descendants]])),Tasks[[#This Row],[_LeafTotalSlack]]))</f>
        <v/>
      </c>
      <c r="AW1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4"/>
      <c r="BA1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t="str">
        <f aca="false">IF(Tasks[[#This Row],[Task Name]]="","",IF(Tasks[[#This Row],[_Level]]&lt;=OutlineShowLevel,"Yes","No"))</f>
        <v/>
      </c>
      <c r="BE101" s="85" t="str">
        <f aca="false">IF(Tasks[[#This Row],[Task Name]]="","",IF(Tasks[[#This Row],[_IsSummary]],SUM(INDEX(Tasks[_LeafTotalWork],Tasks[[#This Row],[_Row]]+1):INDEX(Tasks[_LeafTotalWork],Tasks[[#This Row],[_Row]]+Tasks[[#This Row],[_Descendants]])),Tasks[[#This Row],[_LeafTotalWork]]))</f>
        <v/>
      </c>
      <c r="BF101" s="23"/>
      <c r="BG1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t="str">
        <f aca="false">""</f>
        <v/>
      </c>
      <c r="BI101" s="86"/>
      <c r="BJ101" s="22"/>
      <c r="BK101" s="46" t="str">
        <f aca="false">IF(OR(Tasks[[#This Row],[Task Name]]="",Tasks[[#This Row],[Baseline Duration]]=""),"",Tasks[[#This Row],[_SpanDays]]-N(Tasks[[#This Row],[Baseline Duration]]))</f>
        <v/>
      </c>
      <c r="BL101" s="85" t="str">
        <f aca="false">IF(OR(Tasks[[#This Row],[Task Name]]="",Tasks[[#This Row],[Baseline Work]]=""),"",Tasks[[#This Row],[Work]]-N(Tasks[[#This Row],[Baseline Work]]))</f>
        <v/>
      </c>
      <c r="BM101" s="62" t="str">
        <f aca="false">IF(Tasks[[#This Row],[Task Name]]="","",IF(OR(TakeBaseline="Yes",N(Tasks[[#This Row],[Baseline Start]])=0),Tasks[[#This Row],[Start]],Tasks[[#This Row],[Baseline Start]]))</f>
        <v/>
      </c>
      <c r="BN101" s="62" t="str">
        <f aca="false">IF(Tasks[[#This Row],[Task Name]]="","",IF(OR(TakeBaseline="Yes",N(Tasks[[#This Row],[Baseline Finish]])=0),Tasks[[#This Row],[Finish]],Tasks[[#This Row],[Baseline Finish]]))</f>
        <v/>
      </c>
      <c r="BO101" s="21" t="str">
        <f aca="false">IF(Tasks[[#This Row],[Task Name]]="","",IF(OR(TakeBaseline="Yes",N(Tasks[[#This Row],[Baseline Duration]])=0),Tasks[[#This Row],[_SpanDays]],Tasks[[#This Row],[Baseline Duration]]))</f>
        <v/>
      </c>
      <c r="BP101" s="85" t="str">
        <f aca="false">IF(Tasks[[#This Row],[Task Name]]="","",IF(OR(TakeBaseline="Yes",N(Tasks[[#This Row],[Baseline Work]])=0),Tasks[[#This Row],[Work]],Tasks[[#This Row],[Baseline Work]]))</f>
        <v/>
      </c>
      <c r="BQ101" s="7"/>
      <c r="BR101" s="7"/>
      <c r="BS101" s="22"/>
      <c r="BT101" s="87"/>
      <c r="BU101" s="42" t="str">
        <f aca="false">IF(Tasks[[#This Row],[Task Name]]="","",MAX(1,N(Tasks[[#This Row],[Level]])))</f>
        <v/>
      </c>
      <c r="BV101" s="42" t="n">
        <f aca="false">ROW()-ROW(Tasks[[#Headers],[ID]])</f>
        <v>96</v>
      </c>
      <c r="BW101" s="42" t="n">
        <f aca="false">IF(OR(Tasks[[#This Row],[Task Name]]="",Tasks[[#This Row],[_Level]]&lt;=1),0,IFERROR(LOOKUP(2,1/(Tasks[[#Headers],[_Level]]:Tasks[[#This Row],[_Level]]=Tasks[[#This Row],[_Level]]-1),ROW(Tasks[[#Headers],[_Level]]:Tasks[[#This Row],[_Level]])),0))</f>
        <v>0</v>
      </c>
      <c r="BX101" s="42" t="n">
        <f aca="false">IFERROR(N(INDEX(Tasks[_Level],Tasks[[#This Row],[_Row]]+1)),0)</f>
        <v>0</v>
      </c>
      <c r="BY101" s="88" t="b">
        <f aca="false">AND(Tasks[[#This Row],[Task Name]]&lt;&gt;"",Tasks[[#This Row],[_NextLevel]]&gt;Tasks[[#This Row],[_Level]])</f>
        <v>0</v>
      </c>
      <c r="BZ101" s="42" t="n">
        <f aca="false">IF(Tasks[[#This Row],[_IsSummary]],COUNTIF(Tasks[WBS],Tasks[[#This Row],[WBS]]&amp;".*"),0)</f>
        <v>0</v>
      </c>
      <c r="CA101" s="42" t="n">
        <f aca="false">IF(AND(Tasks[[#This Row],[Task Name]]&lt;&gt;"",NOT(Tasks[[#This Row],[_IsSummary]])),1,0)</f>
        <v>0</v>
      </c>
      <c r="CB101" s="42" t="n">
        <f aca="false">IF(N(Tasks[[#This Row],[_Pred1UID]])=0,0,IFERROR(MATCH(Tasks[[#This Row],[_Pred1UID]],Tasks[UID],0),-1))</f>
        <v>0</v>
      </c>
      <c r="CC101" s="42" t="n">
        <f aca="false">IF(N(Tasks[[#This Row],[_Pred2UID]])=0,0,IFERROR(MATCH(Tasks[[#This Row],[_Pred2UID]],Tasks[UID],0),-1))</f>
        <v>0</v>
      </c>
      <c r="CD101" s="42" t="n">
        <f aca="false">IF(N(Tasks[[#This Row],[_Pred3UID]])=0,0,IFERROR(MATCH(Tasks[[#This Row],[_Pred3UID]],Tasks[UID],0),-1))</f>
        <v>0</v>
      </c>
      <c r="CE101" s="42" t="n">
        <f aca="false">IF(N(Tasks[[#This Row],[_Pred4UID]])=0,0,IFERROR(MATCH(Tasks[[#This Row],[_Pred4UID]],Tasks[UID],0),-1))</f>
        <v>0</v>
      </c>
      <c r="CF1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1" s="89" t="n">
        <f aca="false">IF(OR(Tasks[[#This Row],[_ConstraintCode]]=2,Tasks[[#This Row],[_ConstraintCode]]=3,Tasks[[#This Row],[_ConstraintCode]]=4,Tasks[[#This Row],[_ConstraintCode]]=6),Tasks[[#This Row],[_ConstraintStart]],0)</f>
        <v>0</v>
      </c>
      <c r="CI101" s="89" t="n">
        <f aca="false">IF(OR(Tasks[[#This Row],[_ConstraintCode]]=2,Tasks[[#This Row],[_ConstraintCode]]=3,Tasks[[#This Row],[_ConstraintCode]]=5,Tasks[[#This Row],[_ConstraintCode]]=7),Tasks[[#This Row],[_ConstraintStart]],2958465)</f>
        <v>2958465</v>
      </c>
      <c r="CJ1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1" s="89" t="str">
        <f aca="false">IF(NOT(Tasks[[#This Row],[_IsLeaf]]=1),"",IF(N(Tasks[[#This Row],[_Days]])&lt;=0,Tasks[[#This Row],[_LeafCalcStart]],WORKDAY.INTL(Tasks[[#This Row],[_LeafCalcStart]],Tasks[[#This Row],[_Days]]-1,WorkWeek,Holidays)))</f>
        <v/>
      </c>
      <c r="CL1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1" s="42" t="str">
        <f aca="false">IF(Tasks[[#This Row],[_Predecessors]]="","",TRIM(MID(SUBSTITUTE(SUBSTITUTE(SUBSTITUTE(UPPER(Tasks[[#This Row],[_Predecessors]]),";",",")," ",""),",",REPT(" ",99)),1,99)))</f>
        <v/>
      </c>
      <c r="CO101" s="42" t="str">
        <f aca="false">IF(Tasks[[#This Row],[_Pred1Text]]="","",IFERROR(VALUE(LEFT(Tasks[[#This Row],[_Pred1Text]],MIN(FIND("F",Tasks[[#This Row],[_Pred1Text]]&amp;"F"),FIND("S",Tasks[[#This Row],[_Pred1Text]]&amp;"S"),FIND("+",Tasks[[#This Row],[_Pred1Text]]&amp;"+"),FIND("-",Tasks[[#This Row],[_Pred1Text]]&amp;"-"))-1)),""))</f>
        <v/>
      </c>
      <c r="CP1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1" s="42" t="str">
        <f aca="false">IF(Tasks[[#This Row],[_Pred1Text]]="","",TRIM(MID(SUBSTITUTE(SUBSTITUTE(SUBSTITUTE(UPPER(Tasks[[#This Row],[_Predecessors]]),";",",")," ",""),",",REPT(" ",99)),100,99)))</f>
        <v/>
      </c>
      <c r="CS101" s="42" t="str">
        <f aca="false">IF(Tasks[[#This Row],[_Pred2Text]]="","",IFERROR(VALUE(LEFT(Tasks[[#This Row],[_Pred2Text]],MIN(FIND("F",Tasks[[#This Row],[_Pred2Text]]&amp;"F"),FIND("S",Tasks[[#This Row],[_Pred2Text]]&amp;"S"),FIND("+",Tasks[[#This Row],[_Pred2Text]]&amp;"+"),FIND("-",Tasks[[#This Row],[_Pred2Text]]&amp;"-"))-1)),""))</f>
        <v/>
      </c>
      <c r="CT1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1" s="42" t="str">
        <f aca="false">IF(Tasks[[#This Row],[_Pred2Text]]="","",TRIM(MID(SUBSTITUTE(SUBSTITUTE(SUBSTITUTE(UPPER(Tasks[[#This Row],[_Predecessors]]),";",",")," ",""),",",REPT(" ",99)),199,99)))</f>
        <v/>
      </c>
      <c r="CW101" s="42" t="str">
        <f aca="false">IF(Tasks[[#This Row],[_Pred3Text]]="","",IFERROR(VALUE(LEFT(Tasks[[#This Row],[_Pred3Text]],MIN(FIND("F",Tasks[[#This Row],[_Pred3Text]]&amp;"F"),FIND("S",Tasks[[#This Row],[_Pred3Text]]&amp;"S"),FIND("+",Tasks[[#This Row],[_Pred3Text]]&amp;"+"),FIND("-",Tasks[[#This Row],[_Pred3Text]]&amp;"-"))-1)),""))</f>
        <v/>
      </c>
      <c r="CX1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1" s="42" t="str">
        <f aca="false">IF(Tasks[[#This Row],[_Pred3Text]]="","",TRIM(MID(SUBSTITUTE(SUBSTITUTE(SUBSTITUTE(UPPER(Tasks[[#This Row],[_Predecessors]]),";",",")," ",""),",",REPT(" ",99)),298,99)))</f>
        <v/>
      </c>
      <c r="DA101" s="42" t="str">
        <f aca="false">IF(Tasks[[#This Row],[_Pred4Text]]="","",IFERROR(VALUE(LEFT(Tasks[[#This Row],[_Pred4Text]],MIN(FIND("F",Tasks[[#This Row],[_Pred4Text]]&amp;"F"),FIND("S",Tasks[[#This Row],[_Pred4Text]]&amp;"S"),FIND("+",Tasks[[#This Row],[_Pred4Text]]&amp;"+"),FIND("-",Tasks[[#This Row],[_Pred4Text]]&amp;"-"))-1)),""))</f>
        <v/>
      </c>
      <c r="DB1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1" s="42" t="str">
        <f aca="false">IF(OR(Tasks[[#This Row],[Task Name]]="",Tasks[[#This Row],[_Resources]]=""),"",TRIM(MID(SUBSTITUTE(Tasks[[#This Row],[_Resources]],",",REPT(" ",99)),1,99)))</f>
        <v/>
      </c>
      <c r="DE101" s="42" t="str">
        <f aca="false">IF(Tasks[[#This Row],[_Res1Text]]="","",TRIM(MID(SUBSTITUTE(Tasks[[#This Row],[_Resources]],",",REPT(" ",99)),100,99)))</f>
        <v/>
      </c>
      <c r="DF101" s="42" t="str">
        <f aca="false">IF(Tasks[[#This Row],[_Res2Text]]="","",TRIM(MID(SUBSTITUTE(Tasks[[#This Row],[_Resources]],",",REPT(" ",99)),199,99)))</f>
        <v/>
      </c>
      <c r="DG101" s="42" t="str">
        <f aca="false">IF(Tasks[[#This Row],[_Res3Text]]="","",TRIM(MID(SUBSTITUTE(Tasks[[#This Row],[_Resources]],",",REPT(" ",99)),298,99)))</f>
        <v/>
      </c>
      <c r="DH101" s="42" t="n">
        <f aca="false">IF(Tasks[[#This Row],[_Res1Text]]="",0,IFERROR(MATCH(TRIM(LEFT(Tasks[[#This Row],[_Res1Text]],FIND("[",Tasks[[#This Row],[_Res1Text]]&amp;"[")-1)),res_Name,0),IFERROR(MATCH(TRIM(LEFT(Tasks[[#This Row],[_Res1Text]],FIND("[",Tasks[[#This Row],[_Res1Text]]&amp;"[")-1)),res_Initials,0),0)))</f>
        <v>0</v>
      </c>
      <c r="DI101" s="42" t="n">
        <f aca="false">IF(Tasks[[#This Row],[_Res2Text]]="",0,IFERROR(MATCH(TRIM(LEFT(Tasks[[#This Row],[_Res2Text]],FIND("[",Tasks[[#This Row],[_Res2Text]]&amp;"[")-1)),res_Name,0),IFERROR(MATCH(TRIM(LEFT(Tasks[[#This Row],[_Res2Text]],FIND("[",Tasks[[#This Row],[_Res2Text]]&amp;"[")-1)),res_Initials,0),0)))</f>
        <v>0</v>
      </c>
      <c r="DJ101" s="42" t="n">
        <f aca="false">IF(Tasks[[#This Row],[_Res3Text]]="",0,IFERROR(MATCH(TRIM(LEFT(Tasks[[#This Row],[_Res3Text]],FIND("[",Tasks[[#This Row],[_Res3Text]]&amp;"[")-1)),res_Name,0),IFERROR(MATCH(TRIM(LEFT(Tasks[[#This Row],[_Res3Text]],FIND("[",Tasks[[#This Row],[_Res3Text]]&amp;"[")-1)),res_Initials,0),0)))</f>
        <v>0</v>
      </c>
      <c r="DK101" s="42" t="n">
        <f aca="false">IF(Tasks[[#This Row],[_Res4Text]]="",0,IFERROR(MATCH(TRIM(LEFT(Tasks[[#This Row],[_Res4Text]],FIND("[",Tasks[[#This Row],[_Res4Text]]&amp;"[")-1)),res_Name,0),IFERROR(MATCH(TRIM(LEFT(Tasks[[#This Row],[_Res4Text]],FIND("[",Tasks[[#This Row],[_Res4Text]]&amp;"[")-1)),res_Initials,0),0)))</f>
        <v>0</v>
      </c>
      <c r="DL101" s="42" t="str">
        <f aca="false">IF(Tasks[[#This Row],[_Res1Text]]="","",IF(Tasks[[#This Row],[_Res1Row]]&gt;0,INDEX(res_Name,Tasks[[#This Row],[_Res1Row]]),TRIM(LEFT(Tasks[[#This Row],[_Res1Text]],FIND("[",Tasks[[#This Row],[_Res1Text]]&amp;"[")-1))))</f>
        <v/>
      </c>
      <c r="DM1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1" s="42" t="n">
        <f aca="false">IF(NOT(Tasks[[#This Row],[_IsLeaf]]=1),0,(Tasks[[#This Row],[_Resource1]]&lt;&gt;"")+(Tasks[[#This Row],[_Res2]]&lt;&gt;"")+(Tasks[[#This Row],[_Res3]]&lt;&gt;"")+(Tasks[[#This Row],[_Res4]]&lt;&gt;""))</f>
        <v>0</v>
      </c>
      <c r="DO101" s="42" t="str">
        <f aca="false">IF(Tasks[[#This Row],[_Res2Text]]="","",IF(Tasks[[#This Row],[_Res2Row]]&gt;0,INDEX(res_Name,Tasks[[#This Row],[_Res2Row]]),TRIM(LEFT(Tasks[[#This Row],[_Res2Text]],FIND("[",Tasks[[#This Row],[_Res2Text]]&amp;"[")-1))))</f>
        <v/>
      </c>
      <c r="DP1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1" s="42" t="n">
        <f aca="false">IF(OR(NOT(Tasks[[#This Row],[_IsLeaf]]=1),Tasks[[#This Row],[_Res2Row]]=0),0,N(Tasks[[#This Row],[_Days]])*HoursPerDay*IF(Tasks[[#This Row],[_Res2Units]]="",DefaultUnits,Tasks[[#This Row],[_Res2Units]]))</f>
        <v>0</v>
      </c>
      <c r="DR101" s="42" t="n">
        <f aca="false">IF(AND(AND(Tasks[[#This Row],[_IsLeaf]]=1,Tasks[[#This Row],[_LeafTotalWork]]&gt;0),Tasks[[#This Row],[_Res2Work]]&gt;0),Tasks[[#This Row],[_Res2Work]]/(Tasks[[#This Row],[_FinishWorkday]]-Tasks[[#This Row],[_StartWorkday]]+1),0)</f>
        <v>0</v>
      </c>
      <c r="DS101" s="42" t="n">
        <f aca="false">Tasks[[#This Row],[_Res2WorkPerWD]]*MAX(0,Tasks[[#This Row],[_StartWorkday]]-1)</f>
        <v>0</v>
      </c>
      <c r="DT101" s="42" t="n">
        <f aca="false">Tasks[[#This Row],[_Res2Work]]*Tasks[[#This Row],[_LeafProgress]]</f>
        <v>0</v>
      </c>
      <c r="DU101" s="42" t="str">
        <f aca="false">IF(Tasks[[#This Row],[_Res3Text]]="","",IF(Tasks[[#This Row],[_Res3Row]]&gt;0,INDEX(res_Name,Tasks[[#This Row],[_Res3Row]]),TRIM(LEFT(Tasks[[#This Row],[_Res3Text]],FIND("[",Tasks[[#This Row],[_Res3Text]]&amp;"[")-1))))</f>
        <v/>
      </c>
      <c r="DV1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1" s="42" t="n">
        <f aca="false">IF(OR(NOT(Tasks[[#This Row],[_IsLeaf]]=1),Tasks[[#This Row],[_Res3Row]]=0),0,N(Tasks[[#This Row],[_Days]])*HoursPerDay*IF(Tasks[[#This Row],[_Res3Units]]="",DefaultUnits,Tasks[[#This Row],[_Res3Units]]))</f>
        <v>0</v>
      </c>
      <c r="DX101" s="42" t="n">
        <f aca="false">IF(AND(AND(Tasks[[#This Row],[_IsLeaf]]=1,Tasks[[#This Row],[_LeafTotalWork]]&gt;0),Tasks[[#This Row],[_Res3Work]]&gt;0),Tasks[[#This Row],[_Res3Work]]/(Tasks[[#This Row],[_FinishWorkday]]-Tasks[[#This Row],[_StartWorkday]]+1),0)</f>
        <v>0</v>
      </c>
      <c r="DY101" s="42" t="n">
        <f aca="false">Tasks[[#This Row],[_Res3WorkPerWD]]*MAX(0,Tasks[[#This Row],[_StartWorkday]]-1)</f>
        <v>0</v>
      </c>
      <c r="DZ101" s="42" t="n">
        <f aca="false">Tasks[[#This Row],[_Res3Work]]*Tasks[[#This Row],[_LeafProgress]]</f>
        <v>0</v>
      </c>
      <c r="EA101" s="42" t="str">
        <f aca="false">IF(Tasks[[#This Row],[_Res4Text]]="","",IF(Tasks[[#This Row],[_Res4Row]]&gt;0,INDEX(res_Name,Tasks[[#This Row],[_Res4Row]]),TRIM(LEFT(Tasks[[#This Row],[_Res4Text]],FIND("[",Tasks[[#This Row],[_Res4Text]]&amp;"[")-1))))</f>
        <v/>
      </c>
      <c r="EB1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1" s="42" t="n">
        <f aca="false">IF(OR(NOT(Tasks[[#This Row],[_IsLeaf]]=1),Tasks[[#This Row],[_Res4Row]]=0),0,N(Tasks[[#This Row],[_Days]])*HoursPerDay*IF(Tasks[[#This Row],[_Res4Units]]="",DefaultUnits,Tasks[[#This Row],[_Res4Units]]))</f>
        <v>0</v>
      </c>
      <c r="ED101" s="42" t="n">
        <f aca="false">IF(AND(AND(Tasks[[#This Row],[_IsLeaf]]=1,Tasks[[#This Row],[_LeafTotalWork]]&gt;0),Tasks[[#This Row],[_Res4Work]]&gt;0),Tasks[[#This Row],[_Res4Work]]/(Tasks[[#This Row],[_FinishWorkday]]-Tasks[[#This Row],[_StartWorkday]]+1),0)</f>
        <v>0</v>
      </c>
      <c r="EE101" s="42" t="n">
        <f aca="false">Tasks[[#This Row],[_Res4WorkPerWD]]*MAX(0,Tasks[[#This Row],[_StartWorkday]]-1)</f>
        <v>0</v>
      </c>
      <c r="EF101" s="42" t="n">
        <f aca="false">Tasks[[#This Row],[_Res4Work]]*Tasks[[#This Row],[_LeafProgress]]</f>
        <v>0</v>
      </c>
      <c r="EG101" s="42" t="n">
        <f aca="false">IF(ISNUMBER(Tasks[[#This Row],[% Complete]]),Tasks[[#This Row],[% Complete]],IF(Tasks[[#This Row],[Stage]]="",0,IFERROR(INDEX(stg_Pct,MATCH(Tasks[[#This Row],[Stage]],stg_Name,0)),0)))</f>
        <v>0</v>
      </c>
      <c r="EH101" s="42" t="n">
        <f aca="false">IF(NOT(Tasks[[#This Row],[_IsLeaf]]=1),0,IF(N(Tasks[[#This Row],[Actual Finish]])&gt;0,1,MIN(1,Tasks[[#This Row],[_Pct]])))</f>
        <v>0</v>
      </c>
      <c r="EI101" s="42" t="n">
        <f aca="false">IF(OR(NOT(Tasks[[#This Row],[_IsLeaf]]=1),Tasks[[#This Row],[_Res1Row]]=0),0,N(Tasks[[#This Row],[_Days]])*HoursPerDay*IF(Tasks[[#This Row],[_Units1]]="",DefaultUnits,Tasks[[#This Row],[_Units1]]))</f>
        <v>0</v>
      </c>
      <c r="EJ101" s="42" t="n">
        <f aca="false">Tasks[[#This Row],[_LeafWork]]+Tasks[[#This Row],[_Res2Work]]+Tasks[[#This Row],[_Res3Work]]+Tasks[[#This Row],[_Res4Work]]</f>
        <v>0</v>
      </c>
      <c r="EK1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1" s="42" t="n">
        <f aca="false">IF(NOT(Tasks[[#This Row],[_IsLeaf]]=1),0,MAX(_xlfn.MAXIFS(Tasks[_Row],Tasks[_Pred1UID],Tasks[[#This Row],[UID]]),_xlfn.MAXIFS(Tasks[_Row],Tasks[_Pred2UID],Tasks[[#This Row],[UID]]),_xlfn.MAXIFS(Tasks[_Row],Tasks[_Pred3UID],Tasks[[#This Row],[UID]]),_xlfn.MAXIFS(Tasks[_Row],Tasks[_Pred4UID],Tasks[[#This Row],[UID]])))</f>
        <v>0</v>
      </c>
      <c r="ET1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1" s="89" t="str">
        <f aca="false">IF(NOT(Tasks[[#This Row],[_IsLeaf]]=1),"",IF(N(Tasks[[#This Row],[_Days]])&lt;=0,Tasks[[#This Row],[_LeafLateFinish]],WORKDAY.INTL(Tasks[[#This Row],[_LeafLateFinish]],-(Tasks[[#This Row],[_Days]]-1),WorkWeek,Holidays)))</f>
        <v/>
      </c>
      <c r="EW1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1" s="88" t="b">
        <f aca="false">AND(Tasks[[#This Row],[_IsLeaf]]=1,Tasks[[#This Row],[_LeafProgress]]&lt;1,N(Tasks[[#This Row],[_LeafTotalSlack]])&lt;=CriticalSlackDays)</f>
        <v>0</v>
      </c>
      <c r="EY101" s="42" t="n">
        <f aca="false">IF(AND(Tasks[[#This Row],[_IsLeaf]]=1,Tasks[[#This Row],[_ConstraintCode]]=1,Tasks[[#This Row],[Mode]]&lt;&gt;"Manual",N(Tasks[[#This Row],[Actual Start]])=0),MAX(0,N(Tasks[[#This Row],[Free Slack]])),0)</f>
        <v>0</v>
      </c>
      <c r="EZ101" s="89" t="str">
        <f aca="false">IF(NOT(Tasks[[#This Row],[_IsLeaf]]=1),"",IF(Tasks[[#This Row],[_AlapShift]]=0,Tasks[[#This Row],[_LeafCalcStart]],WORKDAY.INTL(Tasks[[#This Row],[_LeafCalcStart]],Tasks[[#This Row],[_AlapShift]],WorkWeek,Holidays)))</f>
        <v/>
      </c>
      <c r="FA101" s="89" t="str">
        <f aca="false">IF(NOT(Tasks[[#This Row],[_IsLeaf]]=1),"",IF(Tasks[[#This Row],[_AlapShift]]=0,Tasks[[#This Row],[_LeafCalcFinish]],WORKDAY.INTL(Tasks[[#This Row],[_LeafCalcFinish]],Tasks[[#This Row],[_AlapShift]],WorkWeek,Holidays)))</f>
        <v/>
      </c>
      <c r="FB101" s="89" t="str">
        <f aca="false">IF(NOT(Tasks[[#This Row],[_IsLeaf]]=1),"",IF(Tasks[[#This Row],[_AlapShift]]=0,Tasks[[#This Row],[_LeafFcstStart]],WORKDAY.INTL(Tasks[[#This Row],[_LeafFcstStart]],Tasks[[#This Row],[_AlapShift]],WorkWeek,Holidays)))</f>
        <v/>
      </c>
      <c r="FC101" s="89" t="str">
        <f aca="false">IF(NOT(Tasks[[#This Row],[_IsLeaf]]=1),"",IF(Tasks[[#This Row],[_AlapShift]]=0,Tasks[[#This Row],[_LeafFcstFinish]],WORKDAY.INTL(Tasks[[#This Row],[_LeafFcstFinish]],Tasks[[#This Row],[_AlapShift]],WorkWeek,Holidays)))</f>
        <v/>
      </c>
      <c r="FD101" s="89" t="str">
        <f aca="false">IF(Tasks[[#This Row],[Task Name]]="","",IF(Tasks[[#This Row],[_IsSummary]],MIN(INDEX(Tasks[_ShownCalcStart],Tasks[[#This Row],[_Row]]+1):INDEX(Tasks[_ShownCalcStart],Tasks[[#This Row],[_Row]]+Tasks[[#This Row],[_Descendants]])),Tasks[[#This Row],[_ShownCalcStart]]))</f>
        <v/>
      </c>
      <c r="FE101" s="89" t="str">
        <f aca="false">IF(Tasks[[#This Row],[Task Name]]="","",IF(Tasks[[#This Row],[_IsSummary]],MAX(INDEX(Tasks[_ShownCalcFinish],Tasks[[#This Row],[_Row]]+1):INDEX(Tasks[_ShownCalcFinish],Tasks[[#This Row],[_Row]]+Tasks[[#This Row],[_Descendants]])),Tasks[[#This Row],[_ShownCalcFinish]]))</f>
        <v/>
      </c>
      <c r="FF1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1" s="42" t="n">
        <f aca="false">IF(AND(Tasks[[#This Row],[_IsLeaf]]=1,Tasks[[#This Row],[_LeafTotalWork]]&gt;0),NETWORKDAYS.INTL(ProjectStart,Tasks[[#This Row],[_ShownFcstStart]],WorkWeek,Holidays),0)</f>
        <v>0</v>
      </c>
      <c r="FS101" s="42" t="n">
        <f aca="false">IF(AND(Tasks[[#This Row],[_IsLeaf]]=1,Tasks[[#This Row],[_LeafTotalWork]]&gt;0),MAX(Tasks[[#This Row],[_StartWorkday]],NETWORKDAYS.INTL(ProjectStart,Tasks[[#This Row],[_ShownFcstFinish]],WorkWeek,Holidays)),0)</f>
        <v>0</v>
      </c>
      <c r="FT101" s="42" t="n">
        <f aca="false">IF(AND(Tasks[[#This Row],[_IsLeaf]]=1,Tasks[[#This Row],[_LeafTotalWork]]&gt;0),Tasks[[#This Row],[_LeafWork]]/(Tasks[[#This Row],[_FinishWorkday]]-Tasks[[#This Row],[_StartWorkday]]+1),0)</f>
        <v>0</v>
      </c>
      <c r="FU101" s="42" t="n">
        <f aca="false">Tasks[[#This Row],[_WorkPerWorkday]]*(Tasks[[#This Row],[_StartWorkday]]-1)</f>
        <v>-0</v>
      </c>
      <c r="FV101" s="42" t="n">
        <f aca="false">IF(Tasks[[#This Row],[_IsLeaf]]=1,MAX(N(Tasks[[#This Row],[_Days]]),0.1),0)</f>
        <v>0</v>
      </c>
      <c r="FW101" s="42" t="n">
        <f aca="false">Tasks[[#This Row],[_WeightDur]]*Tasks[[#This Row],[_LeafProgress]]</f>
        <v>0</v>
      </c>
      <c r="FX101" s="42" t="n">
        <f aca="false">Tasks[[#This Row],[_WeightDur]]*Tasks[[#This Row],[_PlannedPct]]</f>
        <v>0</v>
      </c>
      <c r="FY1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1" s="42" t="str">
        <f aca="false">IF(AND(Tasks[[#This Row],[_IsLeaf]]=1,N(Tasks[[#This Row],[_Days]])=0,Tasks[[#This Row],[_LeafProgress]]&lt;1),Tasks[[#This Row],[_ShownFcstFinish]]+Tasks[[#This Row],[_Row]]/100000,"")</f>
        <v/>
      </c>
      <c r="GA1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1" s="42" t="str">
        <f aca="false">IF(Tasks[[#This Row],[Task Name]]="","",LEFT(Tasks[[#This Row],[WBS]],FIND(".",Tasks[[#This Row],[WBS]]&amp;".")-1))</f>
        <v/>
      </c>
      <c r="GC101" s="42" t="str">
        <f aca="false">IF(AND(Tasks[[#This Row],[Task Name]]&lt;&gt;"",Tasks[[#This Row],[_Level]]=1),Tasks[[#This Row],[_Row]],"")</f>
        <v/>
      </c>
      <c r="GD101" s="42" t="str">
        <f aca="false">IF(AND(Tasks[[#This Row],[_IsLeaf]]=1,N(Tasks[[#This Row],[_Days]])=0),Tasks[[#This Row],[Planned Finish]]+Tasks[[#This Row],[_Row]]/100000,"")</f>
        <v/>
      </c>
      <c r="GE101" s="42" t="str">
        <f aca="false">IF(AND(Tasks[[#This Row],[_IsLeaf]]=1,Tasks[[#This Row],[_LeafProgress]]&lt;1,OR(N(Tasks[[#This Row],[Finish Var]])&gt;0,Tasks[[#This Row],[Status]]="Late Start")),MAX(0,Tasks[[#This Row],[Finish Var]])+1-Tasks[[#This Row],[_Row]]/1000000,"")</f>
        <v/>
      </c>
      <c r="GF101" s="42" t="str">
        <f aca="false">IF(AND(Tasks[[#This Row],[_IsLeaf]]=1,N(Tasks[[#This Row],[Actual Start]])=0,Tasks[[#This Row],[_ShownFcstStart]]&gt;=StatusDate,Tasks[[#This Row],[_ShownFcstStart]]&lt;=LookaheadEnd),Tasks[[#This Row],[_ShownFcstStart]]+Tasks[[#This Row],[_Row]]/100000,"")</f>
        <v/>
      </c>
      <c r="GG101" s="42" t="str">
        <f aca="false">IF(AND(Tasks[[#This Row],[_IsLeaf]]=1,Tasks[[#This Row],[_LeafProgress]]&lt;1,Tasks[[#This Row],[_ShownFcstFinish]]&gt;=StatusDate,Tasks[[#This Row],[_ShownFcstFinish]]&lt;=LookaheadEnd),Tasks[[#This Row],[_ShownFcstFinish]]+Tasks[[#This Row],[_Row]]/100000,"")</f>
        <v/>
      </c>
      <c r="GH101" s="42" t="str">
        <f aca="false">IF(Tasks[[#This Row],[_LeafCritical]],Tasks[[#This Row],[_ShownFcstStart]]+Tasks[[#This Row],[_Row]]/100000,"")</f>
        <v/>
      </c>
      <c r="GI101" s="42" t="n">
        <f aca="false">Tasks[[#This Row],[_LeafWork]]*Tasks[[#This Row],[_LeafProgress]]</f>
        <v>0</v>
      </c>
      <c r="GJ101" s="89" t="str">
        <f aca="false">IF(AND(Tasks[[#This Row],[_IsLeaf]]=1,Tasks[[#This Row],[_LeafProgress]]&gt;=1),IF(N(Tasks[[#This Row],[Actual Finish]])&gt;0,Tasks[[#This Row],[Actual Finish]],Tasks[[#This Row],[_ShownFcstFinish]]),"")</f>
        <v/>
      </c>
      <c r="GK101" s="42" t="n">
        <f aca="false">IF(Tasks[[#This Row],[_IsLeaf]]=1,N(Tasks[[#This Row],[Story Points]]),0)</f>
        <v>0</v>
      </c>
      <c r="GL101" s="42" t="str">
        <f aca="false">""</f>
        <v/>
      </c>
      <c r="GM101" s="88" t="b">
        <f aca="false">IF(Tasks[[#This Row],[Task Name]]="",FALSE(),AND(Tasks[[#This Row],[_IsLeaf]]=1,N(Tasks[[#This Row],[_Days]])=0))</f>
        <v>0</v>
      </c>
      <c r="GN101" s="89" t="n">
        <f aca="false">IF(Tasks[[#This Row],[Task Name]]="",0,IF(AND(Tasks[[#This Row],[_IsLeaf]]=1,NOT(Tasks[[#This Row],[_IsMilestone]]),N(Tasks[[#This Row],[Progress]])&gt;0),Tasks[[#This Row],[Start]],0))</f>
        <v>0</v>
      </c>
      <c r="GO101" s="89" t="n">
        <f aca="false">IF(Tasks[[#This Row],[_DoneFrom]]=0,0,IF(Tasks[[#This Row],[Progress]]&gt;=1,Tasks[[#This Row],[Finish]],MAX(Tasks[[#This Row],[_DoneFrom]],Tasks[[#This Row],[Start]]+ROUND((Tasks[[#This Row],[Finish]]-Tasks[[#This Row],[Start]]+1)*Tasks[[#This Row],[Progress]],0)-1)))</f>
        <v>0</v>
      </c>
      <c r="GP101" s="89" t="n">
        <f aca="false">IF(Tasks[[#This Row],[Task Name]]="",0,IF(OR(NOT(Tasks[[#This Row],[_IsLeaf]]=1),Tasks[[#This Row],[_IsMilestone]],N(Tasks[[#This Row],[Progress]])&gt;=1),0,IF(Tasks[[#This Row],[_DoneTo]]&gt;0,Tasks[[#This Row],[_DoneTo]]+1,Tasks[[#This Row],[Start]])))</f>
        <v>0</v>
      </c>
      <c r="GQ101" s="89" t="n">
        <f aca="false">IF(Tasks[[#This Row],[_RemFrom]]=0,0,Tasks[[#This Row],[Finish]])</f>
        <v>0</v>
      </c>
      <c r="GR101" s="88" t="b">
        <f aca="false">IF(Tasks[[#This Row],[Task Name]]="",FALSE(),OR(NOT(BaselineSet),N(Tasks[[#This Row],[Baseline Start]])&gt;0))</f>
        <v>0</v>
      </c>
      <c r="GS1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1" s="90" t="str">
        <f aca="false">IF(Tasks[[#This Row],[_IsLeaf]]=1,Tasks[[#This Row],[_Row]],"")</f>
        <v/>
      </c>
      <c r="GW101" s="90" t="str">
        <f aca="false">IFERROR(INDEX(Tasks[UID],SMALL(Tasks[_PickKey],Tasks[[#This Row],[_Row]]))&amp;" "&amp;INDEX(Tasks[Task Name],SMALL(Tasks[_PickKey],Tasks[[#This Row],[_Row]])),"")</f>
        <v/>
      </c>
      <c r="GX101" s="42" t="str">
        <f aca="false">IF(Tasks[[#This Row],[Task Name]]="","",IF(Tasks[[#This Row],[_IsSummary]],NETWORKDAYS.INTL(Tasks[[#This Row],[Start]],Tasks[[#This Row],[Finish]],WorkWeek,Holidays),N(Tasks[[#This Row],[_Days]])))</f>
        <v/>
      </c>
    </row>
    <row r="102" customFormat="false" ht="15" hidden="false" customHeight="false" outlineLevel="0" collapsed="false">
      <c r="A102" s="21" t="str">
        <f aca="false">IF(Tasks[[#This Row],[Task Name]]="","",COUNTA(Tasks[[#Headers],[Task Name]]:Tasks[[#This Row],[Task Name]])-1)</f>
        <v/>
      </c>
      <c r="B102" s="22" t="n">
        <v>110</v>
      </c>
      <c r="C102" s="22"/>
      <c r="D102" s="23"/>
      <c r="E102" s="22"/>
      <c r="F102" s="23"/>
      <c r="G102" s="22"/>
      <c r="H102" s="22"/>
      <c r="I102" s="23"/>
      <c r="J102" s="22"/>
      <c r="K102" s="22"/>
      <c r="L102" s="23"/>
      <c r="M102" s="22"/>
      <c r="N102" s="22"/>
      <c r="O102" s="23"/>
      <c r="P102" s="22"/>
      <c r="Q102" s="22"/>
      <c r="R102" s="23"/>
      <c r="S102" s="23"/>
      <c r="T102" s="83"/>
      <c r="U102" s="23"/>
      <c r="V102" s="83"/>
      <c r="W102" s="23"/>
      <c r="X102" s="83"/>
      <c r="Y102" s="23"/>
      <c r="Z102" s="83"/>
      <c r="AA102" s="23"/>
      <c r="AB102" s="23"/>
      <c r="AC102" s="7"/>
      <c r="AD102" s="7"/>
      <c r="AE102" s="62" t="str">
        <f aca="false">IF(Tasks[[#This Row],[Task Name]]="","",IF(Tasks[[#This Row],[_IsSummary]],MIN(INDEX(Tasks[_ShownFcstStart],Tasks[[#This Row],[_Row]]+1):INDEX(Tasks[_ShownFcstStart],Tasks[[#This Row],[_Row]]+Tasks[[#This Row],[_Descendants]])),Tasks[[#This Row],[_ShownFcstStart]]))</f>
        <v/>
      </c>
      <c r="AF102" s="62" t="str">
        <f aca="false">IF(Tasks[[#This Row],[Task Name]]="","",IF(Tasks[[#This Row],[_IsSummary]],MAX(INDEX(Tasks[_ShownFcstFinish],Tasks[[#This Row],[_Row]]+1):INDEX(Tasks[_ShownFcstFinish],Tasks[[#This Row],[_Row]]+Tasks[[#This Row],[_Descendants]])),Tasks[[#This Row],[_ShownFcstFinish]]))</f>
        <v/>
      </c>
      <c r="AG102" s="21" t="str">
        <f aca="false">""</f>
        <v/>
      </c>
      <c r="AH102" s="23"/>
      <c r="AI1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2" s="7"/>
      <c r="AK102" s="22"/>
      <c r="AL102" s="23"/>
      <c r="AM102" s="7"/>
      <c r="AN102" s="46" t="str">
        <f aca="false">IF(Tasks[[#This Row],[Task Name]]="","",IF(Tasks[[#This Row],[Finish]]&gt;=Tasks[[#This Row],[Planned Finish]],NETWORKDAYS.INTL(Tasks[[#This Row],[Planned Finish]],Tasks[[#This Row],[Finish]],WorkWeek,Holidays)-1,1-NETWORKDAYS.INTL(Tasks[[#This Row],[Finish]],Tasks[[#This Row],[Planned Finish]],WorkWeek,Holidays)))</f>
        <v/>
      </c>
      <c r="AO102" s="21" t="str">
        <f aca="false">IF(Tasks[[#This Row],[Task Name]]="","",IF(Tasks[[#This Row],[Progress]]&gt;=1,"Complete",IF(OR(N(Tasks[[#This Row],[Actual Start]])&gt;0,Tasks[[#This Row],[Progress]]&gt;0),IF(Tasks[[#This Row],[Finish Var]]&gt;0,"Behind","In Progress"),IF(Tasks[[#This Row],[Planned Start]]&lt;StatusDate,"Late Start","Not Started"))))</f>
        <v/>
      </c>
      <c r="AP102" s="21" t="str">
        <f aca="false">IF(Tasks[[#This Row],[Task Name]]="","",IF(IF(Tasks[[#This Row],[_IsSummary]],COUNTIF(INDEX(Tasks[_LeafCritical],Tasks[[#This Row],[_Row]]+1):INDEX(Tasks[_LeafCritical],Tasks[[#This Row],[_Row]]+Tasks[[#This Row],[_Descendants]]),TRUE())&gt;0,Tasks[[#This Row],[_LeafCritical]]),"Yes",""))</f>
        <v/>
      </c>
      <c r="AQ102" s="62" t="str">
        <f aca="false">IF(Tasks[[#This Row],[Task Name]]="","",IF(N(Tasks[[#This Row],[Baseline Start]])&gt;0,Tasks[[#This Row],[Baseline Start]],Tasks[[#This Row],[_CalcStart]]))</f>
        <v/>
      </c>
      <c r="AR102" s="62" t="str">
        <f aca="false">IF(Tasks[[#This Row],[Task Name]]="","",IF(N(Tasks[[#This Row],[Baseline Finish]])&gt;0,Tasks[[#This Row],[Baseline Finish]],Tasks[[#This Row],[_CalcFinish]]))</f>
        <v/>
      </c>
      <c r="AS102" s="46" t="str">
        <f aca="false">IF(Tasks[[#This Row],[Task Name]]="","",IF(Tasks[[#This Row],[Start]]&gt;=Tasks[[#This Row],[Planned Start]],NETWORKDAYS.INTL(Tasks[[#This Row],[Planned Start]],Tasks[[#This Row],[Start]],WorkWeek,Holidays)-1,1-NETWORKDAYS.INTL(Tasks[[#This Row],[Start]],Tasks[[#This Row],[Planned Start]],WorkWeek,Holidays)))</f>
        <v/>
      </c>
      <c r="AT102" s="62" t="str">
        <f aca="false">IF(Tasks[[#This Row],[Task Name]]="","",IF(Tasks[[#This Row],[_IsSummary]],MIN(INDEX(Tasks[_LeafLateStart],Tasks[[#This Row],[_Row]]+1):INDEX(Tasks[_LeafLateStart],Tasks[[#This Row],[_Row]]+Tasks[[#This Row],[_Descendants]])),Tasks[[#This Row],[_LeafLateStart]]))</f>
        <v/>
      </c>
      <c r="AU102" s="62" t="str">
        <f aca="false">IF(Tasks[[#This Row],[Task Name]]="","",IF(Tasks[[#This Row],[_IsSummary]],MAX(INDEX(Tasks[_LeafLateFinish],Tasks[[#This Row],[_Row]]+1):INDEX(Tasks[_LeafLateFinish],Tasks[[#This Row],[_Row]]+Tasks[[#This Row],[_Descendants]])),Tasks[[#This Row],[_LeafLateFinish]]))</f>
        <v/>
      </c>
      <c r="AV102" s="46" t="str">
        <f aca="false">IF(Tasks[[#This Row],[Task Name]]="","",IF(Tasks[[#This Row],[_IsSummary]],MIN(INDEX(Tasks[_LeafTotalSlack],Tasks[[#This Row],[_Row]]+1):INDEX(Tasks[_LeafTotalSlack],Tasks[[#This Row],[_Row]]+Tasks[[#This Row],[_Descendants]])),Tasks[[#This Row],[_LeafTotalSlack]]))</f>
        <v/>
      </c>
      <c r="AW1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4"/>
      <c r="BA1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t="str">
        <f aca="false">IF(Tasks[[#This Row],[Task Name]]="","",IF(Tasks[[#This Row],[_Level]]&lt;=OutlineShowLevel,"Yes","No"))</f>
        <v/>
      </c>
      <c r="BE102" s="85" t="str">
        <f aca="false">IF(Tasks[[#This Row],[Task Name]]="","",IF(Tasks[[#This Row],[_IsSummary]],SUM(INDEX(Tasks[_LeafTotalWork],Tasks[[#This Row],[_Row]]+1):INDEX(Tasks[_LeafTotalWork],Tasks[[#This Row],[_Row]]+Tasks[[#This Row],[_Descendants]])),Tasks[[#This Row],[_LeafTotalWork]]))</f>
        <v/>
      </c>
      <c r="BF102" s="23"/>
      <c r="BG1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t="str">
        <f aca="false">""</f>
        <v/>
      </c>
      <c r="BI102" s="86"/>
      <c r="BJ102" s="22"/>
      <c r="BK102" s="46" t="str">
        <f aca="false">IF(OR(Tasks[[#This Row],[Task Name]]="",Tasks[[#This Row],[Baseline Duration]]=""),"",Tasks[[#This Row],[_SpanDays]]-N(Tasks[[#This Row],[Baseline Duration]]))</f>
        <v/>
      </c>
      <c r="BL102" s="85" t="str">
        <f aca="false">IF(OR(Tasks[[#This Row],[Task Name]]="",Tasks[[#This Row],[Baseline Work]]=""),"",Tasks[[#This Row],[Work]]-N(Tasks[[#This Row],[Baseline Work]]))</f>
        <v/>
      </c>
      <c r="BM102" s="62" t="str">
        <f aca="false">IF(Tasks[[#This Row],[Task Name]]="","",IF(OR(TakeBaseline="Yes",N(Tasks[[#This Row],[Baseline Start]])=0),Tasks[[#This Row],[Start]],Tasks[[#This Row],[Baseline Start]]))</f>
        <v/>
      </c>
      <c r="BN102" s="62" t="str">
        <f aca="false">IF(Tasks[[#This Row],[Task Name]]="","",IF(OR(TakeBaseline="Yes",N(Tasks[[#This Row],[Baseline Finish]])=0),Tasks[[#This Row],[Finish]],Tasks[[#This Row],[Baseline Finish]]))</f>
        <v/>
      </c>
      <c r="BO102" s="21" t="str">
        <f aca="false">IF(Tasks[[#This Row],[Task Name]]="","",IF(OR(TakeBaseline="Yes",N(Tasks[[#This Row],[Baseline Duration]])=0),Tasks[[#This Row],[_SpanDays]],Tasks[[#This Row],[Baseline Duration]]))</f>
        <v/>
      </c>
      <c r="BP102" s="85" t="str">
        <f aca="false">IF(Tasks[[#This Row],[Task Name]]="","",IF(OR(TakeBaseline="Yes",N(Tasks[[#This Row],[Baseline Work]])=0),Tasks[[#This Row],[Work]],Tasks[[#This Row],[Baseline Work]]))</f>
        <v/>
      </c>
      <c r="BQ102" s="7"/>
      <c r="BR102" s="7"/>
      <c r="BS102" s="22"/>
      <c r="BT102" s="87"/>
      <c r="BU102" s="42" t="str">
        <f aca="false">IF(Tasks[[#This Row],[Task Name]]="","",MAX(1,N(Tasks[[#This Row],[Level]])))</f>
        <v/>
      </c>
      <c r="BV102" s="42" t="n">
        <f aca="false">ROW()-ROW(Tasks[[#Headers],[ID]])</f>
        <v>97</v>
      </c>
      <c r="BW102" s="42" t="n">
        <f aca="false">IF(OR(Tasks[[#This Row],[Task Name]]="",Tasks[[#This Row],[_Level]]&lt;=1),0,IFERROR(LOOKUP(2,1/(Tasks[[#Headers],[_Level]]:Tasks[[#This Row],[_Level]]=Tasks[[#This Row],[_Level]]-1),ROW(Tasks[[#Headers],[_Level]]:Tasks[[#This Row],[_Level]])),0))</f>
        <v>0</v>
      </c>
      <c r="BX102" s="42" t="n">
        <f aca="false">IFERROR(N(INDEX(Tasks[_Level],Tasks[[#This Row],[_Row]]+1)),0)</f>
        <v>0</v>
      </c>
      <c r="BY102" s="88" t="b">
        <f aca="false">AND(Tasks[[#This Row],[Task Name]]&lt;&gt;"",Tasks[[#This Row],[_NextLevel]]&gt;Tasks[[#This Row],[_Level]])</f>
        <v>0</v>
      </c>
      <c r="BZ102" s="42" t="n">
        <f aca="false">IF(Tasks[[#This Row],[_IsSummary]],COUNTIF(Tasks[WBS],Tasks[[#This Row],[WBS]]&amp;".*"),0)</f>
        <v>0</v>
      </c>
      <c r="CA102" s="42" t="n">
        <f aca="false">IF(AND(Tasks[[#This Row],[Task Name]]&lt;&gt;"",NOT(Tasks[[#This Row],[_IsSummary]])),1,0)</f>
        <v>0</v>
      </c>
      <c r="CB102" s="42" t="n">
        <f aca="false">IF(N(Tasks[[#This Row],[_Pred1UID]])=0,0,IFERROR(MATCH(Tasks[[#This Row],[_Pred1UID]],Tasks[UID],0),-1))</f>
        <v>0</v>
      </c>
      <c r="CC102" s="42" t="n">
        <f aca="false">IF(N(Tasks[[#This Row],[_Pred2UID]])=0,0,IFERROR(MATCH(Tasks[[#This Row],[_Pred2UID]],Tasks[UID],0),-1))</f>
        <v>0</v>
      </c>
      <c r="CD102" s="42" t="n">
        <f aca="false">IF(N(Tasks[[#This Row],[_Pred3UID]])=0,0,IFERROR(MATCH(Tasks[[#This Row],[_Pred3UID]],Tasks[UID],0),-1))</f>
        <v>0</v>
      </c>
      <c r="CE102" s="42" t="n">
        <f aca="false">IF(N(Tasks[[#This Row],[_Pred4UID]])=0,0,IFERROR(MATCH(Tasks[[#This Row],[_Pred4UID]],Tasks[UID],0),-1))</f>
        <v>0</v>
      </c>
      <c r="CF1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2" s="89" t="n">
        <f aca="false">IF(OR(Tasks[[#This Row],[_ConstraintCode]]=2,Tasks[[#This Row],[_ConstraintCode]]=3,Tasks[[#This Row],[_ConstraintCode]]=4,Tasks[[#This Row],[_ConstraintCode]]=6),Tasks[[#This Row],[_ConstraintStart]],0)</f>
        <v>0</v>
      </c>
      <c r="CI102" s="89" t="n">
        <f aca="false">IF(OR(Tasks[[#This Row],[_ConstraintCode]]=2,Tasks[[#This Row],[_ConstraintCode]]=3,Tasks[[#This Row],[_ConstraintCode]]=5,Tasks[[#This Row],[_ConstraintCode]]=7),Tasks[[#This Row],[_ConstraintStart]],2958465)</f>
        <v>2958465</v>
      </c>
      <c r="CJ1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2" s="89" t="str">
        <f aca="false">IF(NOT(Tasks[[#This Row],[_IsLeaf]]=1),"",IF(N(Tasks[[#This Row],[_Days]])&lt;=0,Tasks[[#This Row],[_LeafCalcStart]],WORKDAY.INTL(Tasks[[#This Row],[_LeafCalcStart]],Tasks[[#This Row],[_Days]]-1,WorkWeek,Holidays)))</f>
        <v/>
      </c>
      <c r="CL1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2" s="42" t="str">
        <f aca="false">IF(Tasks[[#This Row],[_Predecessors]]="","",TRIM(MID(SUBSTITUTE(SUBSTITUTE(SUBSTITUTE(UPPER(Tasks[[#This Row],[_Predecessors]]),";",",")," ",""),",",REPT(" ",99)),1,99)))</f>
        <v/>
      </c>
      <c r="CO102" s="42" t="str">
        <f aca="false">IF(Tasks[[#This Row],[_Pred1Text]]="","",IFERROR(VALUE(LEFT(Tasks[[#This Row],[_Pred1Text]],MIN(FIND("F",Tasks[[#This Row],[_Pred1Text]]&amp;"F"),FIND("S",Tasks[[#This Row],[_Pred1Text]]&amp;"S"),FIND("+",Tasks[[#This Row],[_Pred1Text]]&amp;"+"),FIND("-",Tasks[[#This Row],[_Pred1Text]]&amp;"-"))-1)),""))</f>
        <v/>
      </c>
      <c r="CP1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2" s="42" t="str">
        <f aca="false">IF(Tasks[[#This Row],[_Pred1Text]]="","",TRIM(MID(SUBSTITUTE(SUBSTITUTE(SUBSTITUTE(UPPER(Tasks[[#This Row],[_Predecessors]]),";",",")," ",""),",",REPT(" ",99)),100,99)))</f>
        <v/>
      </c>
      <c r="CS102" s="42" t="str">
        <f aca="false">IF(Tasks[[#This Row],[_Pred2Text]]="","",IFERROR(VALUE(LEFT(Tasks[[#This Row],[_Pred2Text]],MIN(FIND("F",Tasks[[#This Row],[_Pred2Text]]&amp;"F"),FIND("S",Tasks[[#This Row],[_Pred2Text]]&amp;"S"),FIND("+",Tasks[[#This Row],[_Pred2Text]]&amp;"+"),FIND("-",Tasks[[#This Row],[_Pred2Text]]&amp;"-"))-1)),""))</f>
        <v/>
      </c>
      <c r="CT1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2" s="42" t="str">
        <f aca="false">IF(Tasks[[#This Row],[_Pred2Text]]="","",TRIM(MID(SUBSTITUTE(SUBSTITUTE(SUBSTITUTE(UPPER(Tasks[[#This Row],[_Predecessors]]),";",",")," ",""),",",REPT(" ",99)),199,99)))</f>
        <v/>
      </c>
      <c r="CW102" s="42" t="str">
        <f aca="false">IF(Tasks[[#This Row],[_Pred3Text]]="","",IFERROR(VALUE(LEFT(Tasks[[#This Row],[_Pred3Text]],MIN(FIND("F",Tasks[[#This Row],[_Pred3Text]]&amp;"F"),FIND("S",Tasks[[#This Row],[_Pred3Text]]&amp;"S"),FIND("+",Tasks[[#This Row],[_Pred3Text]]&amp;"+"),FIND("-",Tasks[[#This Row],[_Pred3Text]]&amp;"-"))-1)),""))</f>
        <v/>
      </c>
      <c r="CX1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2" s="42" t="str">
        <f aca="false">IF(Tasks[[#This Row],[_Pred3Text]]="","",TRIM(MID(SUBSTITUTE(SUBSTITUTE(SUBSTITUTE(UPPER(Tasks[[#This Row],[_Predecessors]]),";",",")," ",""),",",REPT(" ",99)),298,99)))</f>
        <v/>
      </c>
      <c r="DA102" s="42" t="str">
        <f aca="false">IF(Tasks[[#This Row],[_Pred4Text]]="","",IFERROR(VALUE(LEFT(Tasks[[#This Row],[_Pred4Text]],MIN(FIND("F",Tasks[[#This Row],[_Pred4Text]]&amp;"F"),FIND("S",Tasks[[#This Row],[_Pred4Text]]&amp;"S"),FIND("+",Tasks[[#This Row],[_Pred4Text]]&amp;"+"),FIND("-",Tasks[[#This Row],[_Pred4Text]]&amp;"-"))-1)),""))</f>
        <v/>
      </c>
      <c r="DB1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2" s="42" t="str">
        <f aca="false">IF(OR(Tasks[[#This Row],[Task Name]]="",Tasks[[#This Row],[_Resources]]=""),"",TRIM(MID(SUBSTITUTE(Tasks[[#This Row],[_Resources]],",",REPT(" ",99)),1,99)))</f>
        <v/>
      </c>
      <c r="DE102" s="42" t="str">
        <f aca="false">IF(Tasks[[#This Row],[_Res1Text]]="","",TRIM(MID(SUBSTITUTE(Tasks[[#This Row],[_Resources]],",",REPT(" ",99)),100,99)))</f>
        <v/>
      </c>
      <c r="DF102" s="42" t="str">
        <f aca="false">IF(Tasks[[#This Row],[_Res2Text]]="","",TRIM(MID(SUBSTITUTE(Tasks[[#This Row],[_Resources]],",",REPT(" ",99)),199,99)))</f>
        <v/>
      </c>
      <c r="DG102" s="42" t="str">
        <f aca="false">IF(Tasks[[#This Row],[_Res3Text]]="","",TRIM(MID(SUBSTITUTE(Tasks[[#This Row],[_Resources]],",",REPT(" ",99)),298,99)))</f>
        <v/>
      </c>
      <c r="DH102" s="42" t="n">
        <f aca="false">IF(Tasks[[#This Row],[_Res1Text]]="",0,IFERROR(MATCH(TRIM(LEFT(Tasks[[#This Row],[_Res1Text]],FIND("[",Tasks[[#This Row],[_Res1Text]]&amp;"[")-1)),res_Name,0),IFERROR(MATCH(TRIM(LEFT(Tasks[[#This Row],[_Res1Text]],FIND("[",Tasks[[#This Row],[_Res1Text]]&amp;"[")-1)),res_Initials,0),0)))</f>
        <v>0</v>
      </c>
      <c r="DI102" s="42" t="n">
        <f aca="false">IF(Tasks[[#This Row],[_Res2Text]]="",0,IFERROR(MATCH(TRIM(LEFT(Tasks[[#This Row],[_Res2Text]],FIND("[",Tasks[[#This Row],[_Res2Text]]&amp;"[")-1)),res_Name,0),IFERROR(MATCH(TRIM(LEFT(Tasks[[#This Row],[_Res2Text]],FIND("[",Tasks[[#This Row],[_Res2Text]]&amp;"[")-1)),res_Initials,0),0)))</f>
        <v>0</v>
      </c>
      <c r="DJ102" s="42" t="n">
        <f aca="false">IF(Tasks[[#This Row],[_Res3Text]]="",0,IFERROR(MATCH(TRIM(LEFT(Tasks[[#This Row],[_Res3Text]],FIND("[",Tasks[[#This Row],[_Res3Text]]&amp;"[")-1)),res_Name,0),IFERROR(MATCH(TRIM(LEFT(Tasks[[#This Row],[_Res3Text]],FIND("[",Tasks[[#This Row],[_Res3Text]]&amp;"[")-1)),res_Initials,0),0)))</f>
        <v>0</v>
      </c>
      <c r="DK102" s="42" t="n">
        <f aca="false">IF(Tasks[[#This Row],[_Res4Text]]="",0,IFERROR(MATCH(TRIM(LEFT(Tasks[[#This Row],[_Res4Text]],FIND("[",Tasks[[#This Row],[_Res4Text]]&amp;"[")-1)),res_Name,0),IFERROR(MATCH(TRIM(LEFT(Tasks[[#This Row],[_Res4Text]],FIND("[",Tasks[[#This Row],[_Res4Text]]&amp;"[")-1)),res_Initials,0),0)))</f>
        <v>0</v>
      </c>
      <c r="DL102" s="42" t="str">
        <f aca="false">IF(Tasks[[#This Row],[_Res1Text]]="","",IF(Tasks[[#This Row],[_Res1Row]]&gt;0,INDEX(res_Name,Tasks[[#This Row],[_Res1Row]]),TRIM(LEFT(Tasks[[#This Row],[_Res1Text]],FIND("[",Tasks[[#This Row],[_Res1Text]]&amp;"[")-1))))</f>
        <v/>
      </c>
      <c r="DM1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2" s="42" t="n">
        <f aca="false">IF(NOT(Tasks[[#This Row],[_IsLeaf]]=1),0,(Tasks[[#This Row],[_Resource1]]&lt;&gt;"")+(Tasks[[#This Row],[_Res2]]&lt;&gt;"")+(Tasks[[#This Row],[_Res3]]&lt;&gt;"")+(Tasks[[#This Row],[_Res4]]&lt;&gt;""))</f>
        <v>0</v>
      </c>
      <c r="DO102" s="42" t="str">
        <f aca="false">IF(Tasks[[#This Row],[_Res2Text]]="","",IF(Tasks[[#This Row],[_Res2Row]]&gt;0,INDEX(res_Name,Tasks[[#This Row],[_Res2Row]]),TRIM(LEFT(Tasks[[#This Row],[_Res2Text]],FIND("[",Tasks[[#This Row],[_Res2Text]]&amp;"[")-1))))</f>
        <v/>
      </c>
      <c r="DP1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2" s="42" t="n">
        <f aca="false">IF(OR(NOT(Tasks[[#This Row],[_IsLeaf]]=1),Tasks[[#This Row],[_Res2Row]]=0),0,N(Tasks[[#This Row],[_Days]])*HoursPerDay*IF(Tasks[[#This Row],[_Res2Units]]="",DefaultUnits,Tasks[[#This Row],[_Res2Units]]))</f>
        <v>0</v>
      </c>
      <c r="DR102" s="42" t="n">
        <f aca="false">IF(AND(AND(Tasks[[#This Row],[_IsLeaf]]=1,Tasks[[#This Row],[_LeafTotalWork]]&gt;0),Tasks[[#This Row],[_Res2Work]]&gt;0),Tasks[[#This Row],[_Res2Work]]/(Tasks[[#This Row],[_FinishWorkday]]-Tasks[[#This Row],[_StartWorkday]]+1),0)</f>
        <v>0</v>
      </c>
      <c r="DS102" s="42" t="n">
        <f aca="false">Tasks[[#This Row],[_Res2WorkPerWD]]*MAX(0,Tasks[[#This Row],[_StartWorkday]]-1)</f>
        <v>0</v>
      </c>
      <c r="DT102" s="42" t="n">
        <f aca="false">Tasks[[#This Row],[_Res2Work]]*Tasks[[#This Row],[_LeafProgress]]</f>
        <v>0</v>
      </c>
      <c r="DU102" s="42" t="str">
        <f aca="false">IF(Tasks[[#This Row],[_Res3Text]]="","",IF(Tasks[[#This Row],[_Res3Row]]&gt;0,INDEX(res_Name,Tasks[[#This Row],[_Res3Row]]),TRIM(LEFT(Tasks[[#This Row],[_Res3Text]],FIND("[",Tasks[[#This Row],[_Res3Text]]&amp;"[")-1))))</f>
        <v/>
      </c>
      <c r="DV1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2" s="42" t="n">
        <f aca="false">IF(OR(NOT(Tasks[[#This Row],[_IsLeaf]]=1),Tasks[[#This Row],[_Res3Row]]=0),0,N(Tasks[[#This Row],[_Days]])*HoursPerDay*IF(Tasks[[#This Row],[_Res3Units]]="",DefaultUnits,Tasks[[#This Row],[_Res3Units]]))</f>
        <v>0</v>
      </c>
      <c r="DX102" s="42" t="n">
        <f aca="false">IF(AND(AND(Tasks[[#This Row],[_IsLeaf]]=1,Tasks[[#This Row],[_LeafTotalWork]]&gt;0),Tasks[[#This Row],[_Res3Work]]&gt;0),Tasks[[#This Row],[_Res3Work]]/(Tasks[[#This Row],[_FinishWorkday]]-Tasks[[#This Row],[_StartWorkday]]+1),0)</f>
        <v>0</v>
      </c>
      <c r="DY102" s="42" t="n">
        <f aca="false">Tasks[[#This Row],[_Res3WorkPerWD]]*MAX(0,Tasks[[#This Row],[_StartWorkday]]-1)</f>
        <v>0</v>
      </c>
      <c r="DZ102" s="42" t="n">
        <f aca="false">Tasks[[#This Row],[_Res3Work]]*Tasks[[#This Row],[_LeafProgress]]</f>
        <v>0</v>
      </c>
      <c r="EA102" s="42" t="str">
        <f aca="false">IF(Tasks[[#This Row],[_Res4Text]]="","",IF(Tasks[[#This Row],[_Res4Row]]&gt;0,INDEX(res_Name,Tasks[[#This Row],[_Res4Row]]),TRIM(LEFT(Tasks[[#This Row],[_Res4Text]],FIND("[",Tasks[[#This Row],[_Res4Text]]&amp;"[")-1))))</f>
        <v/>
      </c>
      <c r="EB1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2" s="42" t="n">
        <f aca="false">IF(OR(NOT(Tasks[[#This Row],[_IsLeaf]]=1),Tasks[[#This Row],[_Res4Row]]=0),0,N(Tasks[[#This Row],[_Days]])*HoursPerDay*IF(Tasks[[#This Row],[_Res4Units]]="",DefaultUnits,Tasks[[#This Row],[_Res4Units]]))</f>
        <v>0</v>
      </c>
      <c r="ED102" s="42" t="n">
        <f aca="false">IF(AND(AND(Tasks[[#This Row],[_IsLeaf]]=1,Tasks[[#This Row],[_LeafTotalWork]]&gt;0),Tasks[[#This Row],[_Res4Work]]&gt;0),Tasks[[#This Row],[_Res4Work]]/(Tasks[[#This Row],[_FinishWorkday]]-Tasks[[#This Row],[_StartWorkday]]+1),0)</f>
        <v>0</v>
      </c>
      <c r="EE102" s="42" t="n">
        <f aca="false">Tasks[[#This Row],[_Res4WorkPerWD]]*MAX(0,Tasks[[#This Row],[_StartWorkday]]-1)</f>
        <v>0</v>
      </c>
      <c r="EF102" s="42" t="n">
        <f aca="false">Tasks[[#This Row],[_Res4Work]]*Tasks[[#This Row],[_LeafProgress]]</f>
        <v>0</v>
      </c>
      <c r="EG102" s="42" t="n">
        <f aca="false">IF(ISNUMBER(Tasks[[#This Row],[% Complete]]),Tasks[[#This Row],[% Complete]],IF(Tasks[[#This Row],[Stage]]="",0,IFERROR(INDEX(stg_Pct,MATCH(Tasks[[#This Row],[Stage]],stg_Name,0)),0)))</f>
        <v>0</v>
      </c>
      <c r="EH102" s="42" t="n">
        <f aca="false">IF(NOT(Tasks[[#This Row],[_IsLeaf]]=1),0,IF(N(Tasks[[#This Row],[Actual Finish]])&gt;0,1,MIN(1,Tasks[[#This Row],[_Pct]])))</f>
        <v>0</v>
      </c>
      <c r="EI102" s="42" t="n">
        <f aca="false">IF(OR(NOT(Tasks[[#This Row],[_IsLeaf]]=1),Tasks[[#This Row],[_Res1Row]]=0),0,N(Tasks[[#This Row],[_Days]])*HoursPerDay*IF(Tasks[[#This Row],[_Units1]]="",DefaultUnits,Tasks[[#This Row],[_Units1]]))</f>
        <v>0</v>
      </c>
      <c r="EJ102" s="42" t="n">
        <f aca="false">Tasks[[#This Row],[_LeafWork]]+Tasks[[#This Row],[_Res2Work]]+Tasks[[#This Row],[_Res3Work]]+Tasks[[#This Row],[_Res4Work]]</f>
        <v>0</v>
      </c>
      <c r="EK1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2" s="42" t="n">
        <f aca="false">IF(NOT(Tasks[[#This Row],[_IsLeaf]]=1),0,MAX(_xlfn.MAXIFS(Tasks[_Row],Tasks[_Pred1UID],Tasks[[#This Row],[UID]]),_xlfn.MAXIFS(Tasks[_Row],Tasks[_Pred2UID],Tasks[[#This Row],[UID]]),_xlfn.MAXIFS(Tasks[_Row],Tasks[_Pred3UID],Tasks[[#This Row],[UID]]),_xlfn.MAXIFS(Tasks[_Row],Tasks[_Pred4UID],Tasks[[#This Row],[UID]])))</f>
        <v>0</v>
      </c>
      <c r="ET1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2" s="89" t="str">
        <f aca="false">IF(NOT(Tasks[[#This Row],[_IsLeaf]]=1),"",IF(N(Tasks[[#This Row],[_Days]])&lt;=0,Tasks[[#This Row],[_LeafLateFinish]],WORKDAY.INTL(Tasks[[#This Row],[_LeafLateFinish]],-(Tasks[[#This Row],[_Days]]-1),WorkWeek,Holidays)))</f>
        <v/>
      </c>
      <c r="EW1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2" s="88" t="b">
        <f aca="false">AND(Tasks[[#This Row],[_IsLeaf]]=1,Tasks[[#This Row],[_LeafProgress]]&lt;1,N(Tasks[[#This Row],[_LeafTotalSlack]])&lt;=CriticalSlackDays)</f>
        <v>0</v>
      </c>
      <c r="EY102" s="42" t="n">
        <f aca="false">IF(AND(Tasks[[#This Row],[_IsLeaf]]=1,Tasks[[#This Row],[_ConstraintCode]]=1,Tasks[[#This Row],[Mode]]&lt;&gt;"Manual",N(Tasks[[#This Row],[Actual Start]])=0),MAX(0,N(Tasks[[#This Row],[Free Slack]])),0)</f>
        <v>0</v>
      </c>
      <c r="EZ102" s="89" t="str">
        <f aca="false">IF(NOT(Tasks[[#This Row],[_IsLeaf]]=1),"",IF(Tasks[[#This Row],[_AlapShift]]=0,Tasks[[#This Row],[_LeafCalcStart]],WORKDAY.INTL(Tasks[[#This Row],[_LeafCalcStart]],Tasks[[#This Row],[_AlapShift]],WorkWeek,Holidays)))</f>
        <v/>
      </c>
      <c r="FA102" s="89" t="str">
        <f aca="false">IF(NOT(Tasks[[#This Row],[_IsLeaf]]=1),"",IF(Tasks[[#This Row],[_AlapShift]]=0,Tasks[[#This Row],[_LeafCalcFinish]],WORKDAY.INTL(Tasks[[#This Row],[_LeafCalcFinish]],Tasks[[#This Row],[_AlapShift]],WorkWeek,Holidays)))</f>
        <v/>
      </c>
      <c r="FB102" s="89" t="str">
        <f aca="false">IF(NOT(Tasks[[#This Row],[_IsLeaf]]=1),"",IF(Tasks[[#This Row],[_AlapShift]]=0,Tasks[[#This Row],[_LeafFcstStart]],WORKDAY.INTL(Tasks[[#This Row],[_LeafFcstStart]],Tasks[[#This Row],[_AlapShift]],WorkWeek,Holidays)))</f>
        <v/>
      </c>
      <c r="FC102" s="89" t="str">
        <f aca="false">IF(NOT(Tasks[[#This Row],[_IsLeaf]]=1),"",IF(Tasks[[#This Row],[_AlapShift]]=0,Tasks[[#This Row],[_LeafFcstFinish]],WORKDAY.INTL(Tasks[[#This Row],[_LeafFcstFinish]],Tasks[[#This Row],[_AlapShift]],WorkWeek,Holidays)))</f>
        <v/>
      </c>
      <c r="FD102" s="89" t="str">
        <f aca="false">IF(Tasks[[#This Row],[Task Name]]="","",IF(Tasks[[#This Row],[_IsSummary]],MIN(INDEX(Tasks[_ShownCalcStart],Tasks[[#This Row],[_Row]]+1):INDEX(Tasks[_ShownCalcStart],Tasks[[#This Row],[_Row]]+Tasks[[#This Row],[_Descendants]])),Tasks[[#This Row],[_ShownCalcStart]]))</f>
        <v/>
      </c>
      <c r="FE102" s="89" t="str">
        <f aca="false">IF(Tasks[[#This Row],[Task Name]]="","",IF(Tasks[[#This Row],[_IsSummary]],MAX(INDEX(Tasks[_ShownCalcFinish],Tasks[[#This Row],[_Row]]+1):INDEX(Tasks[_ShownCalcFinish],Tasks[[#This Row],[_Row]]+Tasks[[#This Row],[_Descendants]])),Tasks[[#This Row],[_ShownCalcFinish]]))</f>
        <v/>
      </c>
      <c r="FF1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2" s="42" t="n">
        <f aca="false">IF(AND(Tasks[[#This Row],[_IsLeaf]]=1,Tasks[[#This Row],[_LeafTotalWork]]&gt;0),NETWORKDAYS.INTL(ProjectStart,Tasks[[#This Row],[_ShownFcstStart]],WorkWeek,Holidays),0)</f>
        <v>0</v>
      </c>
      <c r="FS102" s="42" t="n">
        <f aca="false">IF(AND(Tasks[[#This Row],[_IsLeaf]]=1,Tasks[[#This Row],[_LeafTotalWork]]&gt;0),MAX(Tasks[[#This Row],[_StartWorkday]],NETWORKDAYS.INTL(ProjectStart,Tasks[[#This Row],[_ShownFcstFinish]],WorkWeek,Holidays)),0)</f>
        <v>0</v>
      </c>
      <c r="FT102" s="42" t="n">
        <f aca="false">IF(AND(Tasks[[#This Row],[_IsLeaf]]=1,Tasks[[#This Row],[_LeafTotalWork]]&gt;0),Tasks[[#This Row],[_LeafWork]]/(Tasks[[#This Row],[_FinishWorkday]]-Tasks[[#This Row],[_StartWorkday]]+1),0)</f>
        <v>0</v>
      </c>
      <c r="FU102" s="42" t="n">
        <f aca="false">Tasks[[#This Row],[_WorkPerWorkday]]*(Tasks[[#This Row],[_StartWorkday]]-1)</f>
        <v>-0</v>
      </c>
      <c r="FV102" s="42" t="n">
        <f aca="false">IF(Tasks[[#This Row],[_IsLeaf]]=1,MAX(N(Tasks[[#This Row],[_Days]]),0.1),0)</f>
        <v>0</v>
      </c>
      <c r="FW102" s="42" t="n">
        <f aca="false">Tasks[[#This Row],[_WeightDur]]*Tasks[[#This Row],[_LeafProgress]]</f>
        <v>0</v>
      </c>
      <c r="FX102" s="42" t="n">
        <f aca="false">Tasks[[#This Row],[_WeightDur]]*Tasks[[#This Row],[_PlannedPct]]</f>
        <v>0</v>
      </c>
      <c r="FY1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2" s="42" t="str">
        <f aca="false">IF(AND(Tasks[[#This Row],[_IsLeaf]]=1,N(Tasks[[#This Row],[_Days]])=0,Tasks[[#This Row],[_LeafProgress]]&lt;1),Tasks[[#This Row],[_ShownFcstFinish]]+Tasks[[#This Row],[_Row]]/100000,"")</f>
        <v/>
      </c>
      <c r="GA1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2" s="42" t="str">
        <f aca="false">IF(Tasks[[#This Row],[Task Name]]="","",LEFT(Tasks[[#This Row],[WBS]],FIND(".",Tasks[[#This Row],[WBS]]&amp;".")-1))</f>
        <v/>
      </c>
      <c r="GC102" s="42" t="str">
        <f aca="false">IF(AND(Tasks[[#This Row],[Task Name]]&lt;&gt;"",Tasks[[#This Row],[_Level]]=1),Tasks[[#This Row],[_Row]],"")</f>
        <v/>
      </c>
      <c r="GD102" s="42" t="str">
        <f aca="false">IF(AND(Tasks[[#This Row],[_IsLeaf]]=1,N(Tasks[[#This Row],[_Days]])=0),Tasks[[#This Row],[Planned Finish]]+Tasks[[#This Row],[_Row]]/100000,"")</f>
        <v/>
      </c>
      <c r="GE102" s="42" t="str">
        <f aca="false">IF(AND(Tasks[[#This Row],[_IsLeaf]]=1,Tasks[[#This Row],[_LeafProgress]]&lt;1,OR(N(Tasks[[#This Row],[Finish Var]])&gt;0,Tasks[[#This Row],[Status]]="Late Start")),MAX(0,Tasks[[#This Row],[Finish Var]])+1-Tasks[[#This Row],[_Row]]/1000000,"")</f>
        <v/>
      </c>
      <c r="GF102" s="42" t="str">
        <f aca="false">IF(AND(Tasks[[#This Row],[_IsLeaf]]=1,N(Tasks[[#This Row],[Actual Start]])=0,Tasks[[#This Row],[_ShownFcstStart]]&gt;=StatusDate,Tasks[[#This Row],[_ShownFcstStart]]&lt;=LookaheadEnd),Tasks[[#This Row],[_ShownFcstStart]]+Tasks[[#This Row],[_Row]]/100000,"")</f>
        <v/>
      </c>
      <c r="GG102" s="42" t="str">
        <f aca="false">IF(AND(Tasks[[#This Row],[_IsLeaf]]=1,Tasks[[#This Row],[_LeafProgress]]&lt;1,Tasks[[#This Row],[_ShownFcstFinish]]&gt;=StatusDate,Tasks[[#This Row],[_ShownFcstFinish]]&lt;=LookaheadEnd),Tasks[[#This Row],[_ShownFcstFinish]]+Tasks[[#This Row],[_Row]]/100000,"")</f>
        <v/>
      </c>
      <c r="GH102" s="42" t="str">
        <f aca="false">IF(Tasks[[#This Row],[_LeafCritical]],Tasks[[#This Row],[_ShownFcstStart]]+Tasks[[#This Row],[_Row]]/100000,"")</f>
        <v/>
      </c>
      <c r="GI102" s="42" t="n">
        <f aca="false">Tasks[[#This Row],[_LeafWork]]*Tasks[[#This Row],[_LeafProgress]]</f>
        <v>0</v>
      </c>
      <c r="GJ102" s="89" t="str">
        <f aca="false">IF(AND(Tasks[[#This Row],[_IsLeaf]]=1,Tasks[[#This Row],[_LeafProgress]]&gt;=1),IF(N(Tasks[[#This Row],[Actual Finish]])&gt;0,Tasks[[#This Row],[Actual Finish]],Tasks[[#This Row],[_ShownFcstFinish]]),"")</f>
        <v/>
      </c>
      <c r="GK102" s="42" t="n">
        <f aca="false">IF(Tasks[[#This Row],[_IsLeaf]]=1,N(Tasks[[#This Row],[Story Points]]),0)</f>
        <v>0</v>
      </c>
      <c r="GL102" s="42" t="str">
        <f aca="false">""</f>
        <v/>
      </c>
      <c r="GM102" s="88" t="b">
        <f aca="false">IF(Tasks[[#This Row],[Task Name]]="",FALSE(),AND(Tasks[[#This Row],[_IsLeaf]]=1,N(Tasks[[#This Row],[_Days]])=0))</f>
        <v>0</v>
      </c>
      <c r="GN102" s="89" t="n">
        <f aca="false">IF(Tasks[[#This Row],[Task Name]]="",0,IF(AND(Tasks[[#This Row],[_IsLeaf]]=1,NOT(Tasks[[#This Row],[_IsMilestone]]),N(Tasks[[#This Row],[Progress]])&gt;0),Tasks[[#This Row],[Start]],0))</f>
        <v>0</v>
      </c>
      <c r="GO102" s="89" t="n">
        <f aca="false">IF(Tasks[[#This Row],[_DoneFrom]]=0,0,IF(Tasks[[#This Row],[Progress]]&gt;=1,Tasks[[#This Row],[Finish]],MAX(Tasks[[#This Row],[_DoneFrom]],Tasks[[#This Row],[Start]]+ROUND((Tasks[[#This Row],[Finish]]-Tasks[[#This Row],[Start]]+1)*Tasks[[#This Row],[Progress]],0)-1)))</f>
        <v>0</v>
      </c>
      <c r="GP102" s="89" t="n">
        <f aca="false">IF(Tasks[[#This Row],[Task Name]]="",0,IF(OR(NOT(Tasks[[#This Row],[_IsLeaf]]=1),Tasks[[#This Row],[_IsMilestone]],N(Tasks[[#This Row],[Progress]])&gt;=1),0,IF(Tasks[[#This Row],[_DoneTo]]&gt;0,Tasks[[#This Row],[_DoneTo]]+1,Tasks[[#This Row],[Start]])))</f>
        <v>0</v>
      </c>
      <c r="GQ102" s="89" t="n">
        <f aca="false">IF(Tasks[[#This Row],[_RemFrom]]=0,0,Tasks[[#This Row],[Finish]])</f>
        <v>0</v>
      </c>
      <c r="GR102" s="88" t="b">
        <f aca="false">IF(Tasks[[#This Row],[Task Name]]="",FALSE(),OR(NOT(BaselineSet),N(Tasks[[#This Row],[Baseline Start]])&gt;0))</f>
        <v>0</v>
      </c>
      <c r="GS1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2" s="90" t="str">
        <f aca="false">IF(Tasks[[#This Row],[_IsLeaf]]=1,Tasks[[#This Row],[_Row]],"")</f>
        <v/>
      </c>
      <c r="GW102" s="90" t="str">
        <f aca="false">IFERROR(INDEX(Tasks[UID],SMALL(Tasks[_PickKey],Tasks[[#This Row],[_Row]]))&amp;" "&amp;INDEX(Tasks[Task Name],SMALL(Tasks[_PickKey],Tasks[[#This Row],[_Row]])),"")</f>
        <v/>
      </c>
      <c r="GX102" s="42" t="str">
        <f aca="false">IF(Tasks[[#This Row],[Task Name]]="","",IF(Tasks[[#This Row],[_IsSummary]],NETWORKDAYS.INTL(Tasks[[#This Row],[Start]],Tasks[[#This Row],[Finish]],WorkWeek,Holidays),N(Tasks[[#This Row],[_Days]])))</f>
        <v/>
      </c>
    </row>
    <row r="103" customFormat="false" ht="15" hidden="false" customHeight="false" outlineLevel="0" collapsed="false">
      <c r="A103" s="21" t="str">
        <f aca="false">IF(Tasks[[#This Row],[Task Name]]="","",COUNTA(Tasks[[#Headers],[Task Name]]:Tasks[[#This Row],[Task Name]])-1)</f>
        <v/>
      </c>
      <c r="B103" s="22" t="n">
        <v>111</v>
      </c>
      <c r="C103" s="22"/>
      <c r="D103" s="23"/>
      <c r="E103" s="22"/>
      <c r="F103" s="23"/>
      <c r="G103" s="22"/>
      <c r="H103" s="22"/>
      <c r="I103" s="23"/>
      <c r="J103" s="22"/>
      <c r="K103" s="22"/>
      <c r="L103" s="23"/>
      <c r="M103" s="22"/>
      <c r="N103" s="22"/>
      <c r="O103" s="23"/>
      <c r="P103" s="22"/>
      <c r="Q103" s="22"/>
      <c r="R103" s="23"/>
      <c r="S103" s="23"/>
      <c r="T103" s="83"/>
      <c r="U103" s="23"/>
      <c r="V103" s="83"/>
      <c r="W103" s="23"/>
      <c r="X103" s="83"/>
      <c r="Y103" s="23"/>
      <c r="Z103" s="83"/>
      <c r="AA103" s="23"/>
      <c r="AB103" s="23"/>
      <c r="AC103" s="7"/>
      <c r="AD103" s="7"/>
      <c r="AE103" s="62" t="str">
        <f aca="false">IF(Tasks[[#This Row],[Task Name]]="","",IF(Tasks[[#This Row],[_IsSummary]],MIN(INDEX(Tasks[_ShownFcstStart],Tasks[[#This Row],[_Row]]+1):INDEX(Tasks[_ShownFcstStart],Tasks[[#This Row],[_Row]]+Tasks[[#This Row],[_Descendants]])),Tasks[[#This Row],[_ShownFcstStart]]))</f>
        <v/>
      </c>
      <c r="AF103" s="62" t="str">
        <f aca="false">IF(Tasks[[#This Row],[Task Name]]="","",IF(Tasks[[#This Row],[_IsSummary]],MAX(INDEX(Tasks[_ShownFcstFinish],Tasks[[#This Row],[_Row]]+1):INDEX(Tasks[_ShownFcstFinish],Tasks[[#This Row],[_Row]]+Tasks[[#This Row],[_Descendants]])),Tasks[[#This Row],[_ShownFcstFinish]]))</f>
        <v/>
      </c>
      <c r="AG103" s="21" t="str">
        <f aca="false">""</f>
        <v/>
      </c>
      <c r="AH103" s="23"/>
      <c r="AI1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3" s="7"/>
      <c r="AK103" s="22"/>
      <c r="AL103" s="23"/>
      <c r="AM103" s="7"/>
      <c r="AN103" s="46" t="str">
        <f aca="false">IF(Tasks[[#This Row],[Task Name]]="","",IF(Tasks[[#This Row],[Finish]]&gt;=Tasks[[#This Row],[Planned Finish]],NETWORKDAYS.INTL(Tasks[[#This Row],[Planned Finish]],Tasks[[#This Row],[Finish]],WorkWeek,Holidays)-1,1-NETWORKDAYS.INTL(Tasks[[#This Row],[Finish]],Tasks[[#This Row],[Planned Finish]],WorkWeek,Holidays)))</f>
        <v/>
      </c>
      <c r="AO103" s="21" t="str">
        <f aca="false">IF(Tasks[[#This Row],[Task Name]]="","",IF(Tasks[[#This Row],[Progress]]&gt;=1,"Complete",IF(OR(N(Tasks[[#This Row],[Actual Start]])&gt;0,Tasks[[#This Row],[Progress]]&gt;0),IF(Tasks[[#This Row],[Finish Var]]&gt;0,"Behind","In Progress"),IF(Tasks[[#This Row],[Planned Start]]&lt;StatusDate,"Late Start","Not Started"))))</f>
        <v/>
      </c>
      <c r="AP103" s="21" t="str">
        <f aca="false">IF(Tasks[[#This Row],[Task Name]]="","",IF(IF(Tasks[[#This Row],[_IsSummary]],COUNTIF(INDEX(Tasks[_LeafCritical],Tasks[[#This Row],[_Row]]+1):INDEX(Tasks[_LeafCritical],Tasks[[#This Row],[_Row]]+Tasks[[#This Row],[_Descendants]]),TRUE())&gt;0,Tasks[[#This Row],[_LeafCritical]]),"Yes",""))</f>
        <v/>
      </c>
      <c r="AQ103" s="62" t="str">
        <f aca="false">IF(Tasks[[#This Row],[Task Name]]="","",IF(N(Tasks[[#This Row],[Baseline Start]])&gt;0,Tasks[[#This Row],[Baseline Start]],Tasks[[#This Row],[_CalcStart]]))</f>
        <v/>
      </c>
      <c r="AR103" s="62" t="str">
        <f aca="false">IF(Tasks[[#This Row],[Task Name]]="","",IF(N(Tasks[[#This Row],[Baseline Finish]])&gt;0,Tasks[[#This Row],[Baseline Finish]],Tasks[[#This Row],[_CalcFinish]]))</f>
        <v/>
      </c>
      <c r="AS103" s="46" t="str">
        <f aca="false">IF(Tasks[[#This Row],[Task Name]]="","",IF(Tasks[[#This Row],[Start]]&gt;=Tasks[[#This Row],[Planned Start]],NETWORKDAYS.INTL(Tasks[[#This Row],[Planned Start]],Tasks[[#This Row],[Start]],WorkWeek,Holidays)-1,1-NETWORKDAYS.INTL(Tasks[[#This Row],[Start]],Tasks[[#This Row],[Planned Start]],WorkWeek,Holidays)))</f>
        <v/>
      </c>
      <c r="AT103" s="62" t="str">
        <f aca="false">IF(Tasks[[#This Row],[Task Name]]="","",IF(Tasks[[#This Row],[_IsSummary]],MIN(INDEX(Tasks[_LeafLateStart],Tasks[[#This Row],[_Row]]+1):INDEX(Tasks[_LeafLateStart],Tasks[[#This Row],[_Row]]+Tasks[[#This Row],[_Descendants]])),Tasks[[#This Row],[_LeafLateStart]]))</f>
        <v/>
      </c>
      <c r="AU103" s="62" t="str">
        <f aca="false">IF(Tasks[[#This Row],[Task Name]]="","",IF(Tasks[[#This Row],[_IsSummary]],MAX(INDEX(Tasks[_LeafLateFinish],Tasks[[#This Row],[_Row]]+1):INDEX(Tasks[_LeafLateFinish],Tasks[[#This Row],[_Row]]+Tasks[[#This Row],[_Descendants]])),Tasks[[#This Row],[_LeafLateFinish]]))</f>
        <v/>
      </c>
      <c r="AV103" s="46" t="str">
        <f aca="false">IF(Tasks[[#This Row],[Task Name]]="","",IF(Tasks[[#This Row],[_IsSummary]],MIN(INDEX(Tasks[_LeafTotalSlack],Tasks[[#This Row],[_Row]]+1):INDEX(Tasks[_LeafTotalSlack],Tasks[[#This Row],[_Row]]+Tasks[[#This Row],[_Descendants]])),Tasks[[#This Row],[_LeafTotalSlack]]))</f>
        <v/>
      </c>
      <c r="AW1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4"/>
      <c r="BA1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t="str">
        <f aca="false">IF(Tasks[[#This Row],[Task Name]]="","",IF(Tasks[[#This Row],[_Level]]&lt;=OutlineShowLevel,"Yes","No"))</f>
        <v/>
      </c>
      <c r="BE103" s="85" t="str">
        <f aca="false">IF(Tasks[[#This Row],[Task Name]]="","",IF(Tasks[[#This Row],[_IsSummary]],SUM(INDEX(Tasks[_LeafTotalWork],Tasks[[#This Row],[_Row]]+1):INDEX(Tasks[_LeafTotalWork],Tasks[[#This Row],[_Row]]+Tasks[[#This Row],[_Descendants]])),Tasks[[#This Row],[_LeafTotalWork]]))</f>
        <v/>
      </c>
      <c r="BF103" s="23"/>
      <c r="BG1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t="str">
        <f aca="false">""</f>
        <v/>
      </c>
      <c r="BI103" s="86"/>
      <c r="BJ103" s="22"/>
      <c r="BK103" s="46" t="str">
        <f aca="false">IF(OR(Tasks[[#This Row],[Task Name]]="",Tasks[[#This Row],[Baseline Duration]]=""),"",Tasks[[#This Row],[_SpanDays]]-N(Tasks[[#This Row],[Baseline Duration]]))</f>
        <v/>
      </c>
      <c r="BL103" s="85" t="str">
        <f aca="false">IF(OR(Tasks[[#This Row],[Task Name]]="",Tasks[[#This Row],[Baseline Work]]=""),"",Tasks[[#This Row],[Work]]-N(Tasks[[#This Row],[Baseline Work]]))</f>
        <v/>
      </c>
      <c r="BM103" s="62" t="str">
        <f aca="false">IF(Tasks[[#This Row],[Task Name]]="","",IF(OR(TakeBaseline="Yes",N(Tasks[[#This Row],[Baseline Start]])=0),Tasks[[#This Row],[Start]],Tasks[[#This Row],[Baseline Start]]))</f>
        <v/>
      </c>
      <c r="BN103" s="62" t="str">
        <f aca="false">IF(Tasks[[#This Row],[Task Name]]="","",IF(OR(TakeBaseline="Yes",N(Tasks[[#This Row],[Baseline Finish]])=0),Tasks[[#This Row],[Finish]],Tasks[[#This Row],[Baseline Finish]]))</f>
        <v/>
      </c>
      <c r="BO103" s="21" t="str">
        <f aca="false">IF(Tasks[[#This Row],[Task Name]]="","",IF(OR(TakeBaseline="Yes",N(Tasks[[#This Row],[Baseline Duration]])=0),Tasks[[#This Row],[_SpanDays]],Tasks[[#This Row],[Baseline Duration]]))</f>
        <v/>
      </c>
      <c r="BP103" s="85" t="str">
        <f aca="false">IF(Tasks[[#This Row],[Task Name]]="","",IF(OR(TakeBaseline="Yes",N(Tasks[[#This Row],[Baseline Work]])=0),Tasks[[#This Row],[Work]],Tasks[[#This Row],[Baseline Work]]))</f>
        <v/>
      </c>
      <c r="BQ103" s="7"/>
      <c r="BR103" s="7"/>
      <c r="BS103" s="22"/>
      <c r="BT103" s="87"/>
      <c r="BU103" s="42" t="str">
        <f aca="false">IF(Tasks[[#This Row],[Task Name]]="","",MAX(1,N(Tasks[[#This Row],[Level]])))</f>
        <v/>
      </c>
      <c r="BV103" s="42" t="n">
        <f aca="false">ROW()-ROW(Tasks[[#Headers],[ID]])</f>
        <v>98</v>
      </c>
      <c r="BW103" s="42" t="n">
        <f aca="false">IF(OR(Tasks[[#This Row],[Task Name]]="",Tasks[[#This Row],[_Level]]&lt;=1),0,IFERROR(LOOKUP(2,1/(Tasks[[#Headers],[_Level]]:Tasks[[#This Row],[_Level]]=Tasks[[#This Row],[_Level]]-1),ROW(Tasks[[#Headers],[_Level]]:Tasks[[#This Row],[_Level]])),0))</f>
        <v>0</v>
      </c>
      <c r="BX103" s="42" t="n">
        <f aca="false">IFERROR(N(INDEX(Tasks[_Level],Tasks[[#This Row],[_Row]]+1)),0)</f>
        <v>0</v>
      </c>
      <c r="BY103" s="88" t="b">
        <f aca="false">AND(Tasks[[#This Row],[Task Name]]&lt;&gt;"",Tasks[[#This Row],[_NextLevel]]&gt;Tasks[[#This Row],[_Level]])</f>
        <v>0</v>
      </c>
      <c r="BZ103" s="42" t="n">
        <f aca="false">IF(Tasks[[#This Row],[_IsSummary]],COUNTIF(Tasks[WBS],Tasks[[#This Row],[WBS]]&amp;".*"),0)</f>
        <v>0</v>
      </c>
      <c r="CA103" s="42" t="n">
        <f aca="false">IF(AND(Tasks[[#This Row],[Task Name]]&lt;&gt;"",NOT(Tasks[[#This Row],[_IsSummary]])),1,0)</f>
        <v>0</v>
      </c>
      <c r="CB103" s="42" t="n">
        <f aca="false">IF(N(Tasks[[#This Row],[_Pred1UID]])=0,0,IFERROR(MATCH(Tasks[[#This Row],[_Pred1UID]],Tasks[UID],0),-1))</f>
        <v>0</v>
      </c>
      <c r="CC103" s="42" t="n">
        <f aca="false">IF(N(Tasks[[#This Row],[_Pred2UID]])=0,0,IFERROR(MATCH(Tasks[[#This Row],[_Pred2UID]],Tasks[UID],0),-1))</f>
        <v>0</v>
      </c>
      <c r="CD103" s="42" t="n">
        <f aca="false">IF(N(Tasks[[#This Row],[_Pred3UID]])=0,0,IFERROR(MATCH(Tasks[[#This Row],[_Pred3UID]],Tasks[UID],0),-1))</f>
        <v>0</v>
      </c>
      <c r="CE103" s="42" t="n">
        <f aca="false">IF(N(Tasks[[#This Row],[_Pred4UID]])=0,0,IFERROR(MATCH(Tasks[[#This Row],[_Pred4UID]],Tasks[UID],0),-1))</f>
        <v>0</v>
      </c>
      <c r="CF1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3" s="89" t="n">
        <f aca="false">IF(OR(Tasks[[#This Row],[_ConstraintCode]]=2,Tasks[[#This Row],[_ConstraintCode]]=3,Tasks[[#This Row],[_ConstraintCode]]=4,Tasks[[#This Row],[_ConstraintCode]]=6),Tasks[[#This Row],[_ConstraintStart]],0)</f>
        <v>0</v>
      </c>
      <c r="CI103" s="89" t="n">
        <f aca="false">IF(OR(Tasks[[#This Row],[_ConstraintCode]]=2,Tasks[[#This Row],[_ConstraintCode]]=3,Tasks[[#This Row],[_ConstraintCode]]=5,Tasks[[#This Row],[_ConstraintCode]]=7),Tasks[[#This Row],[_ConstraintStart]],2958465)</f>
        <v>2958465</v>
      </c>
      <c r="CJ1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3" s="89" t="str">
        <f aca="false">IF(NOT(Tasks[[#This Row],[_IsLeaf]]=1),"",IF(N(Tasks[[#This Row],[_Days]])&lt;=0,Tasks[[#This Row],[_LeafCalcStart]],WORKDAY.INTL(Tasks[[#This Row],[_LeafCalcStart]],Tasks[[#This Row],[_Days]]-1,WorkWeek,Holidays)))</f>
        <v/>
      </c>
      <c r="CL1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3" s="42" t="str">
        <f aca="false">IF(Tasks[[#This Row],[_Predecessors]]="","",TRIM(MID(SUBSTITUTE(SUBSTITUTE(SUBSTITUTE(UPPER(Tasks[[#This Row],[_Predecessors]]),";",",")," ",""),",",REPT(" ",99)),1,99)))</f>
        <v/>
      </c>
      <c r="CO103" s="42" t="str">
        <f aca="false">IF(Tasks[[#This Row],[_Pred1Text]]="","",IFERROR(VALUE(LEFT(Tasks[[#This Row],[_Pred1Text]],MIN(FIND("F",Tasks[[#This Row],[_Pred1Text]]&amp;"F"),FIND("S",Tasks[[#This Row],[_Pred1Text]]&amp;"S"),FIND("+",Tasks[[#This Row],[_Pred1Text]]&amp;"+"),FIND("-",Tasks[[#This Row],[_Pred1Text]]&amp;"-"))-1)),""))</f>
        <v/>
      </c>
      <c r="CP1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3" s="42" t="str">
        <f aca="false">IF(Tasks[[#This Row],[_Pred1Text]]="","",TRIM(MID(SUBSTITUTE(SUBSTITUTE(SUBSTITUTE(UPPER(Tasks[[#This Row],[_Predecessors]]),";",",")," ",""),",",REPT(" ",99)),100,99)))</f>
        <v/>
      </c>
      <c r="CS103" s="42" t="str">
        <f aca="false">IF(Tasks[[#This Row],[_Pred2Text]]="","",IFERROR(VALUE(LEFT(Tasks[[#This Row],[_Pred2Text]],MIN(FIND("F",Tasks[[#This Row],[_Pred2Text]]&amp;"F"),FIND("S",Tasks[[#This Row],[_Pred2Text]]&amp;"S"),FIND("+",Tasks[[#This Row],[_Pred2Text]]&amp;"+"),FIND("-",Tasks[[#This Row],[_Pred2Text]]&amp;"-"))-1)),""))</f>
        <v/>
      </c>
      <c r="CT1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3" s="42" t="str">
        <f aca="false">IF(Tasks[[#This Row],[_Pred2Text]]="","",TRIM(MID(SUBSTITUTE(SUBSTITUTE(SUBSTITUTE(UPPER(Tasks[[#This Row],[_Predecessors]]),";",",")," ",""),",",REPT(" ",99)),199,99)))</f>
        <v/>
      </c>
      <c r="CW103" s="42" t="str">
        <f aca="false">IF(Tasks[[#This Row],[_Pred3Text]]="","",IFERROR(VALUE(LEFT(Tasks[[#This Row],[_Pred3Text]],MIN(FIND("F",Tasks[[#This Row],[_Pred3Text]]&amp;"F"),FIND("S",Tasks[[#This Row],[_Pred3Text]]&amp;"S"),FIND("+",Tasks[[#This Row],[_Pred3Text]]&amp;"+"),FIND("-",Tasks[[#This Row],[_Pred3Text]]&amp;"-"))-1)),""))</f>
        <v/>
      </c>
      <c r="CX1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3" s="42" t="str">
        <f aca="false">IF(Tasks[[#This Row],[_Pred3Text]]="","",TRIM(MID(SUBSTITUTE(SUBSTITUTE(SUBSTITUTE(UPPER(Tasks[[#This Row],[_Predecessors]]),";",",")," ",""),",",REPT(" ",99)),298,99)))</f>
        <v/>
      </c>
      <c r="DA103" s="42" t="str">
        <f aca="false">IF(Tasks[[#This Row],[_Pred4Text]]="","",IFERROR(VALUE(LEFT(Tasks[[#This Row],[_Pred4Text]],MIN(FIND("F",Tasks[[#This Row],[_Pred4Text]]&amp;"F"),FIND("S",Tasks[[#This Row],[_Pred4Text]]&amp;"S"),FIND("+",Tasks[[#This Row],[_Pred4Text]]&amp;"+"),FIND("-",Tasks[[#This Row],[_Pred4Text]]&amp;"-"))-1)),""))</f>
        <v/>
      </c>
      <c r="DB1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3" s="42" t="str">
        <f aca="false">IF(OR(Tasks[[#This Row],[Task Name]]="",Tasks[[#This Row],[_Resources]]=""),"",TRIM(MID(SUBSTITUTE(Tasks[[#This Row],[_Resources]],",",REPT(" ",99)),1,99)))</f>
        <v/>
      </c>
      <c r="DE103" s="42" t="str">
        <f aca="false">IF(Tasks[[#This Row],[_Res1Text]]="","",TRIM(MID(SUBSTITUTE(Tasks[[#This Row],[_Resources]],",",REPT(" ",99)),100,99)))</f>
        <v/>
      </c>
      <c r="DF103" s="42" t="str">
        <f aca="false">IF(Tasks[[#This Row],[_Res2Text]]="","",TRIM(MID(SUBSTITUTE(Tasks[[#This Row],[_Resources]],",",REPT(" ",99)),199,99)))</f>
        <v/>
      </c>
      <c r="DG103" s="42" t="str">
        <f aca="false">IF(Tasks[[#This Row],[_Res3Text]]="","",TRIM(MID(SUBSTITUTE(Tasks[[#This Row],[_Resources]],",",REPT(" ",99)),298,99)))</f>
        <v/>
      </c>
      <c r="DH103" s="42" t="n">
        <f aca="false">IF(Tasks[[#This Row],[_Res1Text]]="",0,IFERROR(MATCH(TRIM(LEFT(Tasks[[#This Row],[_Res1Text]],FIND("[",Tasks[[#This Row],[_Res1Text]]&amp;"[")-1)),res_Name,0),IFERROR(MATCH(TRIM(LEFT(Tasks[[#This Row],[_Res1Text]],FIND("[",Tasks[[#This Row],[_Res1Text]]&amp;"[")-1)),res_Initials,0),0)))</f>
        <v>0</v>
      </c>
      <c r="DI103" s="42" t="n">
        <f aca="false">IF(Tasks[[#This Row],[_Res2Text]]="",0,IFERROR(MATCH(TRIM(LEFT(Tasks[[#This Row],[_Res2Text]],FIND("[",Tasks[[#This Row],[_Res2Text]]&amp;"[")-1)),res_Name,0),IFERROR(MATCH(TRIM(LEFT(Tasks[[#This Row],[_Res2Text]],FIND("[",Tasks[[#This Row],[_Res2Text]]&amp;"[")-1)),res_Initials,0),0)))</f>
        <v>0</v>
      </c>
      <c r="DJ103" s="42" t="n">
        <f aca="false">IF(Tasks[[#This Row],[_Res3Text]]="",0,IFERROR(MATCH(TRIM(LEFT(Tasks[[#This Row],[_Res3Text]],FIND("[",Tasks[[#This Row],[_Res3Text]]&amp;"[")-1)),res_Name,0),IFERROR(MATCH(TRIM(LEFT(Tasks[[#This Row],[_Res3Text]],FIND("[",Tasks[[#This Row],[_Res3Text]]&amp;"[")-1)),res_Initials,0),0)))</f>
        <v>0</v>
      </c>
      <c r="DK103" s="42" t="n">
        <f aca="false">IF(Tasks[[#This Row],[_Res4Text]]="",0,IFERROR(MATCH(TRIM(LEFT(Tasks[[#This Row],[_Res4Text]],FIND("[",Tasks[[#This Row],[_Res4Text]]&amp;"[")-1)),res_Name,0),IFERROR(MATCH(TRIM(LEFT(Tasks[[#This Row],[_Res4Text]],FIND("[",Tasks[[#This Row],[_Res4Text]]&amp;"[")-1)),res_Initials,0),0)))</f>
        <v>0</v>
      </c>
      <c r="DL103" s="42" t="str">
        <f aca="false">IF(Tasks[[#This Row],[_Res1Text]]="","",IF(Tasks[[#This Row],[_Res1Row]]&gt;0,INDEX(res_Name,Tasks[[#This Row],[_Res1Row]]),TRIM(LEFT(Tasks[[#This Row],[_Res1Text]],FIND("[",Tasks[[#This Row],[_Res1Text]]&amp;"[")-1))))</f>
        <v/>
      </c>
      <c r="DM1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3" s="42" t="n">
        <f aca="false">IF(NOT(Tasks[[#This Row],[_IsLeaf]]=1),0,(Tasks[[#This Row],[_Resource1]]&lt;&gt;"")+(Tasks[[#This Row],[_Res2]]&lt;&gt;"")+(Tasks[[#This Row],[_Res3]]&lt;&gt;"")+(Tasks[[#This Row],[_Res4]]&lt;&gt;""))</f>
        <v>0</v>
      </c>
      <c r="DO103" s="42" t="str">
        <f aca="false">IF(Tasks[[#This Row],[_Res2Text]]="","",IF(Tasks[[#This Row],[_Res2Row]]&gt;0,INDEX(res_Name,Tasks[[#This Row],[_Res2Row]]),TRIM(LEFT(Tasks[[#This Row],[_Res2Text]],FIND("[",Tasks[[#This Row],[_Res2Text]]&amp;"[")-1))))</f>
        <v/>
      </c>
      <c r="DP1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3" s="42" t="n">
        <f aca="false">IF(OR(NOT(Tasks[[#This Row],[_IsLeaf]]=1),Tasks[[#This Row],[_Res2Row]]=0),0,N(Tasks[[#This Row],[_Days]])*HoursPerDay*IF(Tasks[[#This Row],[_Res2Units]]="",DefaultUnits,Tasks[[#This Row],[_Res2Units]]))</f>
        <v>0</v>
      </c>
      <c r="DR103" s="42" t="n">
        <f aca="false">IF(AND(AND(Tasks[[#This Row],[_IsLeaf]]=1,Tasks[[#This Row],[_LeafTotalWork]]&gt;0),Tasks[[#This Row],[_Res2Work]]&gt;0),Tasks[[#This Row],[_Res2Work]]/(Tasks[[#This Row],[_FinishWorkday]]-Tasks[[#This Row],[_StartWorkday]]+1),0)</f>
        <v>0</v>
      </c>
      <c r="DS103" s="42" t="n">
        <f aca="false">Tasks[[#This Row],[_Res2WorkPerWD]]*MAX(0,Tasks[[#This Row],[_StartWorkday]]-1)</f>
        <v>0</v>
      </c>
      <c r="DT103" s="42" t="n">
        <f aca="false">Tasks[[#This Row],[_Res2Work]]*Tasks[[#This Row],[_LeafProgress]]</f>
        <v>0</v>
      </c>
      <c r="DU103" s="42" t="str">
        <f aca="false">IF(Tasks[[#This Row],[_Res3Text]]="","",IF(Tasks[[#This Row],[_Res3Row]]&gt;0,INDEX(res_Name,Tasks[[#This Row],[_Res3Row]]),TRIM(LEFT(Tasks[[#This Row],[_Res3Text]],FIND("[",Tasks[[#This Row],[_Res3Text]]&amp;"[")-1))))</f>
        <v/>
      </c>
      <c r="DV1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3" s="42" t="n">
        <f aca="false">IF(OR(NOT(Tasks[[#This Row],[_IsLeaf]]=1),Tasks[[#This Row],[_Res3Row]]=0),0,N(Tasks[[#This Row],[_Days]])*HoursPerDay*IF(Tasks[[#This Row],[_Res3Units]]="",DefaultUnits,Tasks[[#This Row],[_Res3Units]]))</f>
        <v>0</v>
      </c>
      <c r="DX103" s="42" t="n">
        <f aca="false">IF(AND(AND(Tasks[[#This Row],[_IsLeaf]]=1,Tasks[[#This Row],[_LeafTotalWork]]&gt;0),Tasks[[#This Row],[_Res3Work]]&gt;0),Tasks[[#This Row],[_Res3Work]]/(Tasks[[#This Row],[_FinishWorkday]]-Tasks[[#This Row],[_StartWorkday]]+1),0)</f>
        <v>0</v>
      </c>
      <c r="DY103" s="42" t="n">
        <f aca="false">Tasks[[#This Row],[_Res3WorkPerWD]]*MAX(0,Tasks[[#This Row],[_StartWorkday]]-1)</f>
        <v>0</v>
      </c>
      <c r="DZ103" s="42" t="n">
        <f aca="false">Tasks[[#This Row],[_Res3Work]]*Tasks[[#This Row],[_LeafProgress]]</f>
        <v>0</v>
      </c>
      <c r="EA103" s="42" t="str">
        <f aca="false">IF(Tasks[[#This Row],[_Res4Text]]="","",IF(Tasks[[#This Row],[_Res4Row]]&gt;0,INDEX(res_Name,Tasks[[#This Row],[_Res4Row]]),TRIM(LEFT(Tasks[[#This Row],[_Res4Text]],FIND("[",Tasks[[#This Row],[_Res4Text]]&amp;"[")-1))))</f>
        <v/>
      </c>
      <c r="EB1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3" s="42" t="n">
        <f aca="false">IF(OR(NOT(Tasks[[#This Row],[_IsLeaf]]=1),Tasks[[#This Row],[_Res4Row]]=0),0,N(Tasks[[#This Row],[_Days]])*HoursPerDay*IF(Tasks[[#This Row],[_Res4Units]]="",DefaultUnits,Tasks[[#This Row],[_Res4Units]]))</f>
        <v>0</v>
      </c>
      <c r="ED103" s="42" t="n">
        <f aca="false">IF(AND(AND(Tasks[[#This Row],[_IsLeaf]]=1,Tasks[[#This Row],[_LeafTotalWork]]&gt;0),Tasks[[#This Row],[_Res4Work]]&gt;0),Tasks[[#This Row],[_Res4Work]]/(Tasks[[#This Row],[_FinishWorkday]]-Tasks[[#This Row],[_StartWorkday]]+1),0)</f>
        <v>0</v>
      </c>
      <c r="EE103" s="42" t="n">
        <f aca="false">Tasks[[#This Row],[_Res4WorkPerWD]]*MAX(0,Tasks[[#This Row],[_StartWorkday]]-1)</f>
        <v>0</v>
      </c>
      <c r="EF103" s="42" t="n">
        <f aca="false">Tasks[[#This Row],[_Res4Work]]*Tasks[[#This Row],[_LeafProgress]]</f>
        <v>0</v>
      </c>
      <c r="EG103" s="42" t="n">
        <f aca="false">IF(ISNUMBER(Tasks[[#This Row],[% Complete]]),Tasks[[#This Row],[% Complete]],IF(Tasks[[#This Row],[Stage]]="",0,IFERROR(INDEX(stg_Pct,MATCH(Tasks[[#This Row],[Stage]],stg_Name,0)),0)))</f>
        <v>0</v>
      </c>
      <c r="EH103" s="42" t="n">
        <f aca="false">IF(NOT(Tasks[[#This Row],[_IsLeaf]]=1),0,IF(N(Tasks[[#This Row],[Actual Finish]])&gt;0,1,MIN(1,Tasks[[#This Row],[_Pct]])))</f>
        <v>0</v>
      </c>
      <c r="EI103" s="42" t="n">
        <f aca="false">IF(OR(NOT(Tasks[[#This Row],[_IsLeaf]]=1),Tasks[[#This Row],[_Res1Row]]=0),0,N(Tasks[[#This Row],[_Days]])*HoursPerDay*IF(Tasks[[#This Row],[_Units1]]="",DefaultUnits,Tasks[[#This Row],[_Units1]]))</f>
        <v>0</v>
      </c>
      <c r="EJ103" s="42" t="n">
        <f aca="false">Tasks[[#This Row],[_LeafWork]]+Tasks[[#This Row],[_Res2Work]]+Tasks[[#This Row],[_Res3Work]]+Tasks[[#This Row],[_Res4Work]]</f>
        <v>0</v>
      </c>
      <c r="EK1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3" s="42" t="n">
        <f aca="false">IF(NOT(Tasks[[#This Row],[_IsLeaf]]=1),0,MAX(_xlfn.MAXIFS(Tasks[_Row],Tasks[_Pred1UID],Tasks[[#This Row],[UID]]),_xlfn.MAXIFS(Tasks[_Row],Tasks[_Pred2UID],Tasks[[#This Row],[UID]]),_xlfn.MAXIFS(Tasks[_Row],Tasks[_Pred3UID],Tasks[[#This Row],[UID]]),_xlfn.MAXIFS(Tasks[_Row],Tasks[_Pred4UID],Tasks[[#This Row],[UID]])))</f>
        <v>0</v>
      </c>
      <c r="ET1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3" s="89" t="str">
        <f aca="false">IF(NOT(Tasks[[#This Row],[_IsLeaf]]=1),"",IF(N(Tasks[[#This Row],[_Days]])&lt;=0,Tasks[[#This Row],[_LeafLateFinish]],WORKDAY.INTL(Tasks[[#This Row],[_LeafLateFinish]],-(Tasks[[#This Row],[_Days]]-1),WorkWeek,Holidays)))</f>
        <v/>
      </c>
      <c r="EW1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3" s="88" t="b">
        <f aca="false">AND(Tasks[[#This Row],[_IsLeaf]]=1,Tasks[[#This Row],[_LeafProgress]]&lt;1,N(Tasks[[#This Row],[_LeafTotalSlack]])&lt;=CriticalSlackDays)</f>
        <v>0</v>
      </c>
      <c r="EY103" s="42" t="n">
        <f aca="false">IF(AND(Tasks[[#This Row],[_IsLeaf]]=1,Tasks[[#This Row],[_ConstraintCode]]=1,Tasks[[#This Row],[Mode]]&lt;&gt;"Manual",N(Tasks[[#This Row],[Actual Start]])=0),MAX(0,N(Tasks[[#This Row],[Free Slack]])),0)</f>
        <v>0</v>
      </c>
      <c r="EZ103" s="89" t="str">
        <f aca="false">IF(NOT(Tasks[[#This Row],[_IsLeaf]]=1),"",IF(Tasks[[#This Row],[_AlapShift]]=0,Tasks[[#This Row],[_LeafCalcStart]],WORKDAY.INTL(Tasks[[#This Row],[_LeafCalcStart]],Tasks[[#This Row],[_AlapShift]],WorkWeek,Holidays)))</f>
        <v/>
      </c>
      <c r="FA103" s="89" t="str">
        <f aca="false">IF(NOT(Tasks[[#This Row],[_IsLeaf]]=1),"",IF(Tasks[[#This Row],[_AlapShift]]=0,Tasks[[#This Row],[_LeafCalcFinish]],WORKDAY.INTL(Tasks[[#This Row],[_LeafCalcFinish]],Tasks[[#This Row],[_AlapShift]],WorkWeek,Holidays)))</f>
        <v/>
      </c>
      <c r="FB103" s="89" t="str">
        <f aca="false">IF(NOT(Tasks[[#This Row],[_IsLeaf]]=1),"",IF(Tasks[[#This Row],[_AlapShift]]=0,Tasks[[#This Row],[_LeafFcstStart]],WORKDAY.INTL(Tasks[[#This Row],[_LeafFcstStart]],Tasks[[#This Row],[_AlapShift]],WorkWeek,Holidays)))</f>
        <v/>
      </c>
      <c r="FC103" s="89" t="str">
        <f aca="false">IF(NOT(Tasks[[#This Row],[_IsLeaf]]=1),"",IF(Tasks[[#This Row],[_AlapShift]]=0,Tasks[[#This Row],[_LeafFcstFinish]],WORKDAY.INTL(Tasks[[#This Row],[_LeafFcstFinish]],Tasks[[#This Row],[_AlapShift]],WorkWeek,Holidays)))</f>
        <v/>
      </c>
      <c r="FD103" s="89" t="str">
        <f aca="false">IF(Tasks[[#This Row],[Task Name]]="","",IF(Tasks[[#This Row],[_IsSummary]],MIN(INDEX(Tasks[_ShownCalcStart],Tasks[[#This Row],[_Row]]+1):INDEX(Tasks[_ShownCalcStart],Tasks[[#This Row],[_Row]]+Tasks[[#This Row],[_Descendants]])),Tasks[[#This Row],[_ShownCalcStart]]))</f>
        <v/>
      </c>
      <c r="FE103" s="89" t="str">
        <f aca="false">IF(Tasks[[#This Row],[Task Name]]="","",IF(Tasks[[#This Row],[_IsSummary]],MAX(INDEX(Tasks[_ShownCalcFinish],Tasks[[#This Row],[_Row]]+1):INDEX(Tasks[_ShownCalcFinish],Tasks[[#This Row],[_Row]]+Tasks[[#This Row],[_Descendants]])),Tasks[[#This Row],[_ShownCalcFinish]]))</f>
        <v/>
      </c>
      <c r="FF1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3" s="42" t="n">
        <f aca="false">IF(AND(Tasks[[#This Row],[_IsLeaf]]=1,Tasks[[#This Row],[_LeafTotalWork]]&gt;0),NETWORKDAYS.INTL(ProjectStart,Tasks[[#This Row],[_ShownFcstStart]],WorkWeek,Holidays),0)</f>
        <v>0</v>
      </c>
      <c r="FS103" s="42" t="n">
        <f aca="false">IF(AND(Tasks[[#This Row],[_IsLeaf]]=1,Tasks[[#This Row],[_LeafTotalWork]]&gt;0),MAX(Tasks[[#This Row],[_StartWorkday]],NETWORKDAYS.INTL(ProjectStart,Tasks[[#This Row],[_ShownFcstFinish]],WorkWeek,Holidays)),0)</f>
        <v>0</v>
      </c>
      <c r="FT103" s="42" t="n">
        <f aca="false">IF(AND(Tasks[[#This Row],[_IsLeaf]]=1,Tasks[[#This Row],[_LeafTotalWork]]&gt;0),Tasks[[#This Row],[_LeafWork]]/(Tasks[[#This Row],[_FinishWorkday]]-Tasks[[#This Row],[_StartWorkday]]+1),0)</f>
        <v>0</v>
      </c>
      <c r="FU103" s="42" t="n">
        <f aca="false">Tasks[[#This Row],[_WorkPerWorkday]]*(Tasks[[#This Row],[_StartWorkday]]-1)</f>
        <v>-0</v>
      </c>
      <c r="FV103" s="42" t="n">
        <f aca="false">IF(Tasks[[#This Row],[_IsLeaf]]=1,MAX(N(Tasks[[#This Row],[_Days]]),0.1),0)</f>
        <v>0</v>
      </c>
      <c r="FW103" s="42" t="n">
        <f aca="false">Tasks[[#This Row],[_WeightDur]]*Tasks[[#This Row],[_LeafProgress]]</f>
        <v>0</v>
      </c>
      <c r="FX103" s="42" t="n">
        <f aca="false">Tasks[[#This Row],[_WeightDur]]*Tasks[[#This Row],[_PlannedPct]]</f>
        <v>0</v>
      </c>
      <c r="FY1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3" s="42" t="str">
        <f aca="false">IF(AND(Tasks[[#This Row],[_IsLeaf]]=1,N(Tasks[[#This Row],[_Days]])=0,Tasks[[#This Row],[_LeafProgress]]&lt;1),Tasks[[#This Row],[_ShownFcstFinish]]+Tasks[[#This Row],[_Row]]/100000,"")</f>
        <v/>
      </c>
      <c r="GA1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3" s="42" t="str">
        <f aca="false">IF(Tasks[[#This Row],[Task Name]]="","",LEFT(Tasks[[#This Row],[WBS]],FIND(".",Tasks[[#This Row],[WBS]]&amp;".")-1))</f>
        <v/>
      </c>
      <c r="GC103" s="42" t="str">
        <f aca="false">IF(AND(Tasks[[#This Row],[Task Name]]&lt;&gt;"",Tasks[[#This Row],[_Level]]=1),Tasks[[#This Row],[_Row]],"")</f>
        <v/>
      </c>
      <c r="GD103" s="42" t="str">
        <f aca="false">IF(AND(Tasks[[#This Row],[_IsLeaf]]=1,N(Tasks[[#This Row],[_Days]])=0),Tasks[[#This Row],[Planned Finish]]+Tasks[[#This Row],[_Row]]/100000,"")</f>
        <v/>
      </c>
      <c r="GE103" s="42" t="str">
        <f aca="false">IF(AND(Tasks[[#This Row],[_IsLeaf]]=1,Tasks[[#This Row],[_LeafProgress]]&lt;1,OR(N(Tasks[[#This Row],[Finish Var]])&gt;0,Tasks[[#This Row],[Status]]="Late Start")),MAX(0,Tasks[[#This Row],[Finish Var]])+1-Tasks[[#This Row],[_Row]]/1000000,"")</f>
        <v/>
      </c>
      <c r="GF103" s="42" t="str">
        <f aca="false">IF(AND(Tasks[[#This Row],[_IsLeaf]]=1,N(Tasks[[#This Row],[Actual Start]])=0,Tasks[[#This Row],[_ShownFcstStart]]&gt;=StatusDate,Tasks[[#This Row],[_ShownFcstStart]]&lt;=LookaheadEnd),Tasks[[#This Row],[_ShownFcstStart]]+Tasks[[#This Row],[_Row]]/100000,"")</f>
        <v/>
      </c>
      <c r="GG103" s="42" t="str">
        <f aca="false">IF(AND(Tasks[[#This Row],[_IsLeaf]]=1,Tasks[[#This Row],[_LeafProgress]]&lt;1,Tasks[[#This Row],[_ShownFcstFinish]]&gt;=StatusDate,Tasks[[#This Row],[_ShownFcstFinish]]&lt;=LookaheadEnd),Tasks[[#This Row],[_ShownFcstFinish]]+Tasks[[#This Row],[_Row]]/100000,"")</f>
        <v/>
      </c>
      <c r="GH103" s="42" t="str">
        <f aca="false">IF(Tasks[[#This Row],[_LeafCritical]],Tasks[[#This Row],[_ShownFcstStart]]+Tasks[[#This Row],[_Row]]/100000,"")</f>
        <v/>
      </c>
      <c r="GI103" s="42" t="n">
        <f aca="false">Tasks[[#This Row],[_LeafWork]]*Tasks[[#This Row],[_LeafProgress]]</f>
        <v>0</v>
      </c>
      <c r="GJ103" s="89" t="str">
        <f aca="false">IF(AND(Tasks[[#This Row],[_IsLeaf]]=1,Tasks[[#This Row],[_LeafProgress]]&gt;=1),IF(N(Tasks[[#This Row],[Actual Finish]])&gt;0,Tasks[[#This Row],[Actual Finish]],Tasks[[#This Row],[_ShownFcstFinish]]),"")</f>
        <v/>
      </c>
      <c r="GK103" s="42" t="n">
        <f aca="false">IF(Tasks[[#This Row],[_IsLeaf]]=1,N(Tasks[[#This Row],[Story Points]]),0)</f>
        <v>0</v>
      </c>
      <c r="GL103" s="42" t="str">
        <f aca="false">""</f>
        <v/>
      </c>
      <c r="GM103" s="88" t="b">
        <f aca="false">IF(Tasks[[#This Row],[Task Name]]="",FALSE(),AND(Tasks[[#This Row],[_IsLeaf]]=1,N(Tasks[[#This Row],[_Days]])=0))</f>
        <v>0</v>
      </c>
      <c r="GN103" s="89" t="n">
        <f aca="false">IF(Tasks[[#This Row],[Task Name]]="",0,IF(AND(Tasks[[#This Row],[_IsLeaf]]=1,NOT(Tasks[[#This Row],[_IsMilestone]]),N(Tasks[[#This Row],[Progress]])&gt;0),Tasks[[#This Row],[Start]],0))</f>
        <v>0</v>
      </c>
      <c r="GO103" s="89" t="n">
        <f aca="false">IF(Tasks[[#This Row],[_DoneFrom]]=0,0,IF(Tasks[[#This Row],[Progress]]&gt;=1,Tasks[[#This Row],[Finish]],MAX(Tasks[[#This Row],[_DoneFrom]],Tasks[[#This Row],[Start]]+ROUND((Tasks[[#This Row],[Finish]]-Tasks[[#This Row],[Start]]+1)*Tasks[[#This Row],[Progress]],0)-1)))</f>
        <v>0</v>
      </c>
      <c r="GP103" s="89" t="n">
        <f aca="false">IF(Tasks[[#This Row],[Task Name]]="",0,IF(OR(NOT(Tasks[[#This Row],[_IsLeaf]]=1),Tasks[[#This Row],[_IsMilestone]],N(Tasks[[#This Row],[Progress]])&gt;=1),0,IF(Tasks[[#This Row],[_DoneTo]]&gt;0,Tasks[[#This Row],[_DoneTo]]+1,Tasks[[#This Row],[Start]])))</f>
        <v>0</v>
      </c>
      <c r="GQ103" s="89" t="n">
        <f aca="false">IF(Tasks[[#This Row],[_RemFrom]]=0,0,Tasks[[#This Row],[Finish]])</f>
        <v>0</v>
      </c>
      <c r="GR103" s="88" t="b">
        <f aca="false">IF(Tasks[[#This Row],[Task Name]]="",FALSE(),OR(NOT(BaselineSet),N(Tasks[[#This Row],[Baseline Start]])&gt;0))</f>
        <v>0</v>
      </c>
      <c r="GS1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3" s="90" t="str">
        <f aca="false">IF(Tasks[[#This Row],[_IsLeaf]]=1,Tasks[[#This Row],[_Row]],"")</f>
        <v/>
      </c>
      <c r="GW103" s="90" t="str">
        <f aca="false">IFERROR(INDEX(Tasks[UID],SMALL(Tasks[_PickKey],Tasks[[#This Row],[_Row]]))&amp;" "&amp;INDEX(Tasks[Task Name],SMALL(Tasks[_PickKey],Tasks[[#This Row],[_Row]])),"")</f>
        <v/>
      </c>
      <c r="GX103" s="42" t="str">
        <f aca="false">IF(Tasks[[#This Row],[Task Name]]="","",IF(Tasks[[#This Row],[_IsSummary]],NETWORKDAYS.INTL(Tasks[[#This Row],[Start]],Tasks[[#This Row],[Finish]],WorkWeek,Holidays),N(Tasks[[#This Row],[_Days]])))</f>
        <v/>
      </c>
    </row>
    <row r="104" customFormat="false" ht="15" hidden="false" customHeight="false" outlineLevel="0" collapsed="false">
      <c r="A104" s="21" t="str">
        <f aca="false">IF(Tasks[[#This Row],[Task Name]]="","",COUNTA(Tasks[[#Headers],[Task Name]]:Tasks[[#This Row],[Task Name]])-1)</f>
        <v/>
      </c>
      <c r="B104" s="22" t="n">
        <v>112</v>
      </c>
      <c r="C104" s="22"/>
      <c r="D104" s="23"/>
      <c r="E104" s="22"/>
      <c r="F104" s="23"/>
      <c r="G104" s="22"/>
      <c r="H104" s="22"/>
      <c r="I104" s="23"/>
      <c r="J104" s="22"/>
      <c r="K104" s="22"/>
      <c r="L104" s="23"/>
      <c r="M104" s="22"/>
      <c r="N104" s="22"/>
      <c r="O104" s="23"/>
      <c r="P104" s="22"/>
      <c r="Q104" s="22"/>
      <c r="R104" s="23"/>
      <c r="S104" s="23"/>
      <c r="T104" s="83"/>
      <c r="U104" s="23"/>
      <c r="V104" s="83"/>
      <c r="W104" s="23"/>
      <c r="X104" s="83"/>
      <c r="Y104" s="23"/>
      <c r="Z104" s="83"/>
      <c r="AA104" s="23"/>
      <c r="AB104" s="23"/>
      <c r="AC104" s="7"/>
      <c r="AD104" s="7"/>
      <c r="AE104" s="62" t="str">
        <f aca="false">IF(Tasks[[#This Row],[Task Name]]="","",IF(Tasks[[#This Row],[_IsSummary]],MIN(INDEX(Tasks[_ShownFcstStart],Tasks[[#This Row],[_Row]]+1):INDEX(Tasks[_ShownFcstStart],Tasks[[#This Row],[_Row]]+Tasks[[#This Row],[_Descendants]])),Tasks[[#This Row],[_ShownFcstStart]]))</f>
        <v/>
      </c>
      <c r="AF104" s="62" t="str">
        <f aca="false">IF(Tasks[[#This Row],[Task Name]]="","",IF(Tasks[[#This Row],[_IsSummary]],MAX(INDEX(Tasks[_ShownFcstFinish],Tasks[[#This Row],[_Row]]+1):INDEX(Tasks[_ShownFcstFinish],Tasks[[#This Row],[_Row]]+Tasks[[#This Row],[_Descendants]])),Tasks[[#This Row],[_ShownFcstFinish]]))</f>
        <v/>
      </c>
      <c r="AG104" s="21" t="str">
        <f aca="false">""</f>
        <v/>
      </c>
      <c r="AH104" s="23"/>
      <c r="AI1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4" s="7"/>
      <c r="AK104" s="22"/>
      <c r="AL104" s="23"/>
      <c r="AM104" s="7"/>
      <c r="AN104" s="46" t="str">
        <f aca="false">IF(Tasks[[#This Row],[Task Name]]="","",IF(Tasks[[#This Row],[Finish]]&gt;=Tasks[[#This Row],[Planned Finish]],NETWORKDAYS.INTL(Tasks[[#This Row],[Planned Finish]],Tasks[[#This Row],[Finish]],WorkWeek,Holidays)-1,1-NETWORKDAYS.INTL(Tasks[[#This Row],[Finish]],Tasks[[#This Row],[Planned Finish]],WorkWeek,Holidays)))</f>
        <v/>
      </c>
      <c r="AO104" s="21" t="str">
        <f aca="false">IF(Tasks[[#This Row],[Task Name]]="","",IF(Tasks[[#This Row],[Progress]]&gt;=1,"Complete",IF(OR(N(Tasks[[#This Row],[Actual Start]])&gt;0,Tasks[[#This Row],[Progress]]&gt;0),IF(Tasks[[#This Row],[Finish Var]]&gt;0,"Behind","In Progress"),IF(Tasks[[#This Row],[Planned Start]]&lt;StatusDate,"Late Start","Not Started"))))</f>
        <v/>
      </c>
      <c r="AP104" s="21" t="str">
        <f aca="false">IF(Tasks[[#This Row],[Task Name]]="","",IF(IF(Tasks[[#This Row],[_IsSummary]],COUNTIF(INDEX(Tasks[_LeafCritical],Tasks[[#This Row],[_Row]]+1):INDEX(Tasks[_LeafCritical],Tasks[[#This Row],[_Row]]+Tasks[[#This Row],[_Descendants]]),TRUE())&gt;0,Tasks[[#This Row],[_LeafCritical]]),"Yes",""))</f>
        <v/>
      </c>
      <c r="AQ104" s="62" t="str">
        <f aca="false">IF(Tasks[[#This Row],[Task Name]]="","",IF(N(Tasks[[#This Row],[Baseline Start]])&gt;0,Tasks[[#This Row],[Baseline Start]],Tasks[[#This Row],[_CalcStart]]))</f>
        <v/>
      </c>
      <c r="AR104" s="62" t="str">
        <f aca="false">IF(Tasks[[#This Row],[Task Name]]="","",IF(N(Tasks[[#This Row],[Baseline Finish]])&gt;0,Tasks[[#This Row],[Baseline Finish]],Tasks[[#This Row],[_CalcFinish]]))</f>
        <v/>
      </c>
      <c r="AS104" s="46" t="str">
        <f aca="false">IF(Tasks[[#This Row],[Task Name]]="","",IF(Tasks[[#This Row],[Start]]&gt;=Tasks[[#This Row],[Planned Start]],NETWORKDAYS.INTL(Tasks[[#This Row],[Planned Start]],Tasks[[#This Row],[Start]],WorkWeek,Holidays)-1,1-NETWORKDAYS.INTL(Tasks[[#This Row],[Start]],Tasks[[#This Row],[Planned Start]],WorkWeek,Holidays)))</f>
        <v/>
      </c>
      <c r="AT104" s="62" t="str">
        <f aca="false">IF(Tasks[[#This Row],[Task Name]]="","",IF(Tasks[[#This Row],[_IsSummary]],MIN(INDEX(Tasks[_LeafLateStart],Tasks[[#This Row],[_Row]]+1):INDEX(Tasks[_LeafLateStart],Tasks[[#This Row],[_Row]]+Tasks[[#This Row],[_Descendants]])),Tasks[[#This Row],[_LeafLateStart]]))</f>
        <v/>
      </c>
      <c r="AU104" s="62" t="str">
        <f aca="false">IF(Tasks[[#This Row],[Task Name]]="","",IF(Tasks[[#This Row],[_IsSummary]],MAX(INDEX(Tasks[_LeafLateFinish],Tasks[[#This Row],[_Row]]+1):INDEX(Tasks[_LeafLateFinish],Tasks[[#This Row],[_Row]]+Tasks[[#This Row],[_Descendants]])),Tasks[[#This Row],[_LeafLateFinish]]))</f>
        <v/>
      </c>
      <c r="AV104" s="46" t="str">
        <f aca="false">IF(Tasks[[#This Row],[Task Name]]="","",IF(Tasks[[#This Row],[_IsSummary]],MIN(INDEX(Tasks[_LeafTotalSlack],Tasks[[#This Row],[_Row]]+1):INDEX(Tasks[_LeafTotalSlack],Tasks[[#This Row],[_Row]]+Tasks[[#This Row],[_Descendants]])),Tasks[[#This Row],[_LeafTotalSlack]]))</f>
        <v/>
      </c>
      <c r="AW1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4"/>
      <c r="BA1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t="str">
        <f aca="false">IF(Tasks[[#This Row],[Task Name]]="","",IF(Tasks[[#This Row],[_Level]]&lt;=OutlineShowLevel,"Yes","No"))</f>
        <v/>
      </c>
      <c r="BE104" s="85" t="str">
        <f aca="false">IF(Tasks[[#This Row],[Task Name]]="","",IF(Tasks[[#This Row],[_IsSummary]],SUM(INDEX(Tasks[_LeafTotalWork],Tasks[[#This Row],[_Row]]+1):INDEX(Tasks[_LeafTotalWork],Tasks[[#This Row],[_Row]]+Tasks[[#This Row],[_Descendants]])),Tasks[[#This Row],[_LeafTotalWork]]))</f>
        <v/>
      </c>
      <c r="BF104" s="23"/>
      <c r="BG1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t="str">
        <f aca="false">""</f>
        <v/>
      </c>
      <c r="BI104" s="86"/>
      <c r="BJ104" s="22"/>
      <c r="BK104" s="46" t="str">
        <f aca="false">IF(OR(Tasks[[#This Row],[Task Name]]="",Tasks[[#This Row],[Baseline Duration]]=""),"",Tasks[[#This Row],[_SpanDays]]-N(Tasks[[#This Row],[Baseline Duration]]))</f>
        <v/>
      </c>
      <c r="BL104" s="85" t="str">
        <f aca="false">IF(OR(Tasks[[#This Row],[Task Name]]="",Tasks[[#This Row],[Baseline Work]]=""),"",Tasks[[#This Row],[Work]]-N(Tasks[[#This Row],[Baseline Work]]))</f>
        <v/>
      </c>
      <c r="BM104" s="62" t="str">
        <f aca="false">IF(Tasks[[#This Row],[Task Name]]="","",IF(OR(TakeBaseline="Yes",N(Tasks[[#This Row],[Baseline Start]])=0),Tasks[[#This Row],[Start]],Tasks[[#This Row],[Baseline Start]]))</f>
        <v/>
      </c>
      <c r="BN104" s="62" t="str">
        <f aca="false">IF(Tasks[[#This Row],[Task Name]]="","",IF(OR(TakeBaseline="Yes",N(Tasks[[#This Row],[Baseline Finish]])=0),Tasks[[#This Row],[Finish]],Tasks[[#This Row],[Baseline Finish]]))</f>
        <v/>
      </c>
      <c r="BO104" s="21" t="str">
        <f aca="false">IF(Tasks[[#This Row],[Task Name]]="","",IF(OR(TakeBaseline="Yes",N(Tasks[[#This Row],[Baseline Duration]])=0),Tasks[[#This Row],[_SpanDays]],Tasks[[#This Row],[Baseline Duration]]))</f>
        <v/>
      </c>
      <c r="BP104" s="85" t="str">
        <f aca="false">IF(Tasks[[#This Row],[Task Name]]="","",IF(OR(TakeBaseline="Yes",N(Tasks[[#This Row],[Baseline Work]])=0),Tasks[[#This Row],[Work]],Tasks[[#This Row],[Baseline Work]]))</f>
        <v/>
      </c>
      <c r="BQ104" s="7"/>
      <c r="BR104" s="7"/>
      <c r="BS104" s="22"/>
      <c r="BT104" s="87"/>
      <c r="BU104" s="42" t="str">
        <f aca="false">IF(Tasks[[#This Row],[Task Name]]="","",MAX(1,N(Tasks[[#This Row],[Level]])))</f>
        <v/>
      </c>
      <c r="BV104" s="42" t="n">
        <f aca="false">ROW()-ROW(Tasks[[#Headers],[ID]])</f>
        <v>99</v>
      </c>
      <c r="BW104" s="42" t="n">
        <f aca="false">IF(OR(Tasks[[#This Row],[Task Name]]="",Tasks[[#This Row],[_Level]]&lt;=1),0,IFERROR(LOOKUP(2,1/(Tasks[[#Headers],[_Level]]:Tasks[[#This Row],[_Level]]=Tasks[[#This Row],[_Level]]-1),ROW(Tasks[[#Headers],[_Level]]:Tasks[[#This Row],[_Level]])),0))</f>
        <v>0</v>
      </c>
      <c r="BX104" s="42" t="n">
        <f aca="false">IFERROR(N(INDEX(Tasks[_Level],Tasks[[#This Row],[_Row]]+1)),0)</f>
        <v>0</v>
      </c>
      <c r="BY104" s="88" t="b">
        <f aca="false">AND(Tasks[[#This Row],[Task Name]]&lt;&gt;"",Tasks[[#This Row],[_NextLevel]]&gt;Tasks[[#This Row],[_Level]])</f>
        <v>0</v>
      </c>
      <c r="BZ104" s="42" t="n">
        <f aca="false">IF(Tasks[[#This Row],[_IsSummary]],COUNTIF(Tasks[WBS],Tasks[[#This Row],[WBS]]&amp;".*"),0)</f>
        <v>0</v>
      </c>
      <c r="CA104" s="42" t="n">
        <f aca="false">IF(AND(Tasks[[#This Row],[Task Name]]&lt;&gt;"",NOT(Tasks[[#This Row],[_IsSummary]])),1,0)</f>
        <v>0</v>
      </c>
      <c r="CB104" s="42" t="n">
        <f aca="false">IF(N(Tasks[[#This Row],[_Pred1UID]])=0,0,IFERROR(MATCH(Tasks[[#This Row],[_Pred1UID]],Tasks[UID],0),-1))</f>
        <v>0</v>
      </c>
      <c r="CC104" s="42" t="n">
        <f aca="false">IF(N(Tasks[[#This Row],[_Pred2UID]])=0,0,IFERROR(MATCH(Tasks[[#This Row],[_Pred2UID]],Tasks[UID],0),-1))</f>
        <v>0</v>
      </c>
      <c r="CD104" s="42" t="n">
        <f aca="false">IF(N(Tasks[[#This Row],[_Pred3UID]])=0,0,IFERROR(MATCH(Tasks[[#This Row],[_Pred3UID]],Tasks[UID],0),-1))</f>
        <v>0</v>
      </c>
      <c r="CE104" s="42" t="n">
        <f aca="false">IF(N(Tasks[[#This Row],[_Pred4UID]])=0,0,IFERROR(MATCH(Tasks[[#This Row],[_Pred4UID]],Tasks[UID],0),-1))</f>
        <v>0</v>
      </c>
      <c r="CF1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4" s="89" t="n">
        <f aca="false">IF(OR(Tasks[[#This Row],[_ConstraintCode]]=2,Tasks[[#This Row],[_ConstraintCode]]=3,Tasks[[#This Row],[_ConstraintCode]]=4,Tasks[[#This Row],[_ConstraintCode]]=6),Tasks[[#This Row],[_ConstraintStart]],0)</f>
        <v>0</v>
      </c>
      <c r="CI104" s="89" t="n">
        <f aca="false">IF(OR(Tasks[[#This Row],[_ConstraintCode]]=2,Tasks[[#This Row],[_ConstraintCode]]=3,Tasks[[#This Row],[_ConstraintCode]]=5,Tasks[[#This Row],[_ConstraintCode]]=7),Tasks[[#This Row],[_ConstraintStart]],2958465)</f>
        <v>2958465</v>
      </c>
      <c r="CJ1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4" s="89" t="str">
        <f aca="false">IF(NOT(Tasks[[#This Row],[_IsLeaf]]=1),"",IF(N(Tasks[[#This Row],[_Days]])&lt;=0,Tasks[[#This Row],[_LeafCalcStart]],WORKDAY.INTL(Tasks[[#This Row],[_LeafCalcStart]],Tasks[[#This Row],[_Days]]-1,WorkWeek,Holidays)))</f>
        <v/>
      </c>
      <c r="CL1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4" s="42" t="str">
        <f aca="false">IF(Tasks[[#This Row],[_Predecessors]]="","",TRIM(MID(SUBSTITUTE(SUBSTITUTE(SUBSTITUTE(UPPER(Tasks[[#This Row],[_Predecessors]]),";",",")," ",""),",",REPT(" ",99)),1,99)))</f>
        <v/>
      </c>
      <c r="CO104" s="42" t="str">
        <f aca="false">IF(Tasks[[#This Row],[_Pred1Text]]="","",IFERROR(VALUE(LEFT(Tasks[[#This Row],[_Pred1Text]],MIN(FIND("F",Tasks[[#This Row],[_Pred1Text]]&amp;"F"),FIND("S",Tasks[[#This Row],[_Pred1Text]]&amp;"S"),FIND("+",Tasks[[#This Row],[_Pred1Text]]&amp;"+"),FIND("-",Tasks[[#This Row],[_Pred1Text]]&amp;"-"))-1)),""))</f>
        <v/>
      </c>
      <c r="CP1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4" s="42" t="str">
        <f aca="false">IF(Tasks[[#This Row],[_Pred1Text]]="","",TRIM(MID(SUBSTITUTE(SUBSTITUTE(SUBSTITUTE(UPPER(Tasks[[#This Row],[_Predecessors]]),";",",")," ",""),",",REPT(" ",99)),100,99)))</f>
        <v/>
      </c>
      <c r="CS104" s="42" t="str">
        <f aca="false">IF(Tasks[[#This Row],[_Pred2Text]]="","",IFERROR(VALUE(LEFT(Tasks[[#This Row],[_Pred2Text]],MIN(FIND("F",Tasks[[#This Row],[_Pred2Text]]&amp;"F"),FIND("S",Tasks[[#This Row],[_Pred2Text]]&amp;"S"),FIND("+",Tasks[[#This Row],[_Pred2Text]]&amp;"+"),FIND("-",Tasks[[#This Row],[_Pred2Text]]&amp;"-"))-1)),""))</f>
        <v/>
      </c>
      <c r="CT1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4" s="42" t="str">
        <f aca="false">IF(Tasks[[#This Row],[_Pred2Text]]="","",TRIM(MID(SUBSTITUTE(SUBSTITUTE(SUBSTITUTE(UPPER(Tasks[[#This Row],[_Predecessors]]),";",",")," ",""),",",REPT(" ",99)),199,99)))</f>
        <v/>
      </c>
      <c r="CW104" s="42" t="str">
        <f aca="false">IF(Tasks[[#This Row],[_Pred3Text]]="","",IFERROR(VALUE(LEFT(Tasks[[#This Row],[_Pred3Text]],MIN(FIND("F",Tasks[[#This Row],[_Pred3Text]]&amp;"F"),FIND("S",Tasks[[#This Row],[_Pred3Text]]&amp;"S"),FIND("+",Tasks[[#This Row],[_Pred3Text]]&amp;"+"),FIND("-",Tasks[[#This Row],[_Pred3Text]]&amp;"-"))-1)),""))</f>
        <v/>
      </c>
      <c r="CX1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4" s="42" t="str">
        <f aca="false">IF(Tasks[[#This Row],[_Pred3Text]]="","",TRIM(MID(SUBSTITUTE(SUBSTITUTE(SUBSTITUTE(UPPER(Tasks[[#This Row],[_Predecessors]]),";",",")," ",""),",",REPT(" ",99)),298,99)))</f>
        <v/>
      </c>
      <c r="DA104" s="42" t="str">
        <f aca="false">IF(Tasks[[#This Row],[_Pred4Text]]="","",IFERROR(VALUE(LEFT(Tasks[[#This Row],[_Pred4Text]],MIN(FIND("F",Tasks[[#This Row],[_Pred4Text]]&amp;"F"),FIND("S",Tasks[[#This Row],[_Pred4Text]]&amp;"S"),FIND("+",Tasks[[#This Row],[_Pred4Text]]&amp;"+"),FIND("-",Tasks[[#This Row],[_Pred4Text]]&amp;"-"))-1)),""))</f>
        <v/>
      </c>
      <c r="DB1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4" s="42" t="str">
        <f aca="false">IF(OR(Tasks[[#This Row],[Task Name]]="",Tasks[[#This Row],[_Resources]]=""),"",TRIM(MID(SUBSTITUTE(Tasks[[#This Row],[_Resources]],",",REPT(" ",99)),1,99)))</f>
        <v/>
      </c>
      <c r="DE104" s="42" t="str">
        <f aca="false">IF(Tasks[[#This Row],[_Res1Text]]="","",TRIM(MID(SUBSTITUTE(Tasks[[#This Row],[_Resources]],",",REPT(" ",99)),100,99)))</f>
        <v/>
      </c>
      <c r="DF104" s="42" t="str">
        <f aca="false">IF(Tasks[[#This Row],[_Res2Text]]="","",TRIM(MID(SUBSTITUTE(Tasks[[#This Row],[_Resources]],",",REPT(" ",99)),199,99)))</f>
        <v/>
      </c>
      <c r="DG104" s="42" t="str">
        <f aca="false">IF(Tasks[[#This Row],[_Res3Text]]="","",TRIM(MID(SUBSTITUTE(Tasks[[#This Row],[_Resources]],",",REPT(" ",99)),298,99)))</f>
        <v/>
      </c>
      <c r="DH104" s="42" t="n">
        <f aca="false">IF(Tasks[[#This Row],[_Res1Text]]="",0,IFERROR(MATCH(TRIM(LEFT(Tasks[[#This Row],[_Res1Text]],FIND("[",Tasks[[#This Row],[_Res1Text]]&amp;"[")-1)),res_Name,0),IFERROR(MATCH(TRIM(LEFT(Tasks[[#This Row],[_Res1Text]],FIND("[",Tasks[[#This Row],[_Res1Text]]&amp;"[")-1)),res_Initials,0),0)))</f>
        <v>0</v>
      </c>
      <c r="DI104" s="42" t="n">
        <f aca="false">IF(Tasks[[#This Row],[_Res2Text]]="",0,IFERROR(MATCH(TRIM(LEFT(Tasks[[#This Row],[_Res2Text]],FIND("[",Tasks[[#This Row],[_Res2Text]]&amp;"[")-1)),res_Name,0),IFERROR(MATCH(TRIM(LEFT(Tasks[[#This Row],[_Res2Text]],FIND("[",Tasks[[#This Row],[_Res2Text]]&amp;"[")-1)),res_Initials,0),0)))</f>
        <v>0</v>
      </c>
      <c r="DJ104" s="42" t="n">
        <f aca="false">IF(Tasks[[#This Row],[_Res3Text]]="",0,IFERROR(MATCH(TRIM(LEFT(Tasks[[#This Row],[_Res3Text]],FIND("[",Tasks[[#This Row],[_Res3Text]]&amp;"[")-1)),res_Name,0),IFERROR(MATCH(TRIM(LEFT(Tasks[[#This Row],[_Res3Text]],FIND("[",Tasks[[#This Row],[_Res3Text]]&amp;"[")-1)),res_Initials,0),0)))</f>
        <v>0</v>
      </c>
      <c r="DK104" s="42" t="n">
        <f aca="false">IF(Tasks[[#This Row],[_Res4Text]]="",0,IFERROR(MATCH(TRIM(LEFT(Tasks[[#This Row],[_Res4Text]],FIND("[",Tasks[[#This Row],[_Res4Text]]&amp;"[")-1)),res_Name,0),IFERROR(MATCH(TRIM(LEFT(Tasks[[#This Row],[_Res4Text]],FIND("[",Tasks[[#This Row],[_Res4Text]]&amp;"[")-1)),res_Initials,0),0)))</f>
        <v>0</v>
      </c>
      <c r="DL104" s="42" t="str">
        <f aca="false">IF(Tasks[[#This Row],[_Res1Text]]="","",IF(Tasks[[#This Row],[_Res1Row]]&gt;0,INDEX(res_Name,Tasks[[#This Row],[_Res1Row]]),TRIM(LEFT(Tasks[[#This Row],[_Res1Text]],FIND("[",Tasks[[#This Row],[_Res1Text]]&amp;"[")-1))))</f>
        <v/>
      </c>
      <c r="DM1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4" s="42" t="n">
        <f aca="false">IF(NOT(Tasks[[#This Row],[_IsLeaf]]=1),0,(Tasks[[#This Row],[_Resource1]]&lt;&gt;"")+(Tasks[[#This Row],[_Res2]]&lt;&gt;"")+(Tasks[[#This Row],[_Res3]]&lt;&gt;"")+(Tasks[[#This Row],[_Res4]]&lt;&gt;""))</f>
        <v>0</v>
      </c>
      <c r="DO104" s="42" t="str">
        <f aca="false">IF(Tasks[[#This Row],[_Res2Text]]="","",IF(Tasks[[#This Row],[_Res2Row]]&gt;0,INDEX(res_Name,Tasks[[#This Row],[_Res2Row]]),TRIM(LEFT(Tasks[[#This Row],[_Res2Text]],FIND("[",Tasks[[#This Row],[_Res2Text]]&amp;"[")-1))))</f>
        <v/>
      </c>
      <c r="DP1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4" s="42" t="n">
        <f aca="false">IF(OR(NOT(Tasks[[#This Row],[_IsLeaf]]=1),Tasks[[#This Row],[_Res2Row]]=0),0,N(Tasks[[#This Row],[_Days]])*HoursPerDay*IF(Tasks[[#This Row],[_Res2Units]]="",DefaultUnits,Tasks[[#This Row],[_Res2Units]]))</f>
        <v>0</v>
      </c>
      <c r="DR104" s="42" t="n">
        <f aca="false">IF(AND(AND(Tasks[[#This Row],[_IsLeaf]]=1,Tasks[[#This Row],[_LeafTotalWork]]&gt;0),Tasks[[#This Row],[_Res2Work]]&gt;0),Tasks[[#This Row],[_Res2Work]]/(Tasks[[#This Row],[_FinishWorkday]]-Tasks[[#This Row],[_StartWorkday]]+1),0)</f>
        <v>0</v>
      </c>
      <c r="DS104" s="42" t="n">
        <f aca="false">Tasks[[#This Row],[_Res2WorkPerWD]]*MAX(0,Tasks[[#This Row],[_StartWorkday]]-1)</f>
        <v>0</v>
      </c>
      <c r="DT104" s="42" t="n">
        <f aca="false">Tasks[[#This Row],[_Res2Work]]*Tasks[[#This Row],[_LeafProgress]]</f>
        <v>0</v>
      </c>
      <c r="DU104" s="42" t="str">
        <f aca="false">IF(Tasks[[#This Row],[_Res3Text]]="","",IF(Tasks[[#This Row],[_Res3Row]]&gt;0,INDEX(res_Name,Tasks[[#This Row],[_Res3Row]]),TRIM(LEFT(Tasks[[#This Row],[_Res3Text]],FIND("[",Tasks[[#This Row],[_Res3Text]]&amp;"[")-1))))</f>
        <v/>
      </c>
      <c r="DV1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4" s="42" t="n">
        <f aca="false">IF(OR(NOT(Tasks[[#This Row],[_IsLeaf]]=1),Tasks[[#This Row],[_Res3Row]]=0),0,N(Tasks[[#This Row],[_Days]])*HoursPerDay*IF(Tasks[[#This Row],[_Res3Units]]="",DefaultUnits,Tasks[[#This Row],[_Res3Units]]))</f>
        <v>0</v>
      </c>
      <c r="DX104" s="42" t="n">
        <f aca="false">IF(AND(AND(Tasks[[#This Row],[_IsLeaf]]=1,Tasks[[#This Row],[_LeafTotalWork]]&gt;0),Tasks[[#This Row],[_Res3Work]]&gt;0),Tasks[[#This Row],[_Res3Work]]/(Tasks[[#This Row],[_FinishWorkday]]-Tasks[[#This Row],[_StartWorkday]]+1),0)</f>
        <v>0</v>
      </c>
      <c r="DY104" s="42" t="n">
        <f aca="false">Tasks[[#This Row],[_Res3WorkPerWD]]*MAX(0,Tasks[[#This Row],[_StartWorkday]]-1)</f>
        <v>0</v>
      </c>
      <c r="DZ104" s="42" t="n">
        <f aca="false">Tasks[[#This Row],[_Res3Work]]*Tasks[[#This Row],[_LeafProgress]]</f>
        <v>0</v>
      </c>
      <c r="EA104" s="42" t="str">
        <f aca="false">IF(Tasks[[#This Row],[_Res4Text]]="","",IF(Tasks[[#This Row],[_Res4Row]]&gt;0,INDEX(res_Name,Tasks[[#This Row],[_Res4Row]]),TRIM(LEFT(Tasks[[#This Row],[_Res4Text]],FIND("[",Tasks[[#This Row],[_Res4Text]]&amp;"[")-1))))</f>
        <v/>
      </c>
      <c r="EB1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4" s="42" t="n">
        <f aca="false">IF(OR(NOT(Tasks[[#This Row],[_IsLeaf]]=1),Tasks[[#This Row],[_Res4Row]]=0),0,N(Tasks[[#This Row],[_Days]])*HoursPerDay*IF(Tasks[[#This Row],[_Res4Units]]="",DefaultUnits,Tasks[[#This Row],[_Res4Units]]))</f>
        <v>0</v>
      </c>
      <c r="ED104" s="42" t="n">
        <f aca="false">IF(AND(AND(Tasks[[#This Row],[_IsLeaf]]=1,Tasks[[#This Row],[_LeafTotalWork]]&gt;0),Tasks[[#This Row],[_Res4Work]]&gt;0),Tasks[[#This Row],[_Res4Work]]/(Tasks[[#This Row],[_FinishWorkday]]-Tasks[[#This Row],[_StartWorkday]]+1),0)</f>
        <v>0</v>
      </c>
      <c r="EE104" s="42" t="n">
        <f aca="false">Tasks[[#This Row],[_Res4WorkPerWD]]*MAX(0,Tasks[[#This Row],[_StartWorkday]]-1)</f>
        <v>0</v>
      </c>
      <c r="EF104" s="42" t="n">
        <f aca="false">Tasks[[#This Row],[_Res4Work]]*Tasks[[#This Row],[_LeafProgress]]</f>
        <v>0</v>
      </c>
      <c r="EG104" s="42" t="n">
        <f aca="false">IF(ISNUMBER(Tasks[[#This Row],[% Complete]]),Tasks[[#This Row],[% Complete]],IF(Tasks[[#This Row],[Stage]]="",0,IFERROR(INDEX(stg_Pct,MATCH(Tasks[[#This Row],[Stage]],stg_Name,0)),0)))</f>
        <v>0</v>
      </c>
      <c r="EH104" s="42" t="n">
        <f aca="false">IF(NOT(Tasks[[#This Row],[_IsLeaf]]=1),0,IF(N(Tasks[[#This Row],[Actual Finish]])&gt;0,1,MIN(1,Tasks[[#This Row],[_Pct]])))</f>
        <v>0</v>
      </c>
      <c r="EI104" s="42" t="n">
        <f aca="false">IF(OR(NOT(Tasks[[#This Row],[_IsLeaf]]=1),Tasks[[#This Row],[_Res1Row]]=0),0,N(Tasks[[#This Row],[_Days]])*HoursPerDay*IF(Tasks[[#This Row],[_Units1]]="",DefaultUnits,Tasks[[#This Row],[_Units1]]))</f>
        <v>0</v>
      </c>
      <c r="EJ104" s="42" t="n">
        <f aca="false">Tasks[[#This Row],[_LeafWork]]+Tasks[[#This Row],[_Res2Work]]+Tasks[[#This Row],[_Res3Work]]+Tasks[[#This Row],[_Res4Work]]</f>
        <v>0</v>
      </c>
      <c r="EK1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4" s="42" t="n">
        <f aca="false">IF(NOT(Tasks[[#This Row],[_IsLeaf]]=1),0,MAX(_xlfn.MAXIFS(Tasks[_Row],Tasks[_Pred1UID],Tasks[[#This Row],[UID]]),_xlfn.MAXIFS(Tasks[_Row],Tasks[_Pred2UID],Tasks[[#This Row],[UID]]),_xlfn.MAXIFS(Tasks[_Row],Tasks[_Pred3UID],Tasks[[#This Row],[UID]]),_xlfn.MAXIFS(Tasks[_Row],Tasks[_Pred4UID],Tasks[[#This Row],[UID]])))</f>
        <v>0</v>
      </c>
      <c r="ET1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4" s="89" t="str">
        <f aca="false">IF(NOT(Tasks[[#This Row],[_IsLeaf]]=1),"",IF(N(Tasks[[#This Row],[_Days]])&lt;=0,Tasks[[#This Row],[_LeafLateFinish]],WORKDAY.INTL(Tasks[[#This Row],[_LeafLateFinish]],-(Tasks[[#This Row],[_Days]]-1),WorkWeek,Holidays)))</f>
        <v/>
      </c>
      <c r="EW1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4" s="88" t="b">
        <f aca="false">AND(Tasks[[#This Row],[_IsLeaf]]=1,Tasks[[#This Row],[_LeafProgress]]&lt;1,N(Tasks[[#This Row],[_LeafTotalSlack]])&lt;=CriticalSlackDays)</f>
        <v>0</v>
      </c>
      <c r="EY104" s="42" t="n">
        <f aca="false">IF(AND(Tasks[[#This Row],[_IsLeaf]]=1,Tasks[[#This Row],[_ConstraintCode]]=1,Tasks[[#This Row],[Mode]]&lt;&gt;"Manual",N(Tasks[[#This Row],[Actual Start]])=0),MAX(0,N(Tasks[[#This Row],[Free Slack]])),0)</f>
        <v>0</v>
      </c>
      <c r="EZ104" s="89" t="str">
        <f aca="false">IF(NOT(Tasks[[#This Row],[_IsLeaf]]=1),"",IF(Tasks[[#This Row],[_AlapShift]]=0,Tasks[[#This Row],[_LeafCalcStart]],WORKDAY.INTL(Tasks[[#This Row],[_LeafCalcStart]],Tasks[[#This Row],[_AlapShift]],WorkWeek,Holidays)))</f>
        <v/>
      </c>
      <c r="FA104" s="89" t="str">
        <f aca="false">IF(NOT(Tasks[[#This Row],[_IsLeaf]]=1),"",IF(Tasks[[#This Row],[_AlapShift]]=0,Tasks[[#This Row],[_LeafCalcFinish]],WORKDAY.INTL(Tasks[[#This Row],[_LeafCalcFinish]],Tasks[[#This Row],[_AlapShift]],WorkWeek,Holidays)))</f>
        <v/>
      </c>
      <c r="FB104" s="89" t="str">
        <f aca="false">IF(NOT(Tasks[[#This Row],[_IsLeaf]]=1),"",IF(Tasks[[#This Row],[_AlapShift]]=0,Tasks[[#This Row],[_LeafFcstStart]],WORKDAY.INTL(Tasks[[#This Row],[_LeafFcstStart]],Tasks[[#This Row],[_AlapShift]],WorkWeek,Holidays)))</f>
        <v/>
      </c>
      <c r="FC104" s="89" t="str">
        <f aca="false">IF(NOT(Tasks[[#This Row],[_IsLeaf]]=1),"",IF(Tasks[[#This Row],[_AlapShift]]=0,Tasks[[#This Row],[_LeafFcstFinish]],WORKDAY.INTL(Tasks[[#This Row],[_LeafFcstFinish]],Tasks[[#This Row],[_AlapShift]],WorkWeek,Holidays)))</f>
        <v/>
      </c>
      <c r="FD104" s="89" t="str">
        <f aca="false">IF(Tasks[[#This Row],[Task Name]]="","",IF(Tasks[[#This Row],[_IsSummary]],MIN(INDEX(Tasks[_ShownCalcStart],Tasks[[#This Row],[_Row]]+1):INDEX(Tasks[_ShownCalcStart],Tasks[[#This Row],[_Row]]+Tasks[[#This Row],[_Descendants]])),Tasks[[#This Row],[_ShownCalcStart]]))</f>
        <v/>
      </c>
      <c r="FE104" s="89" t="str">
        <f aca="false">IF(Tasks[[#This Row],[Task Name]]="","",IF(Tasks[[#This Row],[_IsSummary]],MAX(INDEX(Tasks[_ShownCalcFinish],Tasks[[#This Row],[_Row]]+1):INDEX(Tasks[_ShownCalcFinish],Tasks[[#This Row],[_Row]]+Tasks[[#This Row],[_Descendants]])),Tasks[[#This Row],[_ShownCalcFinish]]))</f>
        <v/>
      </c>
      <c r="FF1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4" s="42" t="n">
        <f aca="false">IF(AND(Tasks[[#This Row],[_IsLeaf]]=1,Tasks[[#This Row],[_LeafTotalWork]]&gt;0),NETWORKDAYS.INTL(ProjectStart,Tasks[[#This Row],[_ShownFcstStart]],WorkWeek,Holidays),0)</f>
        <v>0</v>
      </c>
      <c r="FS104" s="42" t="n">
        <f aca="false">IF(AND(Tasks[[#This Row],[_IsLeaf]]=1,Tasks[[#This Row],[_LeafTotalWork]]&gt;0),MAX(Tasks[[#This Row],[_StartWorkday]],NETWORKDAYS.INTL(ProjectStart,Tasks[[#This Row],[_ShownFcstFinish]],WorkWeek,Holidays)),0)</f>
        <v>0</v>
      </c>
      <c r="FT104" s="42" t="n">
        <f aca="false">IF(AND(Tasks[[#This Row],[_IsLeaf]]=1,Tasks[[#This Row],[_LeafTotalWork]]&gt;0),Tasks[[#This Row],[_LeafWork]]/(Tasks[[#This Row],[_FinishWorkday]]-Tasks[[#This Row],[_StartWorkday]]+1),0)</f>
        <v>0</v>
      </c>
      <c r="FU104" s="42" t="n">
        <f aca="false">Tasks[[#This Row],[_WorkPerWorkday]]*(Tasks[[#This Row],[_StartWorkday]]-1)</f>
        <v>-0</v>
      </c>
      <c r="FV104" s="42" t="n">
        <f aca="false">IF(Tasks[[#This Row],[_IsLeaf]]=1,MAX(N(Tasks[[#This Row],[_Days]]),0.1),0)</f>
        <v>0</v>
      </c>
      <c r="FW104" s="42" t="n">
        <f aca="false">Tasks[[#This Row],[_WeightDur]]*Tasks[[#This Row],[_LeafProgress]]</f>
        <v>0</v>
      </c>
      <c r="FX104" s="42" t="n">
        <f aca="false">Tasks[[#This Row],[_WeightDur]]*Tasks[[#This Row],[_PlannedPct]]</f>
        <v>0</v>
      </c>
      <c r="FY1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4" s="42" t="str">
        <f aca="false">IF(AND(Tasks[[#This Row],[_IsLeaf]]=1,N(Tasks[[#This Row],[_Days]])=0,Tasks[[#This Row],[_LeafProgress]]&lt;1),Tasks[[#This Row],[_ShownFcstFinish]]+Tasks[[#This Row],[_Row]]/100000,"")</f>
        <v/>
      </c>
      <c r="GA1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4" s="42" t="str">
        <f aca="false">IF(Tasks[[#This Row],[Task Name]]="","",LEFT(Tasks[[#This Row],[WBS]],FIND(".",Tasks[[#This Row],[WBS]]&amp;".")-1))</f>
        <v/>
      </c>
      <c r="GC104" s="42" t="str">
        <f aca="false">IF(AND(Tasks[[#This Row],[Task Name]]&lt;&gt;"",Tasks[[#This Row],[_Level]]=1),Tasks[[#This Row],[_Row]],"")</f>
        <v/>
      </c>
      <c r="GD104" s="42" t="str">
        <f aca="false">IF(AND(Tasks[[#This Row],[_IsLeaf]]=1,N(Tasks[[#This Row],[_Days]])=0),Tasks[[#This Row],[Planned Finish]]+Tasks[[#This Row],[_Row]]/100000,"")</f>
        <v/>
      </c>
      <c r="GE104" s="42" t="str">
        <f aca="false">IF(AND(Tasks[[#This Row],[_IsLeaf]]=1,Tasks[[#This Row],[_LeafProgress]]&lt;1,OR(N(Tasks[[#This Row],[Finish Var]])&gt;0,Tasks[[#This Row],[Status]]="Late Start")),MAX(0,Tasks[[#This Row],[Finish Var]])+1-Tasks[[#This Row],[_Row]]/1000000,"")</f>
        <v/>
      </c>
      <c r="GF104" s="42" t="str">
        <f aca="false">IF(AND(Tasks[[#This Row],[_IsLeaf]]=1,N(Tasks[[#This Row],[Actual Start]])=0,Tasks[[#This Row],[_ShownFcstStart]]&gt;=StatusDate,Tasks[[#This Row],[_ShownFcstStart]]&lt;=LookaheadEnd),Tasks[[#This Row],[_ShownFcstStart]]+Tasks[[#This Row],[_Row]]/100000,"")</f>
        <v/>
      </c>
      <c r="GG104" s="42" t="str">
        <f aca="false">IF(AND(Tasks[[#This Row],[_IsLeaf]]=1,Tasks[[#This Row],[_LeafProgress]]&lt;1,Tasks[[#This Row],[_ShownFcstFinish]]&gt;=StatusDate,Tasks[[#This Row],[_ShownFcstFinish]]&lt;=LookaheadEnd),Tasks[[#This Row],[_ShownFcstFinish]]+Tasks[[#This Row],[_Row]]/100000,"")</f>
        <v/>
      </c>
      <c r="GH104" s="42" t="str">
        <f aca="false">IF(Tasks[[#This Row],[_LeafCritical]],Tasks[[#This Row],[_ShownFcstStart]]+Tasks[[#This Row],[_Row]]/100000,"")</f>
        <v/>
      </c>
      <c r="GI104" s="42" t="n">
        <f aca="false">Tasks[[#This Row],[_LeafWork]]*Tasks[[#This Row],[_LeafProgress]]</f>
        <v>0</v>
      </c>
      <c r="GJ104" s="89" t="str">
        <f aca="false">IF(AND(Tasks[[#This Row],[_IsLeaf]]=1,Tasks[[#This Row],[_LeafProgress]]&gt;=1),IF(N(Tasks[[#This Row],[Actual Finish]])&gt;0,Tasks[[#This Row],[Actual Finish]],Tasks[[#This Row],[_ShownFcstFinish]]),"")</f>
        <v/>
      </c>
      <c r="GK104" s="42" t="n">
        <f aca="false">IF(Tasks[[#This Row],[_IsLeaf]]=1,N(Tasks[[#This Row],[Story Points]]),0)</f>
        <v>0</v>
      </c>
      <c r="GL104" s="42" t="str">
        <f aca="false">""</f>
        <v/>
      </c>
      <c r="GM104" s="88" t="b">
        <f aca="false">IF(Tasks[[#This Row],[Task Name]]="",FALSE(),AND(Tasks[[#This Row],[_IsLeaf]]=1,N(Tasks[[#This Row],[_Days]])=0))</f>
        <v>0</v>
      </c>
      <c r="GN104" s="89" t="n">
        <f aca="false">IF(Tasks[[#This Row],[Task Name]]="",0,IF(AND(Tasks[[#This Row],[_IsLeaf]]=1,NOT(Tasks[[#This Row],[_IsMilestone]]),N(Tasks[[#This Row],[Progress]])&gt;0),Tasks[[#This Row],[Start]],0))</f>
        <v>0</v>
      </c>
      <c r="GO104" s="89" t="n">
        <f aca="false">IF(Tasks[[#This Row],[_DoneFrom]]=0,0,IF(Tasks[[#This Row],[Progress]]&gt;=1,Tasks[[#This Row],[Finish]],MAX(Tasks[[#This Row],[_DoneFrom]],Tasks[[#This Row],[Start]]+ROUND((Tasks[[#This Row],[Finish]]-Tasks[[#This Row],[Start]]+1)*Tasks[[#This Row],[Progress]],0)-1)))</f>
        <v>0</v>
      </c>
      <c r="GP104" s="89" t="n">
        <f aca="false">IF(Tasks[[#This Row],[Task Name]]="",0,IF(OR(NOT(Tasks[[#This Row],[_IsLeaf]]=1),Tasks[[#This Row],[_IsMilestone]],N(Tasks[[#This Row],[Progress]])&gt;=1),0,IF(Tasks[[#This Row],[_DoneTo]]&gt;0,Tasks[[#This Row],[_DoneTo]]+1,Tasks[[#This Row],[Start]])))</f>
        <v>0</v>
      </c>
      <c r="GQ104" s="89" t="n">
        <f aca="false">IF(Tasks[[#This Row],[_RemFrom]]=0,0,Tasks[[#This Row],[Finish]])</f>
        <v>0</v>
      </c>
      <c r="GR104" s="88" t="b">
        <f aca="false">IF(Tasks[[#This Row],[Task Name]]="",FALSE(),OR(NOT(BaselineSet),N(Tasks[[#This Row],[Baseline Start]])&gt;0))</f>
        <v>0</v>
      </c>
      <c r="GS1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4" s="90" t="str">
        <f aca="false">IF(Tasks[[#This Row],[_IsLeaf]]=1,Tasks[[#This Row],[_Row]],"")</f>
        <v/>
      </c>
      <c r="GW104" s="90" t="str">
        <f aca="false">IFERROR(INDEX(Tasks[UID],SMALL(Tasks[_PickKey],Tasks[[#This Row],[_Row]]))&amp;" "&amp;INDEX(Tasks[Task Name],SMALL(Tasks[_PickKey],Tasks[[#This Row],[_Row]])),"")</f>
        <v/>
      </c>
      <c r="GX104" s="42" t="str">
        <f aca="false">IF(Tasks[[#This Row],[Task Name]]="","",IF(Tasks[[#This Row],[_IsSummary]],NETWORKDAYS.INTL(Tasks[[#This Row],[Start]],Tasks[[#This Row],[Finish]],WorkWeek,Holidays),N(Tasks[[#This Row],[_Days]])))</f>
        <v/>
      </c>
    </row>
    <row r="105" customFormat="false" ht="15" hidden="false" customHeight="false" outlineLevel="0" collapsed="false">
      <c r="A105" s="21" t="str">
        <f aca="false">IF(Tasks[[#This Row],[Task Name]]="","",COUNTA(Tasks[[#Headers],[Task Name]]:Tasks[[#This Row],[Task Name]])-1)</f>
        <v/>
      </c>
      <c r="B105" s="22" t="n">
        <v>113</v>
      </c>
      <c r="C105" s="22"/>
      <c r="D105" s="23"/>
      <c r="E105" s="22"/>
      <c r="F105" s="23"/>
      <c r="G105" s="22"/>
      <c r="H105" s="22"/>
      <c r="I105" s="23"/>
      <c r="J105" s="22"/>
      <c r="K105" s="22"/>
      <c r="L105" s="23"/>
      <c r="M105" s="22"/>
      <c r="N105" s="22"/>
      <c r="O105" s="23"/>
      <c r="P105" s="22"/>
      <c r="Q105" s="22"/>
      <c r="R105" s="23"/>
      <c r="S105" s="23"/>
      <c r="T105" s="83"/>
      <c r="U105" s="23"/>
      <c r="V105" s="83"/>
      <c r="W105" s="23"/>
      <c r="X105" s="83"/>
      <c r="Y105" s="23"/>
      <c r="Z105" s="83"/>
      <c r="AA105" s="23"/>
      <c r="AB105" s="23"/>
      <c r="AC105" s="7"/>
      <c r="AD105" s="7"/>
      <c r="AE105" s="62" t="str">
        <f aca="false">IF(Tasks[[#This Row],[Task Name]]="","",IF(Tasks[[#This Row],[_IsSummary]],MIN(INDEX(Tasks[_ShownFcstStart],Tasks[[#This Row],[_Row]]+1):INDEX(Tasks[_ShownFcstStart],Tasks[[#This Row],[_Row]]+Tasks[[#This Row],[_Descendants]])),Tasks[[#This Row],[_ShownFcstStart]]))</f>
        <v/>
      </c>
      <c r="AF105" s="62" t="str">
        <f aca="false">IF(Tasks[[#This Row],[Task Name]]="","",IF(Tasks[[#This Row],[_IsSummary]],MAX(INDEX(Tasks[_ShownFcstFinish],Tasks[[#This Row],[_Row]]+1):INDEX(Tasks[_ShownFcstFinish],Tasks[[#This Row],[_Row]]+Tasks[[#This Row],[_Descendants]])),Tasks[[#This Row],[_ShownFcstFinish]]))</f>
        <v/>
      </c>
      <c r="AG105" s="21" t="str">
        <f aca="false">""</f>
        <v/>
      </c>
      <c r="AH105" s="23"/>
      <c r="AI1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5" s="7"/>
      <c r="AK105" s="22"/>
      <c r="AL105" s="23"/>
      <c r="AM105" s="7"/>
      <c r="AN105" s="46" t="str">
        <f aca="false">IF(Tasks[[#This Row],[Task Name]]="","",IF(Tasks[[#This Row],[Finish]]&gt;=Tasks[[#This Row],[Planned Finish]],NETWORKDAYS.INTL(Tasks[[#This Row],[Planned Finish]],Tasks[[#This Row],[Finish]],WorkWeek,Holidays)-1,1-NETWORKDAYS.INTL(Tasks[[#This Row],[Finish]],Tasks[[#This Row],[Planned Finish]],WorkWeek,Holidays)))</f>
        <v/>
      </c>
      <c r="AO105" s="21" t="str">
        <f aca="false">IF(Tasks[[#This Row],[Task Name]]="","",IF(Tasks[[#This Row],[Progress]]&gt;=1,"Complete",IF(OR(N(Tasks[[#This Row],[Actual Start]])&gt;0,Tasks[[#This Row],[Progress]]&gt;0),IF(Tasks[[#This Row],[Finish Var]]&gt;0,"Behind","In Progress"),IF(Tasks[[#This Row],[Planned Start]]&lt;StatusDate,"Late Start","Not Started"))))</f>
        <v/>
      </c>
      <c r="AP105" s="21" t="str">
        <f aca="false">IF(Tasks[[#This Row],[Task Name]]="","",IF(IF(Tasks[[#This Row],[_IsSummary]],COUNTIF(INDEX(Tasks[_LeafCritical],Tasks[[#This Row],[_Row]]+1):INDEX(Tasks[_LeafCritical],Tasks[[#This Row],[_Row]]+Tasks[[#This Row],[_Descendants]]),TRUE())&gt;0,Tasks[[#This Row],[_LeafCritical]]),"Yes",""))</f>
        <v/>
      </c>
      <c r="AQ105" s="62" t="str">
        <f aca="false">IF(Tasks[[#This Row],[Task Name]]="","",IF(N(Tasks[[#This Row],[Baseline Start]])&gt;0,Tasks[[#This Row],[Baseline Start]],Tasks[[#This Row],[_CalcStart]]))</f>
        <v/>
      </c>
      <c r="AR105" s="62" t="str">
        <f aca="false">IF(Tasks[[#This Row],[Task Name]]="","",IF(N(Tasks[[#This Row],[Baseline Finish]])&gt;0,Tasks[[#This Row],[Baseline Finish]],Tasks[[#This Row],[_CalcFinish]]))</f>
        <v/>
      </c>
      <c r="AS105" s="46" t="str">
        <f aca="false">IF(Tasks[[#This Row],[Task Name]]="","",IF(Tasks[[#This Row],[Start]]&gt;=Tasks[[#This Row],[Planned Start]],NETWORKDAYS.INTL(Tasks[[#This Row],[Planned Start]],Tasks[[#This Row],[Start]],WorkWeek,Holidays)-1,1-NETWORKDAYS.INTL(Tasks[[#This Row],[Start]],Tasks[[#This Row],[Planned Start]],WorkWeek,Holidays)))</f>
        <v/>
      </c>
      <c r="AT105" s="62" t="str">
        <f aca="false">IF(Tasks[[#This Row],[Task Name]]="","",IF(Tasks[[#This Row],[_IsSummary]],MIN(INDEX(Tasks[_LeafLateStart],Tasks[[#This Row],[_Row]]+1):INDEX(Tasks[_LeafLateStart],Tasks[[#This Row],[_Row]]+Tasks[[#This Row],[_Descendants]])),Tasks[[#This Row],[_LeafLateStart]]))</f>
        <v/>
      </c>
      <c r="AU105" s="62" t="str">
        <f aca="false">IF(Tasks[[#This Row],[Task Name]]="","",IF(Tasks[[#This Row],[_IsSummary]],MAX(INDEX(Tasks[_LeafLateFinish],Tasks[[#This Row],[_Row]]+1):INDEX(Tasks[_LeafLateFinish],Tasks[[#This Row],[_Row]]+Tasks[[#This Row],[_Descendants]])),Tasks[[#This Row],[_LeafLateFinish]]))</f>
        <v/>
      </c>
      <c r="AV105" s="46" t="str">
        <f aca="false">IF(Tasks[[#This Row],[Task Name]]="","",IF(Tasks[[#This Row],[_IsSummary]],MIN(INDEX(Tasks[_LeafTotalSlack],Tasks[[#This Row],[_Row]]+1):INDEX(Tasks[_LeafTotalSlack],Tasks[[#This Row],[_Row]]+Tasks[[#This Row],[_Descendants]])),Tasks[[#This Row],[_LeafTotalSlack]]))</f>
        <v/>
      </c>
      <c r="AW1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4"/>
      <c r="BA1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t="str">
        <f aca="false">IF(Tasks[[#This Row],[Task Name]]="","",IF(Tasks[[#This Row],[_Level]]&lt;=OutlineShowLevel,"Yes","No"))</f>
        <v/>
      </c>
      <c r="BE105" s="85" t="str">
        <f aca="false">IF(Tasks[[#This Row],[Task Name]]="","",IF(Tasks[[#This Row],[_IsSummary]],SUM(INDEX(Tasks[_LeafTotalWork],Tasks[[#This Row],[_Row]]+1):INDEX(Tasks[_LeafTotalWork],Tasks[[#This Row],[_Row]]+Tasks[[#This Row],[_Descendants]])),Tasks[[#This Row],[_LeafTotalWork]]))</f>
        <v/>
      </c>
      <c r="BF105" s="23"/>
      <c r="BG1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t="str">
        <f aca="false">""</f>
        <v/>
      </c>
      <c r="BI105" s="86"/>
      <c r="BJ105" s="22"/>
      <c r="BK105" s="46" t="str">
        <f aca="false">IF(OR(Tasks[[#This Row],[Task Name]]="",Tasks[[#This Row],[Baseline Duration]]=""),"",Tasks[[#This Row],[_SpanDays]]-N(Tasks[[#This Row],[Baseline Duration]]))</f>
        <v/>
      </c>
      <c r="BL105" s="85" t="str">
        <f aca="false">IF(OR(Tasks[[#This Row],[Task Name]]="",Tasks[[#This Row],[Baseline Work]]=""),"",Tasks[[#This Row],[Work]]-N(Tasks[[#This Row],[Baseline Work]]))</f>
        <v/>
      </c>
      <c r="BM105" s="62" t="str">
        <f aca="false">IF(Tasks[[#This Row],[Task Name]]="","",IF(OR(TakeBaseline="Yes",N(Tasks[[#This Row],[Baseline Start]])=0),Tasks[[#This Row],[Start]],Tasks[[#This Row],[Baseline Start]]))</f>
        <v/>
      </c>
      <c r="BN105" s="62" t="str">
        <f aca="false">IF(Tasks[[#This Row],[Task Name]]="","",IF(OR(TakeBaseline="Yes",N(Tasks[[#This Row],[Baseline Finish]])=0),Tasks[[#This Row],[Finish]],Tasks[[#This Row],[Baseline Finish]]))</f>
        <v/>
      </c>
      <c r="BO105" s="21" t="str">
        <f aca="false">IF(Tasks[[#This Row],[Task Name]]="","",IF(OR(TakeBaseline="Yes",N(Tasks[[#This Row],[Baseline Duration]])=0),Tasks[[#This Row],[_SpanDays]],Tasks[[#This Row],[Baseline Duration]]))</f>
        <v/>
      </c>
      <c r="BP105" s="85" t="str">
        <f aca="false">IF(Tasks[[#This Row],[Task Name]]="","",IF(OR(TakeBaseline="Yes",N(Tasks[[#This Row],[Baseline Work]])=0),Tasks[[#This Row],[Work]],Tasks[[#This Row],[Baseline Work]]))</f>
        <v/>
      </c>
      <c r="BQ105" s="7"/>
      <c r="BR105" s="7"/>
      <c r="BS105" s="22"/>
      <c r="BT105" s="87"/>
      <c r="BU105" s="42" t="str">
        <f aca="false">IF(Tasks[[#This Row],[Task Name]]="","",MAX(1,N(Tasks[[#This Row],[Level]])))</f>
        <v/>
      </c>
      <c r="BV105" s="42" t="n">
        <f aca="false">ROW()-ROW(Tasks[[#Headers],[ID]])</f>
        <v>100</v>
      </c>
      <c r="BW105" s="42" t="n">
        <f aca="false">IF(OR(Tasks[[#This Row],[Task Name]]="",Tasks[[#This Row],[_Level]]&lt;=1),0,IFERROR(LOOKUP(2,1/(Tasks[[#Headers],[_Level]]:Tasks[[#This Row],[_Level]]=Tasks[[#This Row],[_Level]]-1),ROW(Tasks[[#Headers],[_Level]]:Tasks[[#This Row],[_Level]])),0))</f>
        <v>0</v>
      </c>
      <c r="BX105" s="42" t="n">
        <f aca="false">IFERROR(N(INDEX(Tasks[_Level],Tasks[[#This Row],[_Row]]+1)),0)</f>
        <v>0</v>
      </c>
      <c r="BY105" s="88" t="b">
        <f aca="false">AND(Tasks[[#This Row],[Task Name]]&lt;&gt;"",Tasks[[#This Row],[_NextLevel]]&gt;Tasks[[#This Row],[_Level]])</f>
        <v>0</v>
      </c>
      <c r="BZ105" s="42" t="n">
        <f aca="false">IF(Tasks[[#This Row],[_IsSummary]],COUNTIF(Tasks[WBS],Tasks[[#This Row],[WBS]]&amp;".*"),0)</f>
        <v>0</v>
      </c>
      <c r="CA105" s="42" t="n">
        <f aca="false">IF(AND(Tasks[[#This Row],[Task Name]]&lt;&gt;"",NOT(Tasks[[#This Row],[_IsSummary]])),1,0)</f>
        <v>0</v>
      </c>
      <c r="CB105" s="42" t="n">
        <f aca="false">IF(N(Tasks[[#This Row],[_Pred1UID]])=0,0,IFERROR(MATCH(Tasks[[#This Row],[_Pred1UID]],Tasks[UID],0),-1))</f>
        <v>0</v>
      </c>
      <c r="CC105" s="42" t="n">
        <f aca="false">IF(N(Tasks[[#This Row],[_Pred2UID]])=0,0,IFERROR(MATCH(Tasks[[#This Row],[_Pred2UID]],Tasks[UID],0),-1))</f>
        <v>0</v>
      </c>
      <c r="CD105" s="42" t="n">
        <f aca="false">IF(N(Tasks[[#This Row],[_Pred3UID]])=0,0,IFERROR(MATCH(Tasks[[#This Row],[_Pred3UID]],Tasks[UID],0),-1))</f>
        <v>0</v>
      </c>
      <c r="CE105" s="42" t="n">
        <f aca="false">IF(N(Tasks[[#This Row],[_Pred4UID]])=0,0,IFERROR(MATCH(Tasks[[#This Row],[_Pred4UID]],Tasks[UID],0),-1))</f>
        <v>0</v>
      </c>
      <c r="CF1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5" s="89" t="n">
        <f aca="false">IF(OR(Tasks[[#This Row],[_ConstraintCode]]=2,Tasks[[#This Row],[_ConstraintCode]]=3,Tasks[[#This Row],[_ConstraintCode]]=4,Tasks[[#This Row],[_ConstraintCode]]=6),Tasks[[#This Row],[_ConstraintStart]],0)</f>
        <v>0</v>
      </c>
      <c r="CI105" s="89" t="n">
        <f aca="false">IF(OR(Tasks[[#This Row],[_ConstraintCode]]=2,Tasks[[#This Row],[_ConstraintCode]]=3,Tasks[[#This Row],[_ConstraintCode]]=5,Tasks[[#This Row],[_ConstraintCode]]=7),Tasks[[#This Row],[_ConstraintStart]],2958465)</f>
        <v>2958465</v>
      </c>
      <c r="CJ1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5" s="89" t="str">
        <f aca="false">IF(NOT(Tasks[[#This Row],[_IsLeaf]]=1),"",IF(N(Tasks[[#This Row],[_Days]])&lt;=0,Tasks[[#This Row],[_LeafCalcStart]],WORKDAY.INTL(Tasks[[#This Row],[_LeafCalcStart]],Tasks[[#This Row],[_Days]]-1,WorkWeek,Holidays)))</f>
        <v/>
      </c>
      <c r="CL1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5" s="42" t="str">
        <f aca="false">IF(Tasks[[#This Row],[_Predecessors]]="","",TRIM(MID(SUBSTITUTE(SUBSTITUTE(SUBSTITUTE(UPPER(Tasks[[#This Row],[_Predecessors]]),";",",")," ",""),",",REPT(" ",99)),1,99)))</f>
        <v/>
      </c>
      <c r="CO105" s="42" t="str">
        <f aca="false">IF(Tasks[[#This Row],[_Pred1Text]]="","",IFERROR(VALUE(LEFT(Tasks[[#This Row],[_Pred1Text]],MIN(FIND("F",Tasks[[#This Row],[_Pred1Text]]&amp;"F"),FIND("S",Tasks[[#This Row],[_Pred1Text]]&amp;"S"),FIND("+",Tasks[[#This Row],[_Pred1Text]]&amp;"+"),FIND("-",Tasks[[#This Row],[_Pred1Text]]&amp;"-"))-1)),""))</f>
        <v/>
      </c>
      <c r="CP1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5" s="42" t="str">
        <f aca="false">IF(Tasks[[#This Row],[_Pred1Text]]="","",TRIM(MID(SUBSTITUTE(SUBSTITUTE(SUBSTITUTE(UPPER(Tasks[[#This Row],[_Predecessors]]),";",",")," ",""),",",REPT(" ",99)),100,99)))</f>
        <v/>
      </c>
      <c r="CS105" s="42" t="str">
        <f aca="false">IF(Tasks[[#This Row],[_Pred2Text]]="","",IFERROR(VALUE(LEFT(Tasks[[#This Row],[_Pred2Text]],MIN(FIND("F",Tasks[[#This Row],[_Pred2Text]]&amp;"F"),FIND("S",Tasks[[#This Row],[_Pred2Text]]&amp;"S"),FIND("+",Tasks[[#This Row],[_Pred2Text]]&amp;"+"),FIND("-",Tasks[[#This Row],[_Pred2Text]]&amp;"-"))-1)),""))</f>
        <v/>
      </c>
      <c r="CT1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5" s="42" t="str">
        <f aca="false">IF(Tasks[[#This Row],[_Pred2Text]]="","",TRIM(MID(SUBSTITUTE(SUBSTITUTE(SUBSTITUTE(UPPER(Tasks[[#This Row],[_Predecessors]]),";",",")," ",""),",",REPT(" ",99)),199,99)))</f>
        <v/>
      </c>
      <c r="CW105" s="42" t="str">
        <f aca="false">IF(Tasks[[#This Row],[_Pred3Text]]="","",IFERROR(VALUE(LEFT(Tasks[[#This Row],[_Pred3Text]],MIN(FIND("F",Tasks[[#This Row],[_Pred3Text]]&amp;"F"),FIND("S",Tasks[[#This Row],[_Pred3Text]]&amp;"S"),FIND("+",Tasks[[#This Row],[_Pred3Text]]&amp;"+"),FIND("-",Tasks[[#This Row],[_Pred3Text]]&amp;"-"))-1)),""))</f>
        <v/>
      </c>
      <c r="CX1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5" s="42" t="str">
        <f aca="false">IF(Tasks[[#This Row],[_Pred3Text]]="","",TRIM(MID(SUBSTITUTE(SUBSTITUTE(SUBSTITUTE(UPPER(Tasks[[#This Row],[_Predecessors]]),";",",")," ",""),",",REPT(" ",99)),298,99)))</f>
        <v/>
      </c>
      <c r="DA105" s="42" t="str">
        <f aca="false">IF(Tasks[[#This Row],[_Pred4Text]]="","",IFERROR(VALUE(LEFT(Tasks[[#This Row],[_Pred4Text]],MIN(FIND("F",Tasks[[#This Row],[_Pred4Text]]&amp;"F"),FIND("S",Tasks[[#This Row],[_Pred4Text]]&amp;"S"),FIND("+",Tasks[[#This Row],[_Pred4Text]]&amp;"+"),FIND("-",Tasks[[#This Row],[_Pred4Text]]&amp;"-"))-1)),""))</f>
        <v/>
      </c>
      <c r="DB1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5" s="42" t="str">
        <f aca="false">IF(OR(Tasks[[#This Row],[Task Name]]="",Tasks[[#This Row],[_Resources]]=""),"",TRIM(MID(SUBSTITUTE(Tasks[[#This Row],[_Resources]],",",REPT(" ",99)),1,99)))</f>
        <v/>
      </c>
      <c r="DE105" s="42" t="str">
        <f aca="false">IF(Tasks[[#This Row],[_Res1Text]]="","",TRIM(MID(SUBSTITUTE(Tasks[[#This Row],[_Resources]],",",REPT(" ",99)),100,99)))</f>
        <v/>
      </c>
      <c r="DF105" s="42" t="str">
        <f aca="false">IF(Tasks[[#This Row],[_Res2Text]]="","",TRIM(MID(SUBSTITUTE(Tasks[[#This Row],[_Resources]],",",REPT(" ",99)),199,99)))</f>
        <v/>
      </c>
      <c r="DG105" s="42" t="str">
        <f aca="false">IF(Tasks[[#This Row],[_Res3Text]]="","",TRIM(MID(SUBSTITUTE(Tasks[[#This Row],[_Resources]],",",REPT(" ",99)),298,99)))</f>
        <v/>
      </c>
      <c r="DH105" s="42" t="n">
        <f aca="false">IF(Tasks[[#This Row],[_Res1Text]]="",0,IFERROR(MATCH(TRIM(LEFT(Tasks[[#This Row],[_Res1Text]],FIND("[",Tasks[[#This Row],[_Res1Text]]&amp;"[")-1)),res_Name,0),IFERROR(MATCH(TRIM(LEFT(Tasks[[#This Row],[_Res1Text]],FIND("[",Tasks[[#This Row],[_Res1Text]]&amp;"[")-1)),res_Initials,0),0)))</f>
        <v>0</v>
      </c>
      <c r="DI105" s="42" t="n">
        <f aca="false">IF(Tasks[[#This Row],[_Res2Text]]="",0,IFERROR(MATCH(TRIM(LEFT(Tasks[[#This Row],[_Res2Text]],FIND("[",Tasks[[#This Row],[_Res2Text]]&amp;"[")-1)),res_Name,0),IFERROR(MATCH(TRIM(LEFT(Tasks[[#This Row],[_Res2Text]],FIND("[",Tasks[[#This Row],[_Res2Text]]&amp;"[")-1)),res_Initials,0),0)))</f>
        <v>0</v>
      </c>
      <c r="DJ105" s="42" t="n">
        <f aca="false">IF(Tasks[[#This Row],[_Res3Text]]="",0,IFERROR(MATCH(TRIM(LEFT(Tasks[[#This Row],[_Res3Text]],FIND("[",Tasks[[#This Row],[_Res3Text]]&amp;"[")-1)),res_Name,0),IFERROR(MATCH(TRIM(LEFT(Tasks[[#This Row],[_Res3Text]],FIND("[",Tasks[[#This Row],[_Res3Text]]&amp;"[")-1)),res_Initials,0),0)))</f>
        <v>0</v>
      </c>
      <c r="DK105" s="42" t="n">
        <f aca="false">IF(Tasks[[#This Row],[_Res4Text]]="",0,IFERROR(MATCH(TRIM(LEFT(Tasks[[#This Row],[_Res4Text]],FIND("[",Tasks[[#This Row],[_Res4Text]]&amp;"[")-1)),res_Name,0),IFERROR(MATCH(TRIM(LEFT(Tasks[[#This Row],[_Res4Text]],FIND("[",Tasks[[#This Row],[_Res4Text]]&amp;"[")-1)),res_Initials,0),0)))</f>
        <v>0</v>
      </c>
      <c r="DL105" s="42" t="str">
        <f aca="false">IF(Tasks[[#This Row],[_Res1Text]]="","",IF(Tasks[[#This Row],[_Res1Row]]&gt;0,INDEX(res_Name,Tasks[[#This Row],[_Res1Row]]),TRIM(LEFT(Tasks[[#This Row],[_Res1Text]],FIND("[",Tasks[[#This Row],[_Res1Text]]&amp;"[")-1))))</f>
        <v/>
      </c>
      <c r="DM1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5" s="42" t="n">
        <f aca="false">IF(NOT(Tasks[[#This Row],[_IsLeaf]]=1),0,(Tasks[[#This Row],[_Resource1]]&lt;&gt;"")+(Tasks[[#This Row],[_Res2]]&lt;&gt;"")+(Tasks[[#This Row],[_Res3]]&lt;&gt;"")+(Tasks[[#This Row],[_Res4]]&lt;&gt;""))</f>
        <v>0</v>
      </c>
      <c r="DO105" s="42" t="str">
        <f aca="false">IF(Tasks[[#This Row],[_Res2Text]]="","",IF(Tasks[[#This Row],[_Res2Row]]&gt;0,INDEX(res_Name,Tasks[[#This Row],[_Res2Row]]),TRIM(LEFT(Tasks[[#This Row],[_Res2Text]],FIND("[",Tasks[[#This Row],[_Res2Text]]&amp;"[")-1))))</f>
        <v/>
      </c>
      <c r="DP1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5" s="42" t="n">
        <f aca="false">IF(OR(NOT(Tasks[[#This Row],[_IsLeaf]]=1),Tasks[[#This Row],[_Res2Row]]=0),0,N(Tasks[[#This Row],[_Days]])*HoursPerDay*IF(Tasks[[#This Row],[_Res2Units]]="",DefaultUnits,Tasks[[#This Row],[_Res2Units]]))</f>
        <v>0</v>
      </c>
      <c r="DR105" s="42" t="n">
        <f aca="false">IF(AND(AND(Tasks[[#This Row],[_IsLeaf]]=1,Tasks[[#This Row],[_LeafTotalWork]]&gt;0),Tasks[[#This Row],[_Res2Work]]&gt;0),Tasks[[#This Row],[_Res2Work]]/(Tasks[[#This Row],[_FinishWorkday]]-Tasks[[#This Row],[_StartWorkday]]+1),0)</f>
        <v>0</v>
      </c>
      <c r="DS105" s="42" t="n">
        <f aca="false">Tasks[[#This Row],[_Res2WorkPerWD]]*MAX(0,Tasks[[#This Row],[_StartWorkday]]-1)</f>
        <v>0</v>
      </c>
      <c r="DT105" s="42" t="n">
        <f aca="false">Tasks[[#This Row],[_Res2Work]]*Tasks[[#This Row],[_LeafProgress]]</f>
        <v>0</v>
      </c>
      <c r="DU105" s="42" t="str">
        <f aca="false">IF(Tasks[[#This Row],[_Res3Text]]="","",IF(Tasks[[#This Row],[_Res3Row]]&gt;0,INDEX(res_Name,Tasks[[#This Row],[_Res3Row]]),TRIM(LEFT(Tasks[[#This Row],[_Res3Text]],FIND("[",Tasks[[#This Row],[_Res3Text]]&amp;"[")-1))))</f>
        <v/>
      </c>
      <c r="DV1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5" s="42" t="n">
        <f aca="false">IF(OR(NOT(Tasks[[#This Row],[_IsLeaf]]=1),Tasks[[#This Row],[_Res3Row]]=0),0,N(Tasks[[#This Row],[_Days]])*HoursPerDay*IF(Tasks[[#This Row],[_Res3Units]]="",DefaultUnits,Tasks[[#This Row],[_Res3Units]]))</f>
        <v>0</v>
      </c>
      <c r="DX105" s="42" t="n">
        <f aca="false">IF(AND(AND(Tasks[[#This Row],[_IsLeaf]]=1,Tasks[[#This Row],[_LeafTotalWork]]&gt;0),Tasks[[#This Row],[_Res3Work]]&gt;0),Tasks[[#This Row],[_Res3Work]]/(Tasks[[#This Row],[_FinishWorkday]]-Tasks[[#This Row],[_StartWorkday]]+1),0)</f>
        <v>0</v>
      </c>
      <c r="DY105" s="42" t="n">
        <f aca="false">Tasks[[#This Row],[_Res3WorkPerWD]]*MAX(0,Tasks[[#This Row],[_StartWorkday]]-1)</f>
        <v>0</v>
      </c>
      <c r="DZ105" s="42" t="n">
        <f aca="false">Tasks[[#This Row],[_Res3Work]]*Tasks[[#This Row],[_LeafProgress]]</f>
        <v>0</v>
      </c>
      <c r="EA105" s="42" t="str">
        <f aca="false">IF(Tasks[[#This Row],[_Res4Text]]="","",IF(Tasks[[#This Row],[_Res4Row]]&gt;0,INDEX(res_Name,Tasks[[#This Row],[_Res4Row]]),TRIM(LEFT(Tasks[[#This Row],[_Res4Text]],FIND("[",Tasks[[#This Row],[_Res4Text]]&amp;"[")-1))))</f>
        <v/>
      </c>
      <c r="EB1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5" s="42" t="n">
        <f aca="false">IF(OR(NOT(Tasks[[#This Row],[_IsLeaf]]=1),Tasks[[#This Row],[_Res4Row]]=0),0,N(Tasks[[#This Row],[_Days]])*HoursPerDay*IF(Tasks[[#This Row],[_Res4Units]]="",DefaultUnits,Tasks[[#This Row],[_Res4Units]]))</f>
        <v>0</v>
      </c>
      <c r="ED105" s="42" t="n">
        <f aca="false">IF(AND(AND(Tasks[[#This Row],[_IsLeaf]]=1,Tasks[[#This Row],[_LeafTotalWork]]&gt;0),Tasks[[#This Row],[_Res4Work]]&gt;0),Tasks[[#This Row],[_Res4Work]]/(Tasks[[#This Row],[_FinishWorkday]]-Tasks[[#This Row],[_StartWorkday]]+1),0)</f>
        <v>0</v>
      </c>
      <c r="EE105" s="42" t="n">
        <f aca="false">Tasks[[#This Row],[_Res4WorkPerWD]]*MAX(0,Tasks[[#This Row],[_StartWorkday]]-1)</f>
        <v>0</v>
      </c>
      <c r="EF105" s="42" t="n">
        <f aca="false">Tasks[[#This Row],[_Res4Work]]*Tasks[[#This Row],[_LeafProgress]]</f>
        <v>0</v>
      </c>
      <c r="EG105" s="42" t="n">
        <f aca="false">IF(ISNUMBER(Tasks[[#This Row],[% Complete]]),Tasks[[#This Row],[% Complete]],IF(Tasks[[#This Row],[Stage]]="",0,IFERROR(INDEX(stg_Pct,MATCH(Tasks[[#This Row],[Stage]],stg_Name,0)),0)))</f>
        <v>0</v>
      </c>
      <c r="EH105" s="42" t="n">
        <f aca="false">IF(NOT(Tasks[[#This Row],[_IsLeaf]]=1),0,IF(N(Tasks[[#This Row],[Actual Finish]])&gt;0,1,MIN(1,Tasks[[#This Row],[_Pct]])))</f>
        <v>0</v>
      </c>
      <c r="EI105" s="42" t="n">
        <f aca="false">IF(OR(NOT(Tasks[[#This Row],[_IsLeaf]]=1),Tasks[[#This Row],[_Res1Row]]=0),0,N(Tasks[[#This Row],[_Days]])*HoursPerDay*IF(Tasks[[#This Row],[_Units1]]="",DefaultUnits,Tasks[[#This Row],[_Units1]]))</f>
        <v>0</v>
      </c>
      <c r="EJ105" s="42" t="n">
        <f aca="false">Tasks[[#This Row],[_LeafWork]]+Tasks[[#This Row],[_Res2Work]]+Tasks[[#This Row],[_Res3Work]]+Tasks[[#This Row],[_Res4Work]]</f>
        <v>0</v>
      </c>
      <c r="EK1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5" s="42" t="n">
        <f aca="false">IF(NOT(Tasks[[#This Row],[_IsLeaf]]=1),0,MAX(_xlfn.MAXIFS(Tasks[_Row],Tasks[_Pred1UID],Tasks[[#This Row],[UID]]),_xlfn.MAXIFS(Tasks[_Row],Tasks[_Pred2UID],Tasks[[#This Row],[UID]]),_xlfn.MAXIFS(Tasks[_Row],Tasks[_Pred3UID],Tasks[[#This Row],[UID]]),_xlfn.MAXIFS(Tasks[_Row],Tasks[_Pred4UID],Tasks[[#This Row],[UID]])))</f>
        <v>0</v>
      </c>
      <c r="ET1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5" s="89" t="str">
        <f aca="false">IF(NOT(Tasks[[#This Row],[_IsLeaf]]=1),"",IF(N(Tasks[[#This Row],[_Days]])&lt;=0,Tasks[[#This Row],[_LeafLateFinish]],WORKDAY.INTL(Tasks[[#This Row],[_LeafLateFinish]],-(Tasks[[#This Row],[_Days]]-1),WorkWeek,Holidays)))</f>
        <v/>
      </c>
      <c r="EW1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5" s="88" t="b">
        <f aca="false">AND(Tasks[[#This Row],[_IsLeaf]]=1,Tasks[[#This Row],[_LeafProgress]]&lt;1,N(Tasks[[#This Row],[_LeafTotalSlack]])&lt;=CriticalSlackDays)</f>
        <v>0</v>
      </c>
      <c r="EY105" s="42" t="n">
        <f aca="false">IF(AND(Tasks[[#This Row],[_IsLeaf]]=1,Tasks[[#This Row],[_ConstraintCode]]=1,Tasks[[#This Row],[Mode]]&lt;&gt;"Manual",N(Tasks[[#This Row],[Actual Start]])=0),MAX(0,N(Tasks[[#This Row],[Free Slack]])),0)</f>
        <v>0</v>
      </c>
      <c r="EZ105" s="89" t="str">
        <f aca="false">IF(NOT(Tasks[[#This Row],[_IsLeaf]]=1),"",IF(Tasks[[#This Row],[_AlapShift]]=0,Tasks[[#This Row],[_LeafCalcStart]],WORKDAY.INTL(Tasks[[#This Row],[_LeafCalcStart]],Tasks[[#This Row],[_AlapShift]],WorkWeek,Holidays)))</f>
        <v/>
      </c>
      <c r="FA105" s="89" t="str">
        <f aca="false">IF(NOT(Tasks[[#This Row],[_IsLeaf]]=1),"",IF(Tasks[[#This Row],[_AlapShift]]=0,Tasks[[#This Row],[_LeafCalcFinish]],WORKDAY.INTL(Tasks[[#This Row],[_LeafCalcFinish]],Tasks[[#This Row],[_AlapShift]],WorkWeek,Holidays)))</f>
        <v/>
      </c>
      <c r="FB105" s="89" t="str">
        <f aca="false">IF(NOT(Tasks[[#This Row],[_IsLeaf]]=1),"",IF(Tasks[[#This Row],[_AlapShift]]=0,Tasks[[#This Row],[_LeafFcstStart]],WORKDAY.INTL(Tasks[[#This Row],[_LeafFcstStart]],Tasks[[#This Row],[_AlapShift]],WorkWeek,Holidays)))</f>
        <v/>
      </c>
      <c r="FC105" s="89" t="str">
        <f aca="false">IF(NOT(Tasks[[#This Row],[_IsLeaf]]=1),"",IF(Tasks[[#This Row],[_AlapShift]]=0,Tasks[[#This Row],[_LeafFcstFinish]],WORKDAY.INTL(Tasks[[#This Row],[_LeafFcstFinish]],Tasks[[#This Row],[_AlapShift]],WorkWeek,Holidays)))</f>
        <v/>
      </c>
      <c r="FD105" s="89" t="str">
        <f aca="false">IF(Tasks[[#This Row],[Task Name]]="","",IF(Tasks[[#This Row],[_IsSummary]],MIN(INDEX(Tasks[_ShownCalcStart],Tasks[[#This Row],[_Row]]+1):INDEX(Tasks[_ShownCalcStart],Tasks[[#This Row],[_Row]]+Tasks[[#This Row],[_Descendants]])),Tasks[[#This Row],[_ShownCalcStart]]))</f>
        <v/>
      </c>
      <c r="FE105" s="89" t="str">
        <f aca="false">IF(Tasks[[#This Row],[Task Name]]="","",IF(Tasks[[#This Row],[_IsSummary]],MAX(INDEX(Tasks[_ShownCalcFinish],Tasks[[#This Row],[_Row]]+1):INDEX(Tasks[_ShownCalcFinish],Tasks[[#This Row],[_Row]]+Tasks[[#This Row],[_Descendants]])),Tasks[[#This Row],[_ShownCalcFinish]]))</f>
        <v/>
      </c>
      <c r="FF1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5" s="42" t="n">
        <f aca="false">IF(AND(Tasks[[#This Row],[_IsLeaf]]=1,Tasks[[#This Row],[_LeafTotalWork]]&gt;0),NETWORKDAYS.INTL(ProjectStart,Tasks[[#This Row],[_ShownFcstStart]],WorkWeek,Holidays),0)</f>
        <v>0</v>
      </c>
      <c r="FS105" s="42" t="n">
        <f aca="false">IF(AND(Tasks[[#This Row],[_IsLeaf]]=1,Tasks[[#This Row],[_LeafTotalWork]]&gt;0),MAX(Tasks[[#This Row],[_StartWorkday]],NETWORKDAYS.INTL(ProjectStart,Tasks[[#This Row],[_ShownFcstFinish]],WorkWeek,Holidays)),0)</f>
        <v>0</v>
      </c>
      <c r="FT105" s="42" t="n">
        <f aca="false">IF(AND(Tasks[[#This Row],[_IsLeaf]]=1,Tasks[[#This Row],[_LeafTotalWork]]&gt;0),Tasks[[#This Row],[_LeafWork]]/(Tasks[[#This Row],[_FinishWorkday]]-Tasks[[#This Row],[_StartWorkday]]+1),0)</f>
        <v>0</v>
      </c>
      <c r="FU105" s="42" t="n">
        <f aca="false">Tasks[[#This Row],[_WorkPerWorkday]]*(Tasks[[#This Row],[_StartWorkday]]-1)</f>
        <v>-0</v>
      </c>
      <c r="FV105" s="42" t="n">
        <f aca="false">IF(Tasks[[#This Row],[_IsLeaf]]=1,MAX(N(Tasks[[#This Row],[_Days]]),0.1),0)</f>
        <v>0</v>
      </c>
      <c r="FW105" s="42" t="n">
        <f aca="false">Tasks[[#This Row],[_WeightDur]]*Tasks[[#This Row],[_LeafProgress]]</f>
        <v>0</v>
      </c>
      <c r="FX105" s="42" t="n">
        <f aca="false">Tasks[[#This Row],[_WeightDur]]*Tasks[[#This Row],[_PlannedPct]]</f>
        <v>0</v>
      </c>
      <c r="FY1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5" s="42" t="str">
        <f aca="false">IF(AND(Tasks[[#This Row],[_IsLeaf]]=1,N(Tasks[[#This Row],[_Days]])=0,Tasks[[#This Row],[_LeafProgress]]&lt;1),Tasks[[#This Row],[_ShownFcstFinish]]+Tasks[[#This Row],[_Row]]/100000,"")</f>
        <v/>
      </c>
      <c r="GA1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5" s="42" t="str">
        <f aca="false">IF(Tasks[[#This Row],[Task Name]]="","",LEFT(Tasks[[#This Row],[WBS]],FIND(".",Tasks[[#This Row],[WBS]]&amp;".")-1))</f>
        <v/>
      </c>
      <c r="GC105" s="42" t="str">
        <f aca="false">IF(AND(Tasks[[#This Row],[Task Name]]&lt;&gt;"",Tasks[[#This Row],[_Level]]=1),Tasks[[#This Row],[_Row]],"")</f>
        <v/>
      </c>
      <c r="GD105" s="42" t="str">
        <f aca="false">IF(AND(Tasks[[#This Row],[_IsLeaf]]=1,N(Tasks[[#This Row],[_Days]])=0),Tasks[[#This Row],[Planned Finish]]+Tasks[[#This Row],[_Row]]/100000,"")</f>
        <v/>
      </c>
      <c r="GE105" s="42" t="str">
        <f aca="false">IF(AND(Tasks[[#This Row],[_IsLeaf]]=1,Tasks[[#This Row],[_LeafProgress]]&lt;1,OR(N(Tasks[[#This Row],[Finish Var]])&gt;0,Tasks[[#This Row],[Status]]="Late Start")),MAX(0,Tasks[[#This Row],[Finish Var]])+1-Tasks[[#This Row],[_Row]]/1000000,"")</f>
        <v/>
      </c>
      <c r="GF105" s="42" t="str">
        <f aca="false">IF(AND(Tasks[[#This Row],[_IsLeaf]]=1,N(Tasks[[#This Row],[Actual Start]])=0,Tasks[[#This Row],[_ShownFcstStart]]&gt;=StatusDate,Tasks[[#This Row],[_ShownFcstStart]]&lt;=LookaheadEnd),Tasks[[#This Row],[_ShownFcstStart]]+Tasks[[#This Row],[_Row]]/100000,"")</f>
        <v/>
      </c>
      <c r="GG105" s="42" t="str">
        <f aca="false">IF(AND(Tasks[[#This Row],[_IsLeaf]]=1,Tasks[[#This Row],[_LeafProgress]]&lt;1,Tasks[[#This Row],[_ShownFcstFinish]]&gt;=StatusDate,Tasks[[#This Row],[_ShownFcstFinish]]&lt;=LookaheadEnd),Tasks[[#This Row],[_ShownFcstFinish]]+Tasks[[#This Row],[_Row]]/100000,"")</f>
        <v/>
      </c>
      <c r="GH105" s="42" t="str">
        <f aca="false">IF(Tasks[[#This Row],[_LeafCritical]],Tasks[[#This Row],[_ShownFcstStart]]+Tasks[[#This Row],[_Row]]/100000,"")</f>
        <v/>
      </c>
      <c r="GI105" s="42" t="n">
        <f aca="false">Tasks[[#This Row],[_LeafWork]]*Tasks[[#This Row],[_LeafProgress]]</f>
        <v>0</v>
      </c>
      <c r="GJ105" s="89" t="str">
        <f aca="false">IF(AND(Tasks[[#This Row],[_IsLeaf]]=1,Tasks[[#This Row],[_LeafProgress]]&gt;=1),IF(N(Tasks[[#This Row],[Actual Finish]])&gt;0,Tasks[[#This Row],[Actual Finish]],Tasks[[#This Row],[_ShownFcstFinish]]),"")</f>
        <v/>
      </c>
      <c r="GK105" s="42" t="n">
        <f aca="false">IF(Tasks[[#This Row],[_IsLeaf]]=1,N(Tasks[[#This Row],[Story Points]]),0)</f>
        <v>0</v>
      </c>
      <c r="GL105" s="42" t="str">
        <f aca="false">""</f>
        <v/>
      </c>
      <c r="GM105" s="88" t="b">
        <f aca="false">IF(Tasks[[#This Row],[Task Name]]="",FALSE(),AND(Tasks[[#This Row],[_IsLeaf]]=1,N(Tasks[[#This Row],[_Days]])=0))</f>
        <v>0</v>
      </c>
      <c r="GN105" s="89" t="n">
        <f aca="false">IF(Tasks[[#This Row],[Task Name]]="",0,IF(AND(Tasks[[#This Row],[_IsLeaf]]=1,NOT(Tasks[[#This Row],[_IsMilestone]]),N(Tasks[[#This Row],[Progress]])&gt;0),Tasks[[#This Row],[Start]],0))</f>
        <v>0</v>
      </c>
      <c r="GO105" s="89" t="n">
        <f aca="false">IF(Tasks[[#This Row],[_DoneFrom]]=0,0,IF(Tasks[[#This Row],[Progress]]&gt;=1,Tasks[[#This Row],[Finish]],MAX(Tasks[[#This Row],[_DoneFrom]],Tasks[[#This Row],[Start]]+ROUND((Tasks[[#This Row],[Finish]]-Tasks[[#This Row],[Start]]+1)*Tasks[[#This Row],[Progress]],0)-1)))</f>
        <v>0</v>
      </c>
      <c r="GP105" s="89" t="n">
        <f aca="false">IF(Tasks[[#This Row],[Task Name]]="",0,IF(OR(NOT(Tasks[[#This Row],[_IsLeaf]]=1),Tasks[[#This Row],[_IsMilestone]],N(Tasks[[#This Row],[Progress]])&gt;=1),0,IF(Tasks[[#This Row],[_DoneTo]]&gt;0,Tasks[[#This Row],[_DoneTo]]+1,Tasks[[#This Row],[Start]])))</f>
        <v>0</v>
      </c>
      <c r="GQ105" s="89" t="n">
        <f aca="false">IF(Tasks[[#This Row],[_RemFrom]]=0,0,Tasks[[#This Row],[Finish]])</f>
        <v>0</v>
      </c>
      <c r="GR105" s="88" t="b">
        <f aca="false">IF(Tasks[[#This Row],[Task Name]]="",FALSE(),OR(NOT(BaselineSet),N(Tasks[[#This Row],[Baseline Start]])&gt;0))</f>
        <v>0</v>
      </c>
      <c r="GS1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5" s="90" t="str">
        <f aca="false">IF(Tasks[[#This Row],[_IsLeaf]]=1,Tasks[[#This Row],[_Row]],"")</f>
        <v/>
      </c>
      <c r="GW105" s="90" t="str">
        <f aca="false">IFERROR(INDEX(Tasks[UID],SMALL(Tasks[_PickKey],Tasks[[#This Row],[_Row]]))&amp;" "&amp;INDEX(Tasks[Task Name],SMALL(Tasks[_PickKey],Tasks[[#This Row],[_Row]])),"")</f>
        <v/>
      </c>
      <c r="GX105" s="42" t="str">
        <f aca="false">IF(Tasks[[#This Row],[Task Name]]="","",IF(Tasks[[#This Row],[_IsSummary]],NETWORKDAYS.INTL(Tasks[[#This Row],[Start]],Tasks[[#This Row],[Finish]],WorkWeek,Holidays),N(Tasks[[#This Row],[_Days]])))</f>
        <v/>
      </c>
    </row>
    <row r="106" customFormat="false" ht="15" hidden="false" customHeight="false" outlineLevel="0" collapsed="false">
      <c r="A106" s="21" t="str">
        <f aca="false">IF(Tasks[[#This Row],[Task Name]]="","",COUNTA(Tasks[[#Headers],[Task Name]]:Tasks[[#This Row],[Task Name]])-1)</f>
        <v/>
      </c>
      <c r="B106" s="22" t="n">
        <v>114</v>
      </c>
      <c r="C106" s="22"/>
      <c r="D106" s="23"/>
      <c r="E106" s="22"/>
      <c r="F106" s="23"/>
      <c r="G106" s="22"/>
      <c r="H106" s="22"/>
      <c r="I106" s="23"/>
      <c r="J106" s="22"/>
      <c r="K106" s="22"/>
      <c r="L106" s="23"/>
      <c r="M106" s="22"/>
      <c r="N106" s="22"/>
      <c r="O106" s="23"/>
      <c r="P106" s="22"/>
      <c r="Q106" s="22"/>
      <c r="R106" s="23"/>
      <c r="S106" s="23"/>
      <c r="T106" s="83"/>
      <c r="U106" s="23"/>
      <c r="V106" s="83"/>
      <c r="W106" s="23"/>
      <c r="X106" s="83"/>
      <c r="Y106" s="23"/>
      <c r="Z106" s="83"/>
      <c r="AA106" s="23"/>
      <c r="AB106" s="23"/>
      <c r="AC106" s="7"/>
      <c r="AD106" s="7"/>
      <c r="AE106" s="62" t="str">
        <f aca="false">IF(Tasks[[#This Row],[Task Name]]="","",IF(Tasks[[#This Row],[_IsSummary]],MIN(INDEX(Tasks[_ShownFcstStart],Tasks[[#This Row],[_Row]]+1):INDEX(Tasks[_ShownFcstStart],Tasks[[#This Row],[_Row]]+Tasks[[#This Row],[_Descendants]])),Tasks[[#This Row],[_ShownFcstStart]]))</f>
        <v/>
      </c>
      <c r="AF106" s="62" t="str">
        <f aca="false">IF(Tasks[[#This Row],[Task Name]]="","",IF(Tasks[[#This Row],[_IsSummary]],MAX(INDEX(Tasks[_ShownFcstFinish],Tasks[[#This Row],[_Row]]+1):INDEX(Tasks[_ShownFcstFinish],Tasks[[#This Row],[_Row]]+Tasks[[#This Row],[_Descendants]])),Tasks[[#This Row],[_ShownFcstFinish]]))</f>
        <v/>
      </c>
      <c r="AG106" s="21" t="str">
        <f aca="false">""</f>
        <v/>
      </c>
      <c r="AH106" s="23"/>
      <c r="AI10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6" s="7"/>
      <c r="AK106" s="22"/>
      <c r="AL106" s="23"/>
      <c r="AM106" s="7"/>
      <c r="AN106" s="46" t="str">
        <f aca="false">IF(Tasks[[#This Row],[Task Name]]="","",IF(Tasks[[#This Row],[Finish]]&gt;=Tasks[[#This Row],[Planned Finish]],NETWORKDAYS.INTL(Tasks[[#This Row],[Planned Finish]],Tasks[[#This Row],[Finish]],WorkWeek,Holidays)-1,1-NETWORKDAYS.INTL(Tasks[[#This Row],[Finish]],Tasks[[#This Row],[Planned Finish]],WorkWeek,Holidays)))</f>
        <v/>
      </c>
      <c r="AO106" s="21" t="str">
        <f aca="false">IF(Tasks[[#This Row],[Task Name]]="","",IF(Tasks[[#This Row],[Progress]]&gt;=1,"Complete",IF(OR(N(Tasks[[#This Row],[Actual Start]])&gt;0,Tasks[[#This Row],[Progress]]&gt;0),IF(Tasks[[#This Row],[Finish Var]]&gt;0,"Behind","In Progress"),IF(Tasks[[#This Row],[Planned Start]]&lt;StatusDate,"Late Start","Not Started"))))</f>
        <v/>
      </c>
      <c r="AP106" s="21" t="str">
        <f aca="false">IF(Tasks[[#This Row],[Task Name]]="","",IF(IF(Tasks[[#This Row],[_IsSummary]],COUNTIF(INDEX(Tasks[_LeafCritical],Tasks[[#This Row],[_Row]]+1):INDEX(Tasks[_LeafCritical],Tasks[[#This Row],[_Row]]+Tasks[[#This Row],[_Descendants]]),TRUE())&gt;0,Tasks[[#This Row],[_LeafCritical]]),"Yes",""))</f>
        <v/>
      </c>
      <c r="AQ106" s="62" t="str">
        <f aca="false">IF(Tasks[[#This Row],[Task Name]]="","",IF(N(Tasks[[#This Row],[Baseline Start]])&gt;0,Tasks[[#This Row],[Baseline Start]],Tasks[[#This Row],[_CalcStart]]))</f>
        <v/>
      </c>
      <c r="AR106" s="62" t="str">
        <f aca="false">IF(Tasks[[#This Row],[Task Name]]="","",IF(N(Tasks[[#This Row],[Baseline Finish]])&gt;0,Tasks[[#This Row],[Baseline Finish]],Tasks[[#This Row],[_CalcFinish]]))</f>
        <v/>
      </c>
      <c r="AS106" s="46" t="str">
        <f aca="false">IF(Tasks[[#This Row],[Task Name]]="","",IF(Tasks[[#This Row],[Start]]&gt;=Tasks[[#This Row],[Planned Start]],NETWORKDAYS.INTL(Tasks[[#This Row],[Planned Start]],Tasks[[#This Row],[Start]],WorkWeek,Holidays)-1,1-NETWORKDAYS.INTL(Tasks[[#This Row],[Start]],Tasks[[#This Row],[Planned Start]],WorkWeek,Holidays)))</f>
        <v/>
      </c>
      <c r="AT106" s="62" t="str">
        <f aca="false">IF(Tasks[[#This Row],[Task Name]]="","",IF(Tasks[[#This Row],[_IsSummary]],MIN(INDEX(Tasks[_LeafLateStart],Tasks[[#This Row],[_Row]]+1):INDEX(Tasks[_LeafLateStart],Tasks[[#This Row],[_Row]]+Tasks[[#This Row],[_Descendants]])),Tasks[[#This Row],[_LeafLateStart]]))</f>
        <v/>
      </c>
      <c r="AU106" s="62" t="str">
        <f aca="false">IF(Tasks[[#This Row],[Task Name]]="","",IF(Tasks[[#This Row],[_IsSummary]],MAX(INDEX(Tasks[_LeafLateFinish],Tasks[[#This Row],[_Row]]+1):INDEX(Tasks[_LeafLateFinish],Tasks[[#This Row],[_Row]]+Tasks[[#This Row],[_Descendants]])),Tasks[[#This Row],[_LeafLateFinish]]))</f>
        <v/>
      </c>
      <c r="AV106" s="46" t="str">
        <f aca="false">IF(Tasks[[#This Row],[Task Name]]="","",IF(Tasks[[#This Row],[_IsSummary]],MIN(INDEX(Tasks[_LeafTotalSlack],Tasks[[#This Row],[_Row]]+1):INDEX(Tasks[_LeafTotalSlack],Tasks[[#This Row],[_Row]]+Tasks[[#This Row],[_Descendants]])),Tasks[[#This Row],[_LeafTotalSlack]]))</f>
        <v/>
      </c>
      <c r="AW10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4"/>
      <c r="BA10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t="str">
        <f aca="false">IF(Tasks[[#This Row],[Task Name]]="","",IF(Tasks[[#This Row],[_Level]]&lt;=OutlineShowLevel,"Yes","No"))</f>
        <v/>
      </c>
      <c r="BE106" s="85" t="str">
        <f aca="false">IF(Tasks[[#This Row],[Task Name]]="","",IF(Tasks[[#This Row],[_IsSummary]],SUM(INDEX(Tasks[_LeafTotalWork],Tasks[[#This Row],[_Row]]+1):INDEX(Tasks[_LeafTotalWork],Tasks[[#This Row],[_Row]]+Tasks[[#This Row],[_Descendants]])),Tasks[[#This Row],[_LeafTotalWork]]))</f>
        <v/>
      </c>
      <c r="BF106" s="23"/>
      <c r="BG10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t="str">
        <f aca="false">""</f>
        <v/>
      </c>
      <c r="BI106" s="86"/>
      <c r="BJ106" s="22"/>
      <c r="BK106" s="46" t="str">
        <f aca="false">IF(OR(Tasks[[#This Row],[Task Name]]="",Tasks[[#This Row],[Baseline Duration]]=""),"",Tasks[[#This Row],[_SpanDays]]-N(Tasks[[#This Row],[Baseline Duration]]))</f>
        <v/>
      </c>
      <c r="BL106" s="85" t="str">
        <f aca="false">IF(OR(Tasks[[#This Row],[Task Name]]="",Tasks[[#This Row],[Baseline Work]]=""),"",Tasks[[#This Row],[Work]]-N(Tasks[[#This Row],[Baseline Work]]))</f>
        <v/>
      </c>
      <c r="BM106" s="62" t="str">
        <f aca="false">IF(Tasks[[#This Row],[Task Name]]="","",IF(OR(TakeBaseline="Yes",N(Tasks[[#This Row],[Baseline Start]])=0),Tasks[[#This Row],[Start]],Tasks[[#This Row],[Baseline Start]]))</f>
        <v/>
      </c>
      <c r="BN106" s="62" t="str">
        <f aca="false">IF(Tasks[[#This Row],[Task Name]]="","",IF(OR(TakeBaseline="Yes",N(Tasks[[#This Row],[Baseline Finish]])=0),Tasks[[#This Row],[Finish]],Tasks[[#This Row],[Baseline Finish]]))</f>
        <v/>
      </c>
      <c r="BO106" s="21" t="str">
        <f aca="false">IF(Tasks[[#This Row],[Task Name]]="","",IF(OR(TakeBaseline="Yes",N(Tasks[[#This Row],[Baseline Duration]])=0),Tasks[[#This Row],[_SpanDays]],Tasks[[#This Row],[Baseline Duration]]))</f>
        <v/>
      </c>
      <c r="BP106" s="85" t="str">
        <f aca="false">IF(Tasks[[#This Row],[Task Name]]="","",IF(OR(TakeBaseline="Yes",N(Tasks[[#This Row],[Baseline Work]])=0),Tasks[[#This Row],[Work]],Tasks[[#This Row],[Baseline Work]]))</f>
        <v/>
      </c>
      <c r="BQ106" s="7"/>
      <c r="BR106" s="7"/>
      <c r="BS106" s="22"/>
      <c r="BT106" s="87"/>
      <c r="BU106" s="42" t="str">
        <f aca="false">IF(Tasks[[#This Row],[Task Name]]="","",MAX(1,N(Tasks[[#This Row],[Level]])))</f>
        <v/>
      </c>
      <c r="BV106" s="42" t="n">
        <f aca="false">ROW()-ROW(Tasks[[#Headers],[ID]])</f>
        <v>101</v>
      </c>
      <c r="BW106" s="42" t="n">
        <f aca="false">IF(OR(Tasks[[#This Row],[Task Name]]="",Tasks[[#This Row],[_Level]]&lt;=1),0,IFERROR(LOOKUP(2,1/(Tasks[[#Headers],[_Level]]:Tasks[[#This Row],[_Level]]=Tasks[[#This Row],[_Level]]-1),ROW(Tasks[[#Headers],[_Level]]:Tasks[[#This Row],[_Level]])),0))</f>
        <v>0</v>
      </c>
      <c r="BX106" s="42" t="n">
        <f aca="false">IFERROR(N(INDEX(Tasks[_Level],Tasks[[#This Row],[_Row]]+1)),0)</f>
        <v>0</v>
      </c>
      <c r="BY106" s="88" t="b">
        <f aca="false">AND(Tasks[[#This Row],[Task Name]]&lt;&gt;"",Tasks[[#This Row],[_NextLevel]]&gt;Tasks[[#This Row],[_Level]])</f>
        <v>0</v>
      </c>
      <c r="BZ106" s="42" t="n">
        <f aca="false">IF(Tasks[[#This Row],[_IsSummary]],COUNTIF(Tasks[WBS],Tasks[[#This Row],[WBS]]&amp;".*"),0)</f>
        <v>0</v>
      </c>
      <c r="CA106" s="42" t="n">
        <f aca="false">IF(AND(Tasks[[#This Row],[Task Name]]&lt;&gt;"",NOT(Tasks[[#This Row],[_IsSummary]])),1,0)</f>
        <v>0</v>
      </c>
      <c r="CB106" s="42" t="n">
        <f aca="false">IF(N(Tasks[[#This Row],[_Pred1UID]])=0,0,IFERROR(MATCH(Tasks[[#This Row],[_Pred1UID]],Tasks[UID],0),-1))</f>
        <v>0</v>
      </c>
      <c r="CC106" s="42" t="n">
        <f aca="false">IF(N(Tasks[[#This Row],[_Pred2UID]])=0,0,IFERROR(MATCH(Tasks[[#This Row],[_Pred2UID]],Tasks[UID],0),-1))</f>
        <v>0</v>
      </c>
      <c r="CD106" s="42" t="n">
        <f aca="false">IF(N(Tasks[[#This Row],[_Pred3UID]])=0,0,IFERROR(MATCH(Tasks[[#This Row],[_Pred3UID]],Tasks[UID],0),-1))</f>
        <v>0</v>
      </c>
      <c r="CE106" s="42" t="n">
        <f aca="false">IF(N(Tasks[[#This Row],[_Pred4UID]])=0,0,IFERROR(MATCH(Tasks[[#This Row],[_Pred4UID]],Tasks[UID],0),-1))</f>
        <v>0</v>
      </c>
      <c r="CF10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6" s="89" t="n">
        <f aca="false">IF(OR(Tasks[[#This Row],[_ConstraintCode]]=2,Tasks[[#This Row],[_ConstraintCode]]=3,Tasks[[#This Row],[_ConstraintCode]]=4,Tasks[[#This Row],[_ConstraintCode]]=6),Tasks[[#This Row],[_ConstraintStart]],0)</f>
        <v>0</v>
      </c>
      <c r="CI106" s="89" t="n">
        <f aca="false">IF(OR(Tasks[[#This Row],[_ConstraintCode]]=2,Tasks[[#This Row],[_ConstraintCode]]=3,Tasks[[#This Row],[_ConstraintCode]]=5,Tasks[[#This Row],[_ConstraintCode]]=7),Tasks[[#This Row],[_ConstraintStart]],2958465)</f>
        <v>2958465</v>
      </c>
      <c r="CJ10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6" s="89" t="str">
        <f aca="false">IF(NOT(Tasks[[#This Row],[_IsLeaf]]=1),"",IF(N(Tasks[[#This Row],[_Days]])&lt;=0,Tasks[[#This Row],[_LeafCalcStart]],WORKDAY.INTL(Tasks[[#This Row],[_LeafCalcStart]],Tasks[[#This Row],[_Days]]-1,WorkWeek,Holidays)))</f>
        <v/>
      </c>
      <c r="CL10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6" s="42" t="str">
        <f aca="false">IF(Tasks[[#This Row],[_Predecessors]]="","",TRIM(MID(SUBSTITUTE(SUBSTITUTE(SUBSTITUTE(UPPER(Tasks[[#This Row],[_Predecessors]]),";",",")," ",""),",",REPT(" ",99)),1,99)))</f>
        <v/>
      </c>
      <c r="CO106" s="42" t="str">
        <f aca="false">IF(Tasks[[#This Row],[_Pred1Text]]="","",IFERROR(VALUE(LEFT(Tasks[[#This Row],[_Pred1Text]],MIN(FIND("F",Tasks[[#This Row],[_Pred1Text]]&amp;"F"),FIND("S",Tasks[[#This Row],[_Pred1Text]]&amp;"S"),FIND("+",Tasks[[#This Row],[_Pred1Text]]&amp;"+"),FIND("-",Tasks[[#This Row],[_Pred1Text]]&amp;"-"))-1)),""))</f>
        <v/>
      </c>
      <c r="CP10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6" s="42" t="str">
        <f aca="false">IF(Tasks[[#This Row],[_Pred1Text]]="","",TRIM(MID(SUBSTITUTE(SUBSTITUTE(SUBSTITUTE(UPPER(Tasks[[#This Row],[_Predecessors]]),";",",")," ",""),",",REPT(" ",99)),100,99)))</f>
        <v/>
      </c>
      <c r="CS106" s="42" t="str">
        <f aca="false">IF(Tasks[[#This Row],[_Pred2Text]]="","",IFERROR(VALUE(LEFT(Tasks[[#This Row],[_Pred2Text]],MIN(FIND("F",Tasks[[#This Row],[_Pred2Text]]&amp;"F"),FIND("S",Tasks[[#This Row],[_Pred2Text]]&amp;"S"),FIND("+",Tasks[[#This Row],[_Pred2Text]]&amp;"+"),FIND("-",Tasks[[#This Row],[_Pred2Text]]&amp;"-"))-1)),""))</f>
        <v/>
      </c>
      <c r="CT10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6" s="42" t="str">
        <f aca="false">IF(Tasks[[#This Row],[_Pred2Text]]="","",TRIM(MID(SUBSTITUTE(SUBSTITUTE(SUBSTITUTE(UPPER(Tasks[[#This Row],[_Predecessors]]),";",",")," ",""),",",REPT(" ",99)),199,99)))</f>
        <v/>
      </c>
      <c r="CW106" s="42" t="str">
        <f aca="false">IF(Tasks[[#This Row],[_Pred3Text]]="","",IFERROR(VALUE(LEFT(Tasks[[#This Row],[_Pred3Text]],MIN(FIND("F",Tasks[[#This Row],[_Pred3Text]]&amp;"F"),FIND("S",Tasks[[#This Row],[_Pred3Text]]&amp;"S"),FIND("+",Tasks[[#This Row],[_Pred3Text]]&amp;"+"),FIND("-",Tasks[[#This Row],[_Pred3Text]]&amp;"-"))-1)),""))</f>
        <v/>
      </c>
      <c r="CX10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6" s="42" t="str">
        <f aca="false">IF(Tasks[[#This Row],[_Pred3Text]]="","",TRIM(MID(SUBSTITUTE(SUBSTITUTE(SUBSTITUTE(UPPER(Tasks[[#This Row],[_Predecessors]]),";",",")," ",""),",",REPT(" ",99)),298,99)))</f>
        <v/>
      </c>
      <c r="DA106" s="42" t="str">
        <f aca="false">IF(Tasks[[#This Row],[_Pred4Text]]="","",IFERROR(VALUE(LEFT(Tasks[[#This Row],[_Pred4Text]],MIN(FIND("F",Tasks[[#This Row],[_Pred4Text]]&amp;"F"),FIND("S",Tasks[[#This Row],[_Pred4Text]]&amp;"S"),FIND("+",Tasks[[#This Row],[_Pred4Text]]&amp;"+"),FIND("-",Tasks[[#This Row],[_Pred4Text]]&amp;"-"))-1)),""))</f>
        <v/>
      </c>
      <c r="DB10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6" s="42" t="str">
        <f aca="false">IF(OR(Tasks[[#This Row],[Task Name]]="",Tasks[[#This Row],[_Resources]]=""),"",TRIM(MID(SUBSTITUTE(Tasks[[#This Row],[_Resources]],",",REPT(" ",99)),1,99)))</f>
        <v/>
      </c>
      <c r="DE106" s="42" t="str">
        <f aca="false">IF(Tasks[[#This Row],[_Res1Text]]="","",TRIM(MID(SUBSTITUTE(Tasks[[#This Row],[_Resources]],",",REPT(" ",99)),100,99)))</f>
        <v/>
      </c>
      <c r="DF106" s="42" t="str">
        <f aca="false">IF(Tasks[[#This Row],[_Res2Text]]="","",TRIM(MID(SUBSTITUTE(Tasks[[#This Row],[_Resources]],",",REPT(" ",99)),199,99)))</f>
        <v/>
      </c>
      <c r="DG106" s="42" t="str">
        <f aca="false">IF(Tasks[[#This Row],[_Res3Text]]="","",TRIM(MID(SUBSTITUTE(Tasks[[#This Row],[_Resources]],",",REPT(" ",99)),298,99)))</f>
        <v/>
      </c>
      <c r="DH106" s="42" t="n">
        <f aca="false">IF(Tasks[[#This Row],[_Res1Text]]="",0,IFERROR(MATCH(TRIM(LEFT(Tasks[[#This Row],[_Res1Text]],FIND("[",Tasks[[#This Row],[_Res1Text]]&amp;"[")-1)),res_Name,0),IFERROR(MATCH(TRIM(LEFT(Tasks[[#This Row],[_Res1Text]],FIND("[",Tasks[[#This Row],[_Res1Text]]&amp;"[")-1)),res_Initials,0),0)))</f>
        <v>0</v>
      </c>
      <c r="DI106" s="42" t="n">
        <f aca="false">IF(Tasks[[#This Row],[_Res2Text]]="",0,IFERROR(MATCH(TRIM(LEFT(Tasks[[#This Row],[_Res2Text]],FIND("[",Tasks[[#This Row],[_Res2Text]]&amp;"[")-1)),res_Name,0),IFERROR(MATCH(TRIM(LEFT(Tasks[[#This Row],[_Res2Text]],FIND("[",Tasks[[#This Row],[_Res2Text]]&amp;"[")-1)),res_Initials,0),0)))</f>
        <v>0</v>
      </c>
      <c r="DJ106" s="42" t="n">
        <f aca="false">IF(Tasks[[#This Row],[_Res3Text]]="",0,IFERROR(MATCH(TRIM(LEFT(Tasks[[#This Row],[_Res3Text]],FIND("[",Tasks[[#This Row],[_Res3Text]]&amp;"[")-1)),res_Name,0),IFERROR(MATCH(TRIM(LEFT(Tasks[[#This Row],[_Res3Text]],FIND("[",Tasks[[#This Row],[_Res3Text]]&amp;"[")-1)),res_Initials,0),0)))</f>
        <v>0</v>
      </c>
      <c r="DK106" s="42" t="n">
        <f aca="false">IF(Tasks[[#This Row],[_Res4Text]]="",0,IFERROR(MATCH(TRIM(LEFT(Tasks[[#This Row],[_Res4Text]],FIND("[",Tasks[[#This Row],[_Res4Text]]&amp;"[")-1)),res_Name,0),IFERROR(MATCH(TRIM(LEFT(Tasks[[#This Row],[_Res4Text]],FIND("[",Tasks[[#This Row],[_Res4Text]]&amp;"[")-1)),res_Initials,0),0)))</f>
        <v>0</v>
      </c>
      <c r="DL106" s="42" t="str">
        <f aca="false">IF(Tasks[[#This Row],[_Res1Text]]="","",IF(Tasks[[#This Row],[_Res1Row]]&gt;0,INDEX(res_Name,Tasks[[#This Row],[_Res1Row]]),TRIM(LEFT(Tasks[[#This Row],[_Res1Text]],FIND("[",Tasks[[#This Row],[_Res1Text]]&amp;"[")-1))))</f>
        <v/>
      </c>
      <c r="DM10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6" s="42" t="n">
        <f aca="false">IF(NOT(Tasks[[#This Row],[_IsLeaf]]=1),0,(Tasks[[#This Row],[_Resource1]]&lt;&gt;"")+(Tasks[[#This Row],[_Res2]]&lt;&gt;"")+(Tasks[[#This Row],[_Res3]]&lt;&gt;"")+(Tasks[[#This Row],[_Res4]]&lt;&gt;""))</f>
        <v>0</v>
      </c>
      <c r="DO106" s="42" t="str">
        <f aca="false">IF(Tasks[[#This Row],[_Res2Text]]="","",IF(Tasks[[#This Row],[_Res2Row]]&gt;0,INDEX(res_Name,Tasks[[#This Row],[_Res2Row]]),TRIM(LEFT(Tasks[[#This Row],[_Res2Text]],FIND("[",Tasks[[#This Row],[_Res2Text]]&amp;"[")-1))))</f>
        <v/>
      </c>
      <c r="DP10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6" s="42" t="n">
        <f aca="false">IF(OR(NOT(Tasks[[#This Row],[_IsLeaf]]=1),Tasks[[#This Row],[_Res2Row]]=0),0,N(Tasks[[#This Row],[_Days]])*HoursPerDay*IF(Tasks[[#This Row],[_Res2Units]]="",DefaultUnits,Tasks[[#This Row],[_Res2Units]]))</f>
        <v>0</v>
      </c>
      <c r="DR106" s="42" t="n">
        <f aca="false">IF(AND(AND(Tasks[[#This Row],[_IsLeaf]]=1,Tasks[[#This Row],[_LeafTotalWork]]&gt;0),Tasks[[#This Row],[_Res2Work]]&gt;0),Tasks[[#This Row],[_Res2Work]]/(Tasks[[#This Row],[_FinishWorkday]]-Tasks[[#This Row],[_StartWorkday]]+1),0)</f>
        <v>0</v>
      </c>
      <c r="DS106" s="42" t="n">
        <f aca="false">Tasks[[#This Row],[_Res2WorkPerWD]]*MAX(0,Tasks[[#This Row],[_StartWorkday]]-1)</f>
        <v>0</v>
      </c>
      <c r="DT106" s="42" t="n">
        <f aca="false">Tasks[[#This Row],[_Res2Work]]*Tasks[[#This Row],[_LeafProgress]]</f>
        <v>0</v>
      </c>
      <c r="DU106" s="42" t="str">
        <f aca="false">IF(Tasks[[#This Row],[_Res3Text]]="","",IF(Tasks[[#This Row],[_Res3Row]]&gt;0,INDEX(res_Name,Tasks[[#This Row],[_Res3Row]]),TRIM(LEFT(Tasks[[#This Row],[_Res3Text]],FIND("[",Tasks[[#This Row],[_Res3Text]]&amp;"[")-1))))</f>
        <v/>
      </c>
      <c r="DV10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6" s="42" t="n">
        <f aca="false">IF(OR(NOT(Tasks[[#This Row],[_IsLeaf]]=1),Tasks[[#This Row],[_Res3Row]]=0),0,N(Tasks[[#This Row],[_Days]])*HoursPerDay*IF(Tasks[[#This Row],[_Res3Units]]="",DefaultUnits,Tasks[[#This Row],[_Res3Units]]))</f>
        <v>0</v>
      </c>
      <c r="DX106" s="42" t="n">
        <f aca="false">IF(AND(AND(Tasks[[#This Row],[_IsLeaf]]=1,Tasks[[#This Row],[_LeafTotalWork]]&gt;0),Tasks[[#This Row],[_Res3Work]]&gt;0),Tasks[[#This Row],[_Res3Work]]/(Tasks[[#This Row],[_FinishWorkday]]-Tasks[[#This Row],[_StartWorkday]]+1),0)</f>
        <v>0</v>
      </c>
      <c r="DY106" s="42" t="n">
        <f aca="false">Tasks[[#This Row],[_Res3WorkPerWD]]*MAX(0,Tasks[[#This Row],[_StartWorkday]]-1)</f>
        <v>0</v>
      </c>
      <c r="DZ106" s="42" t="n">
        <f aca="false">Tasks[[#This Row],[_Res3Work]]*Tasks[[#This Row],[_LeafProgress]]</f>
        <v>0</v>
      </c>
      <c r="EA106" s="42" t="str">
        <f aca="false">IF(Tasks[[#This Row],[_Res4Text]]="","",IF(Tasks[[#This Row],[_Res4Row]]&gt;0,INDEX(res_Name,Tasks[[#This Row],[_Res4Row]]),TRIM(LEFT(Tasks[[#This Row],[_Res4Text]],FIND("[",Tasks[[#This Row],[_Res4Text]]&amp;"[")-1))))</f>
        <v/>
      </c>
      <c r="EB10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6" s="42" t="n">
        <f aca="false">IF(OR(NOT(Tasks[[#This Row],[_IsLeaf]]=1),Tasks[[#This Row],[_Res4Row]]=0),0,N(Tasks[[#This Row],[_Days]])*HoursPerDay*IF(Tasks[[#This Row],[_Res4Units]]="",DefaultUnits,Tasks[[#This Row],[_Res4Units]]))</f>
        <v>0</v>
      </c>
      <c r="ED106" s="42" t="n">
        <f aca="false">IF(AND(AND(Tasks[[#This Row],[_IsLeaf]]=1,Tasks[[#This Row],[_LeafTotalWork]]&gt;0),Tasks[[#This Row],[_Res4Work]]&gt;0),Tasks[[#This Row],[_Res4Work]]/(Tasks[[#This Row],[_FinishWorkday]]-Tasks[[#This Row],[_StartWorkday]]+1),0)</f>
        <v>0</v>
      </c>
      <c r="EE106" s="42" t="n">
        <f aca="false">Tasks[[#This Row],[_Res4WorkPerWD]]*MAX(0,Tasks[[#This Row],[_StartWorkday]]-1)</f>
        <v>0</v>
      </c>
      <c r="EF106" s="42" t="n">
        <f aca="false">Tasks[[#This Row],[_Res4Work]]*Tasks[[#This Row],[_LeafProgress]]</f>
        <v>0</v>
      </c>
      <c r="EG106" s="42" t="n">
        <f aca="false">IF(ISNUMBER(Tasks[[#This Row],[% Complete]]),Tasks[[#This Row],[% Complete]],IF(Tasks[[#This Row],[Stage]]="",0,IFERROR(INDEX(stg_Pct,MATCH(Tasks[[#This Row],[Stage]],stg_Name,0)),0)))</f>
        <v>0</v>
      </c>
      <c r="EH106" s="42" t="n">
        <f aca="false">IF(NOT(Tasks[[#This Row],[_IsLeaf]]=1),0,IF(N(Tasks[[#This Row],[Actual Finish]])&gt;0,1,MIN(1,Tasks[[#This Row],[_Pct]])))</f>
        <v>0</v>
      </c>
      <c r="EI106" s="42" t="n">
        <f aca="false">IF(OR(NOT(Tasks[[#This Row],[_IsLeaf]]=1),Tasks[[#This Row],[_Res1Row]]=0),0,N(Tasks[[#This Row],[_Days]])*HoursPerDay*IF(Tasks[[#This Row],[_Units1]]="",DefaultUnits,Tasks[[#This Row],[_Units1]]))</f>
        <v>0</v>
      </c>
      <c r="EJ106" s="42" t="n">
        <f aca="false">Tasks[[#This Row],[_LeafWork]]+Tasks[[#This Row],[_Res2Work]]+Tasks[[#This Row],[_Res3Work]]+Tasks[[#This Row],[_Res4Work]]</f>
        <v>0</v>
      </c>
      <c r="EK10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6" s="42" t="n">
        <f aca="false">IF(NOT(Tasks[[#This Row],[_IsLeaf]]=1),0,MAX(_xlfn.MAXIFS(Tasks[_Row],Tasks[_Pred1UID],Tasks[[#This Row],[UID]]),_xlfn.MAXIFS(Tasks[_Row],Tasks[_Pred2UID],Tasks[[#This Row],[UID]]),_xlfn.MAXIFS(Tasks[_Row],Tasks[_Pred3UID],Tasks[[#This Row],[UID]]),_xlfn.MAXIFS(Tasks[_Row],Tasks[_Pred4UID],Tasks[[#This Row],[UID]])))</f>
        <v>0</v>
      </c>
      <c r="ET10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6" s="89" t="str">
        <f aca="false">IF(NOT(Tasks[[#This Row],[_IsLeaf]]=1),"",IF(N(Tasks[[#This Row],[_Days]])&lt;=0,Tasks[[#This Row],[_LeafLateFinish]],WORKDAY.INTL(Tasks[[#This Row],[_LeafLateFinish]],-(Tasks[[#This Row],[_Days]]-1),WorkWeek,Holidays)))</f>
        <v/>
      </c>
      <c r="EW10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6" s="88" t="b">
        <f aca="false">AND(Tasks[[#This Row],[_IsLeaf]]=1,Tasks[[#This Row],[_LeafProgress]]&lt;1,N(Tasks[[#This Row],[_LeafTotalSlack]])&lt;=CriticalSlackDays)</f>
        <v>0</v>
      </c>
      <c r="EY106" s="42" t="n">
        <f aca="false">IF(AND(Tasks[[#This Row],[_IsLeaf]]=1,Tasks[[#This Row],[_ConstraintCode]]=1,Tasks[[#This Row],[Mode]]&lt;&gt;"Manual",N(Tasks[[#This Row],[Actual Start]])=0),MAX(0,N(Tasks[[#This Row],[Free Slack]])),0)</f>
        <v>0</v>
      </c>
      <c r="EZ106" s="89" t="str">
        <f aca="false">IF(NOT(Tasks[[#This Row],[_IsLeaf]]=1),"",IF(Tasks[[#This Row],[_AlapShift]]=0,Tasks[[#This Row],[_LeafCalcStart]],WORKDAY.INTL(Tasks[[#This Row],[_LeafCalcStart]],Tasks[[#This Row],[_AlapShift]],WorkWeek,Holidays)))</f>
        <v/>
      </c>
      <c r="FA106" s="89" t="str">
        <f aca="false">IF(NOT(Tasks[[#This Row],[_IsLeaf]]=1),"",IF(Tasks[[#This Row],[_AlapShift]]=0,Tasks[[#This Row],[_LeafCalcFinish]],WORKDAY.INTL(Tasks[[#This Row],[_LeafCalcFinish]],Tasks[[#This Row],[_AlapShift]],WorkWeek,Holidays)))</f>
        <v/>
      </c>
      <c r="FB106" s="89" t="str">
        <f aca="false">IF(NOT(Tasks[[#This Row],[_IsLeaf]]=1),"",IF(Tasks[[#This Row],[_AlapShift]]=0,Tasks[[#This Row],[_LeafFcstStart]],WORKDAY.INTL(Tasks[[#This Row],[_LeafFcstStart]],Tasks[[#This Row],[_AlapShift]],WorkWeek,Holidays)))</f>
        <v/>
      </c>
      <c r="FC106" s="89" t="str">
        <f aca="false">IF(NOT(Tasks[[#This Row],[_IsLeaf]]=1),"",IF(Tasks[[#This Row],[_AlapShift]]=0,Tasks[[#This Row],[_LeafFcstFinish]],WORKDAY.INTL(Tasks[[#This Row],[_LeafFcstFinish]],Tasks[[#This Row],[_AlapShift]],WorkWeek,Holidays)))</f>
        <v/>
      </c>
      <c r="FD106" s="89" t="str">
        <f aca="false">IF(Tasks[[#This Row],[Task Name]]="","",IF(Tasks[[#This Row],[_IsSummary]],MIN(INDEX(Tasks[_ShownCalcStart],Tasks[[#This Row],[_Row]]+1):INDEX(Tasks[_ShownCalcStart],Tasks[[#This Row],[_Row]]+Tasks[[#This Row],[_Descendants]])),Tasks[[#This Row],[_ShownCalcStart]]))</f>
        <v/>
      </c>
      <c r="FE106" s="89" t="str">
        <f aca="false">IF(Tasks[[#This Row],[Task Name]]="","",IF(Tasks[[#This Row],[_IsSummary]],MAX(INDEX(Tasks[_ShownCalcFinish],Tasks[[#This Row],[_Row]]+1):INDEX(Tasks[_ShownCalcFinish],Tasks[[#This Row],[_Row]]+Tasks[[#This Row],[_Descendants]])),Tasks[[#This Row],[_ShownCalcFinish]]))</f>
        <v/>
      </c>
      <c r="FF10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6" s="42" t="n">
        <f aca="false">IF(AND(Tasks[[#This Row],[_IsLeaf]]=1,Tasks[[#This Row],[_LeafTotalWork]]&gt;0),NETWORKDAYS.INTL(ProjectStart,Tasks[[#This Row],[_ShownFcstStart]],WorkWeek,Holidays),0)</f>
        <v>0</v>
      </c>
      <c r="FS106" s="42" t="n">
        <f aca="false">IF(AND(Tasks[[#This Row],[_IsLeaf]]=1,Tasks[[#This Row],[_LeafTotalWork]]&gt;0),MAX(Tasks[[#This Row],[_StartWorkday]],NETWORKDAYS.INTL(ProjectStart,Tasks[[#This Row],[_ShownFcstFinish]],WorkWeek,Holidays)),0)</f>
        <v>0</v>
      </c>
      <c r="FT106" s="42" t="n">
        <f aca="false">IF(AND(Tasks[[#This Row],[_IsLeaf]]=1,Tasks[[#This Row],[_LeafTotalWork]]&gt;0),Tasks[[#This Row],[_LeafWork]]/(Tasks[[#This Row],[_FinishWorkday]]-Tasks[[#This Row],[_StartWorkday]]+1),0)</f>
        <v>0</v>
      </c>
      <c r="FU106" s="42" t="n">
        <f aca="false">Tasks[[#This Row],[_WorkPerWorkday]]*(Tasks[[#This Row],[_StartWorkday]]-1)</f>
        <v>-0</v>
      </c>
      <c r="FV106" s="42" t="n">
        <f aca="false">IF(Tasks[[#This Row],[_IsLeaf]]=1,MAX(N(Tasks[[#This Row],[_Days]]),0.1),0)</f>
        <v>0</v>
      </c>
      <c r="FW106" s="42" t="n">
        <f aca="false">Tasks[[#This Row],[_WeightDur]]*Tasks[[#This Row],[_LeafProgress]]</f>
        <v>0</v>
      </c>
      <c r="FX106" s="42" t="n">
        <f aca="false">Tasks[[#This Row],[_WeightDur]]*Tasks[[#This Row],[_PlannedPct]]</f>
        <v>0</v>
      </c>
      <c r="FY10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6" s="42" t="str">
        <f aca="false">IF(AND(Tasks[[#This Row],[_IsLeaf]]=1,N(Tasks[[#This Row],[_Days]])=0,Tasks[[#This Row],[_LeafProgress]]&lt;1),Tasks[[#This Row],[_ShownFcstFinish]]+Tasks[[#This Row],[_Row]]/100000,"")</f>
        <v/>
      </c>
      <c r="GA10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6" s="42" t="str">
        <f aca="false">IF(Tasks[[#This Row],[Task Name]]="","",LEFT(Tasks[[#This Row],[WBS]],FIND(".",Tasks[[#This Row],[WBS]]&amp;".")-1))</f>
        <v/>
      </c>
      <c r="GC106" s="42" t="str">
        <f aca="false">IF(AND(Tasks[[#This Row],[Task Name]]&lt;&gt;"",Tasks[[#This Row],[_Level]]=1),Tasks[[#This Row],[_Row]],"")</f>
        <v/>
      </c>
      <c r="GD106" s="42" t="str">
        <f aca="false">IF(AND(Tasks[[#This Row],[_IsLeaf]]=1,N(Tasks[[#This Row],[_Days]])=0),Tasks[[#This Row],[Planned Finish]]+Tasks[[#This Row],[_Row]]/100000,"")</f>
        <v/>
      </c>
      <c r="GE106" s="42" t="str">
        <f aca="false">IF(AND(Tasks[[#This Row],[_IsLeaf]]=1,Tasks[[#This Row],[_LeafProgress]]&lt;1,OR(N(Tasks[[#This Row],[Finish Var]])&gt;0,Tasks[[#This Row],[Status]]="Late Start")),MAX(0,Tasks[[#This Row],[Finish Var]])+1-Tasks[[#This Row],[_Row]]/1000000,"")</f>
        <v/>
      </c>
      <c r="GF106" s="42" t="str">
        <f aca="false">IF(AND(Tasks[[#This Row],[_IsLeaf]]=1,N(Tasks[[#This Row],[Actual Start]])=0,Tasks[[#This Row],[_ShownFcstStart]]&gt;=StatusDate,Tasks[[#This Row],[_ShownFcstStart]]&lt;=LookaheadEnd),Tasks[[#This Row],[_ShownFcstStart]]+Tasks[[#This Row],[_Row]]/100000,"")</f>
        <v/>
      </c>
      <c r="GG106" s="42" t="str">
        <f aca="false">IF(AND(Tasks[[#This Row],[_IsLeaf]]=1,Tasks[[#This Row],[_LeafProgress]]&lt;1,Tasks[[#This Row],[_ShownFcstFinish]]&gt;=StatusDate,Tasks[[#This Row],[_ShownFcstFinish]]&lt;=LookaheadEnd),Tasks[[#This Row],[_ShownFcstFinish]]+Tasks[[#This Row],[_Row]]/100000,"")</f>
        <v/>
      </c>
      <c r="GH106" s="42" t="str">
        <f aca="false">IF(Tasks[[#This Row],[_LeafCritical]],Tasks[[#This Row],[_ShownFcstStart]]+Tasks[[#This Row],[_Row]]/100000,"")</f>
        <v/>
      </c>
      <c r="GI106" s="42" t="n">
        <f aca="false">Tasks[[#This Row],[_LeafWork]]*Tasks[[#This Row],[_LeafProgress]]</f>
        <v>0</v>
      </c>
      <c r="GJ106" s="89" t="str">
        <f aca="false">IF(AND(Tasks[[#This Row],[_IsLeaf]]=1,Tasks[[#This Row],[_LeafProgress]]&gt;=1),IF(N(Tasks[[#This Row],[Actual Finish]])&gt;0,Tasks[[#This Row],[Actual Finish]],Tasks[[#This Row],[_ShownFcstFinish]]),"")</f>
        <v/>
      </c>
      <c r="GK106" s="42" t="n">
        <f aca="false">IF(Tasks[[#This Row],[_IsLeaf]]=1,N(Tasks[[#This Row],[Story Points]]),0)</f>
        <v>0</v>
      </c>
      <c r="GL106" s="42" t="str">
        <f aca="false">""</f>
        <v/>
      </c>
      <c r="GM106" s="88" t="b">
        <f aca="false">IF(Tasks[[#This Row],[Task Name]]="",FALSE(),AND(Tasks[[#This Row],[_IsLeaf]]=1,N(Tasks[[#This Row],[_Days]])=0))</f>
        <v>0</v>
      </c>
      <c r="GN106" s="89" t="n">
        <f aca="false">IF(Tasks[[#This Row],[Task Name]]="",0,IF(AND(Tasks[[#This Row],[_IsLeaf]]=1,NOT(Tasks[[#This Row],[_IsMilestone]]),N(Tasks[[#This Row],[Progress]])&gt;0),Tasks[[#This Row],[Start]],0))</f>
        <v>0</v>
      </c>
      <c r="GO106" s="89" t="n">
        <f aca="false">IF(Tasks[[#This Row],[_DoneFrom]]=0,0,IF(Tasks[[#This Row],[Progress]]&gt;=1,Tasks[[#This Row],[Finish]],MAX(Tasks[[#This Row],[_DoneFrom]],Tasks[[#This Row],[Start]]+ROUND((Tasks[[#This Row],[Finish]]-Tasks[[#This Row],[Start]]+1)*Tasks[[#This Row],[Progress]],0)-1)))</f>
        <v>0</v>
      </c>
      <c r="GP106" s="89" t="n">
        <f aca="false">IF(Tasks[[#This Row],[Task Name]]="",0,IF(OR(NOT(Tasks[[#This Row],[_IsLeaf]]=1),Tasks[[#This Row],[_IsMilestone]],N(Tasks[[#This Row],[Progress]])&gt;=1),0,IF(Tasks[[#This Row],[_DoneTo]]&gt;0,Tasks[[#This Row],[_DoneTo]]+1,Tasks[[#This Row],[Start]])))</f>
        <v>0</v>
      </c>
      <c r="GQ106" s="89" t="n">
        <f aca="false">IF(Tasks[[#This Row],[_RemFrom]]=0,0,Tasks[[#This Row],[Finish]])</f>
        <v>0</v>
      </c>
      <c r="GR106" s="88" t="b">
        <f aca="false">IF(Tasks[[#This Row],[Task Name]]="",FALSE(),OR(NOT(BaselineSet),N(Tasks[[#This Row],[Baseline Start]])&gt;0))</f>
        <v>0</v>
      </c>
      <c r="GS10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6" s="90" t="str">
        <f aca="false">IF(Tasks[[#This Row],[_IsLeaf]]=1,Tasks[[#This Row],[_Row]],"")</f>
        <v/>
      </c>
      <c r="GW106" s="90" t="str">
        <f aca="false">IFERROR(INDEX(Tasks[UID],SMALL(Tasks[_PickKey],Tasks[[#This Row],[_Row]]))&amp;" "&amp;INDEX(Tasks[Task Name],SMALL(Tasks[_PickKey],Tasks[[#This Row],[_Row]])),"")</f>
        <v/>
      </c>
      <c r="GX106" s="42" t="str">
        <f aca="false">IF(Tasks[[#This Row],[Task Name]]="","",IF(Tasks[[#This Row],[_IsSummary]],NETWORKDAYS.INTL(Tasks[[#This Row],[Start]],Tasks[[#This Row],[Finish]],WorkWeek,Holidays),N(Tasks[[#This Row],[_Days]])))</f>
        <v/>
      </c>
    </row>
    <row r="107" customFormat="false" ht="15" hidden="false" customHeight="false" outlineLevel="0" collapsed="false">
      <c r="A107" s="21" t="str">
        <f aca="false">IF(Tasks[[#This Row],[Task Name]]="","",COUNTA(Tasks[[#Headers],[Task Name]]:Tasks[[#This Row],[Task Name]])-1)</f>
        <v/>
      </c>
      <c r="B107" s="22" t="n">
        <v>115</v>
      </c>
      <c r="C107" s="22"/>
      <c r="D107" s="23"/>
      <c r="E107" s="22"/>
      <c r="F107" s="23"/>
      <c r="G107" s="22"/>
      <c r="H107" s="22"/>
      <c r="I107" s="23"/>
      <c r="J107" s="22"/>
      <c r="K107" s="22"/>
      <c r="L107" s="23"/>
      <c r="M107" s="22"/>
      <c r="N107" s="22"/>
      <c r="O107" s="23"/>
      <c r="P107" s="22"/>
      <c r="Q107" s="22"/>
      <c r="R107" s="23"/>
      <c r="S107" s="23"/>
      <c r="T107" s="83"/>
      <c r="U107" s="23"/>
      <c r="V107" s="83"/>
      <c r="W107" s="23"/>
      <c r="X107" s="83"/>
      <c r="Y107" s="23"/>
      <c r="Z107" s="83"/>
      <c r="AA107" s="23"/>
      <c r="AB107" s="23"/>
      <c r="AC107" s="7"/>
      <c r="AD107" s="7"/>
      <c r="AE107" s="62" t="str">
        <f aca="false">IF(Tasks[[#This Row],[Task Name]]="","",IF(Tasks[[#This Row],[_IsSummary]],MIN(INDEX(Tasks[_ShownFcstStart],Tasks[[#This Row],[_Row]]+1):INDEX(Tasks[_ShownFcstStart],Tasks[[#This Row],[_Row]]+Tasks[[#This Row],[_Descendants]])),Tasks[[#This Row],[_ShownFcstStart]]))</f>
        <v/>
      </c>
      <c r="AF107" s="62" t="str">
        <f aca="false">IF(Tasks[[#This Row],[Task Name]]="","",IF(Tasks[[#This Row],[_IsSummary]],MAX(INDEX(Tasks[_ShownFcstFinish],Tasks[[#This Row],[_Row]]+1):INDEX(Tasks[_ShownFcstFinish],Tasks[[#This Row],[_Row]]+Tasks[[#This Row],[_Descendants]])),Tasks[[#This Row],[_ShownFcstFinish]]))</f>
        <v/>
      </c>
      <c r="AG107" s="21" t="str">
        <f aca="false">""</f>
        <v/>
      </c>
      <c r="AH107" s="23"/>
      <c r="AI10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7" s="7"/>
      <c r="AK107" s="22"/>
      <c r="AL107" s="23"/>
      <c r="AM107" s="7"/>
      <c r="AN107" s="46" t="str">
        <f aca="false">IF(Tasks[[#This Row],[Task Name]]="","",IF(Tasks[[#This Row],[Finish]]&gt;=Tasks[[#This Row],[Planned Finish]],NETWORKDAYS.INTL(Tasks[[#This Row],[Planned Finish]],Tasks[[#This Row],[Finish]],WorkWeek,Holidays)-1,1-NETWORKDAYS.INTL(Tasks[[#This Row],[Finish]],Tasks[[#This Row],[Planned Finish]],WorkWeek,Holidays)))</f>
        <v/>
      </c>
      <c r="AO107" s="21" t="str">
        <f aca="false">IF(Tasks[[#This Row],[Task Name]]="","",IF(Tasks[[#This Row],[Progress]]&gt;=1,"Complete",IF(OR(N(Tasks[[#This Row],[Actual Start]])&gt;0,Tasks[[#This Row],[Progress]]&gt;0),IF(Tasks[[#This Row],[Finish Var]]&gt;0,"Behind","In Progress"),IF(Tasks[[#This Row],[Planned Start]]&lt;StatusDate,"Late Start","Not Started"))))</f>
        <v/>
      </c>
      <c r="AP107" s="21" t="str">
        <f aca="false">IF(Tasks[[#This Row],[Task Name]]="","",IF(IF(Tasks[[#This Row],[_IsSummary]],COUNTIF(INDEX(Tasks[_LeafCritical],Tasks[[#This Row],[_Row]]+1):INDEX(Tasks[_LeafCritical],Tasks[[#This Row],[_Row]]+Tasks[[#This Row],[_Descendants]]),TRUE())&gt;0,Tasks[[#This Row],[_LeafCritical]]),"Yes",""))</f>
        <v/>
      </c>
      <c r="AQ107" s="62" t="str">
        <f aca="false">IF(Tasks[[#This Row],[Task Name]]="","",IF(N(Tasks[[#This Row],[Baseline Start]])&gt;0,Tasks[[#This Row],[Baseline Start]],Tasks[[#This Row],[_CalcStart]]))</f>
        <v/>
      </c>
      <c r="AR107" s="62" t="str">
        <f aca="false">IF(Tasks[[#This Row],[Task Name]]="","",IF(N(Tasks[[#This Row],[Baseline Finish]])&gt;0,Tasks[[#This Row],[Baseline Finish]],Tasks[[#This Row],[_CalcFinish]]))</f>
        <v/>
      </c>
      <c r="AS107" s="46" t="str">
        <f aca="false">IF(Tasks[[#This Row],[Task Name]]="","",IF(Tasks[[#This Row],[Start]]&gt;=Tasks[[#This Row],[Planned Start]],NETWORKDAYS.INTL(Tasks[[#This Row],[Planned Start]],Tasks[[#This Row],[Start]],WorkWeek,Holidays)-1,1-NETWORKDAYS.INTL(Tasks[[#This Row],[Start]],Tasks[[#This Row],[Planned Start]],WorkWeek,Holidays)))</f>
        <v/>
      </c>
      <c r="AT107" s="62" t="str">
        <f aca="false">IF(Tasks[[#This Row],[Task Name]]="","",IF(Tasks[[#This Row],[_IsSummary]],MIN(INDEX(Tasks[_LeafLateStart],Tasks[[#This Row],[_Row]]+1):INDEX(Tasks[_LeafLateStart],Tasks[[#This Row],[_Row]]+Tasks[[#This Row],[_Descendants]])),Tasks[[#This Row],[_LeafLateStart]]))</f>
        <v/>
      </c>
      <c r="AU107" s="62" t="str">
        <f aca="false">IF(Tasks[[#This Row],[Task Name]]="","",IF(Tasks[[#This Row],[_IsSummary]],MAX(INDEX(Tasks[_LeafLateFinish],Tasks[[#This Row],[_Row]]+1):INDEX(Tasks[_LeafLateFinish],Tasks[[#This Row],[_Row]]+Tasks[[#This Row],[_Descendants]])),Tasks[[#This Row],[_LeafLateFinish]]))</f>
        <v/>
      </c>
      <c r="AV107" s="46" t="str">
        <f aca="false">IF(Tasks[[#This Row],[Task Name]]="","",IF(Tasks[[#This Row],[_IsSummary]],MIN(INDEX(Tasks[_LeafTotalSlack],Tasks[[#This Row],[_Row]]+1):INDEX(Tasks[_LeafTotalSlack],Tasks[[#This Row],[_Row]]+Tasks[[#This Row],[_Descendants]])),Tasks[[#This Row],[_LeafTotalSlack]]))</f>
        <v/>
      </c>
      <c r="AW10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4"/>
      <c r="BA10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t="str">
        <f aca="false">IF(Tasks[[#This Row],[Task Name]]="","",IF(Tasks[[#This Row],[_Level]]&lt;=OutlineShowLevel,"Yes","No"))</f>
        <v/>
      </c>
      <c r="BE107" s="85" t="str">
        <f aca="false">IF(Tasks[[#This Row],[Task Name]]="","",IF(Tasks[[#This Row],[_IsSummary]],SUM(INDEX(Tasks[_LeafTotalWork],Tasks[[#This Row],[_Row]]+1):INDEX(Tasks[_LeafTotalWork],Tasks[[#This Row],[_Row]]+Tasks[[#This Row],[_Descendants]])),Tasks[[#This Row],[_LeafTotalWork]]))</f>
        <v/>
      </c>
      <c r="BF107" s="23"/>
      <c r="BG10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t="str">
        <f aca="false">""</f>
        <v/>
      </c>
      <c r="BI107" s="86"/>
      <c r="BJ107" s="22"/>
      <c r="BK107" s="46" t="str">
        <f aca="false">IF(OR(Tasks[[#This Row],[Task Name]]="",Tasks[[#This Row],[Baseline Duration]]=""),"",Tasks[[#This Row],[_SpanDays]]-N(Tasks[[#This Row],[Baseline Duration]]))</f>
        <v/>
      </c>
      <c r="BL107" s="85" t="str">
        <f aca="false">IF(OR(Tasks[[#This Row],[Task Name]]="",Tasks[[#This Row],[Baseline Work]]=""),"",Tasks[[#This Row],[Work]]-N(Tasks[[#This Row],[Baseline Work]]))</f>
        <v/>
      </c>
      <c r="BM107" s="62" t="str">
        <f aca="false">IF(Tasks[[#This Row],[Task Name]]="","",IF(OR(TakeBaseline="Yes",N(Tasks[[#This Row],[Baseline Start]])=0),Tasks[[#This Row],[Start]],Tasks[[#This Row],[Baseline Start]]))</f>
        <v/>
      </c>
      <c r="BN107" s="62" t="str">
        <f aca="false">IF(Tasks[[#This Row],[Task Name]]="","",IF(OR(TakeBaseline="Yes",N(Tasks[[#This Row],[Baseline Finish]])=0),Tasks[[#This Row],[Finish]],Tasks[[#This Row],[Baseline Finish]]))</f>
        <v/>
      </c>
      <c r="BO107" s="21" t="str">
        <f aca="false">IF(Tasks[[#This Row],[Task Name]]="","",IF(OR(TakeBaseline="Yes",N(Tasks[[#This Row],[Baseline Duration]])=0),Tasks[[#This Row],[_SpanDays]],Tasks[[#This Row],[Baseline Duration]]))</f>
        <v/>
      </c>
      <c r="BP107" s="85" t="str">
        <f aca="false">IF(Tasks[[#This Row],[Task Name]]="","",IF(OR(TakeBaseline="Yes",N(Tasks[[#This Row],[Baseline Work]])=0),Tasks[[#This Row],[Work]],Tasks[[#This Row],[Baseline Work]]))</f>
        <v/>
      </c>
      <c r="BQ107" s="7"/>
      <c r="BR107" s="7"/>
      <c r="BS107" s="22"/>
      <c r="BT107" s="87"/>
      <c r="BU107" s="42" t="str">
        <f aca="false">IF(Tasks[[#This Row],[Task Name]]="","",MAX(1,N(Tasks[[#This Row],[Level]])))</f>
        <v/>
      </c>
      <c r="BV107" s="42" t="n">
        <f aca="false">ROW()-ROW(Tasks[[#Headers],[ID]])</f>
        <v>102</v>
      </c>
      <c r="BW107" s="42" t="n">
        <f aca="false">IF(OR(Tasks[[#This Row],[Task Name]]="",Tasks[[#This Row],[_Level]]&lt;=1),0,IFERROR(LOOKUP(2,1/(Tasks[[#Headers],[_Level]]:Tasks[[#This Row],[_Level]]=Tasks[[#This Row],[_Level]]-1),ROW(Tasks[[#Headers],[_Level]]:Tasks[[#This Row],[_Level]])),0))</f>
        <v>0</v>
      </c>
      <c r="BX107" s="42" t="n">
        <f aca="false">IFERROR(N(INDEX(Tasks[_Level],Tasks[[#This Row],[_Row]]+1)),0)</f>
        <v>0</v>
      </c>
      <c r="BY107" s="88" t="b">
        <f aca="false">AND(Tasks[[#This Row],[Task Name]]&lt;&gt;"",Tasks[[#This Row],[_NextLevel]]&gt;Tasks[[#This Row],[_Level]])</f>
        <v>0</v>
      </c>
      <c r="BZ107" s="42" t="n">
        <f aca="false">IF(Tasks[[#This Row],[_IsSummary]],COUNTIF(Tasks[WBS],Tasks[[#This Row],[WBS]]&amp;".*"),0)</f>
        <v>0</v>
      </c>
      <c r="CA107" s="42" t="n">
        <f aca="false">IF(AND(Tasks[[#This Row],[Task Name]]&lt;&gt;"",NOT(Tasks[[#This Row],[_IsSummary]])),1,0)</f>
        <v>0</v>
      </c>
      <c r="CB107" s="42" t="n">
        <f aca="false">IF(N(Tasks[[#This Row],[_Pred1UID]])=0,0,IFERROR(MATCH(Tasks[[#This Row],[_Pred1UID]],Tasks[UID],0),-1))</f>
        <v>0</v>
      </c>
      <c r="CC107" s="42" t="n">
        <f aca="false">IF(N(Tasks[[#This Row],[_Pred2UID]])=0,0,IFERROR(MATCH(Tasks[[#This Row],[_Pred2UID]],Tasks[UID],0),-1))</f>
        <v>0</v>
      </c>
      <c r="CD107" s="42" t="n">
        <f aca="false">IF(N(Tasks[[#This Row],[_Pred3UID]])=0,0,IFERROR(MATCH(Tasks[[#This Row],[_Pred3UID]],Tasks[UID],0),-1))</f>
        <v>0</v>
      </c>
      <c r="CE107" s="42" t="n">
        <f aca="false">IF(N(Tasks[[#This Row],[_Pred4UID]])=0,0,IFERROR(MATCH(Tasks[[#This Row],[_Pred4UID]],Tasks[UID],0),-1))</f>
        <v>0</v>
      </c>
      <c r="CF10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7" s="89" t="n">
        <f aca="false">IF(OR(Tasks[[#This Row],[_ConstraintCode]]=2,Tasks[[#This Row],[_ConstraintCode]]=3,Tasks[[#This Row],[_ConstraintCode]]=4,Tasks[[#This Row],[_ConstraintCode]]=6),Tasks[[#This Row],[_ConstraintStart]],0)</f>
        <v>0</v>
      </c>
      <c r="CI107" s="89" t="n">
        <f aca="false">IF(OR(Tasks[[#This Row],[_ConstraintCode]]=2,Tasks[[#This Row],[_ConstraintCode]]=3,Tasks[[#This Row],[_ConstraintCode]]=5,Tasks[[#This Row],[_ConstraintCode]]=7),Tasks[[#This Row],[_ConstraintStart]],2958465)</f>
        <v>2958465</v>
      </c>
      <c r="CJ10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7" s="89" t="str">
        <f aca="false">IF(NOT(Tasks[[#This Row],[_IsLeaf]]=1),"",IF(N(Tasks[[#This Row],[_Days]])&lt;=0,Tasks[[#This Row],[_LeafCalcStart]],WORKDAY.INTL(Tasks[[#This Row],[_LeafCalcStart]],Tasks[[#This Row],[_Days]]-1,WorkWeek,Holidays)))</f>
        <v/>
      </c>
      <c r="CL10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7" s="42" t="str">
        <f aca="false">IF(Tasks[[#This Row],[_Predecessors]]="","",TRIM(MID(SUBSTITUTE(SUBSTITUTE(SUBSTITUTE(UPPER(Tasks[[#This Row],[_Predecessors]]),";",",")," ",""),",",REPT(" ",99)),1,99)))</f>
        <v/>
      </c>
      <c r="CO107" s="42" t="str">
        <f aca="false">IF(Tasks[[#This Row],[_Pred1Text]]="","",IFERROR(VALUE(LEFT(Tasks[[#This Row],[_Pred1Text]],MIN(FIND("F",Tasks[[#This Row],[_Pred1Text]]&amp;"F"),FIND("S",Tasks[[#This Row],[_Pred1Text]]&amp;"S"),FIND("+",Tasks[[#This Row],[_Pred1Text]]&amp;"+"),FIND("-",Tasks[[#This Row],[_Pred1Text]]&amp;"-"))-1)),""))</f>
        <v/>
      </c>
      <c r="CP10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7" s="42" t="str">
        <f aca="false">IF(Tasks[[#This Row],[_Pred1Text]]="","",TRIM(MID(SUBSTITUTE(SUBSTITUTE(SUBSTITUTE(UPPER(Tasks[[#This Row],[_Predecessors]]),";",",")," ",""),",",REPT(" ",99)),100,99)))</f>
        <v/>
      </c>
      <c r="CS107" s="42" t="str">
        <f aca="false">IF(Tasks[[#This Row],[_Pred2Text]]="","",IFERROR(VALUE(LEFT(Tasks[[#This Row],[_Pred2Text]],MIN(FIND("F",Tasks[[#This Row],[_Pred2Text]]&amp;"F"),FIND("S",Tasks[[#This Row],[_Pred2Text]]&amp;"S"),FIND("+",Tasks[[#This Row],[_Pred2Text]]&amp;"+"),FIND("-",Tasks[[#This Row],[_Pred2Text]]&amp;"-"))-1)),""))</f>
        <v/>
      </c>
      <c r="CT10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7" s="42" t="str">
        <f aca="false">IF(Tasks[[#This Row],[_Pred2Text]]="","",TRIM(MID(SUBSTITUTE(SUBSTITUTE(SUBSTITUTE(UPPER(Tasks[[#This Row],[_Predecessors]]),";",",")," ",""),",",REPT(" ",99)),199,99)))</f>
        <v/>
      </c>
      <c r="CW107" s="42" t="str">
        <f aca="false">IF(Tasks[[#This Row],[_Pred3Text]]="","",IFERROR(VALUE(LEFT(Tasks[[#This Row],[_Pred3Text]],MIN(FIND("F",Tasks[[#This Row],[_Pred3Text]]&amp;"F"),FIND("S",Tasks[[#This Row],[_Pred3Text]]&amp;"S"),FIND("+",Tasks[[#This Row],[_Pred3Text]]&amp;"+"),FIND("-",Tasks[[#This Row],[_Pred3Text]]&amp;"-"))-1)),""))</f>
        <v/>
      </c>
      <c r="CX10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7" s="42" t="str">
        <f aca="false">IF(Tasks[[#This Row],[_Pred3Text]]="","",TRIM(MID(SUBSTITUTE(SUBSTITUTE(SUBSTITUTE(UPPER(Tasks[[#This Row],[_Predecessors]]),";",",")," ",""),",",REPT(" ",99)),298,99)))</f>
        <v/>
      </c>
      <c r="DA107" s="42" t="str">
        <f aca="false">IF(Tasks[[#This Row],[_Pred4Text]]="","",IFERROR(VALUE(LEFT(Tasks[[#This Row],[_Pred4Text]],MIN(FIND("F",Tasks[[#This Row],[_Pred4Text]]&amp;"F"),FIND("S",Tasks[[#This Row],[_Pred4Text]]&amp;"S"),FIND("+",Tasks[[#This Row],[_Pred4Text]]&amp;"+"),FIND("-",Tasks[[#This Row],[_Pred4Text]]&amp;"-"))-1)),""))</f>
        <v/>
      </c>
      <c r="DB10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7" s="42" t="str">
        <f aca="false">IF(OR(Tasks[[#This Row],[Task Name]]="",Tasks[[#This Row],[_Resources]]=""),"",TRIM(MID(SUBSTITUTE(Tasks[[#This Row],[_Resources]],",",REPT(" ",99)),1,99)))</f>
        <v/>
      </c>
      <c r="DE107" s="42" t="str">
        <f aca="false">IF(Tasks[[#This Row],[_Res1Text]]="","",TRIM(MID(SUBSTITUTE(Tasks[[#This Row],[_Resources]],",",REPT(" ",99)),100,99)))</f>
        <v/>
      </c>
      <c r="DF107" s="42" t="str">
        <f aca="false">IF(Tasks[[#This Row],[_Res2Text]]="","",TRIM(MID(SUBSTITUTE(Tasks[[#This Row],[_Resources]],",",REPT(" ",99)),199,99)))</f>
        <v/>
      </c>
      <c r="DG107" s="42" t="str">
        <f aca="false">IF(Tasks[[#This Row],[_Res3Text]]="","",TRIM(MID(SUBSTITUTE(Tasks[[#This Row],[_Resources]],",",REPT(" ",99)),298,99)))</f>
        <v/>
      </c>
      <c r="DH107" s="42" t="n">
        <f aca="false">IF(Tasks[[#This Row],[_Res1Text]]="",0,IFERROR(MATCH(TRIM(LEFT(Tasks[[#This Row],[_Res1Text]],FIND("[",Tasks[[#This Row],[_Res1Text]]&amp;"[")-1)),res_Name,0),IFERROR(MATCH(TRIM(LEFT(Tasks[[#This Row],[_Res1Text]],FIND("[",Tasks[[#This Row],[_Res1Text]]&amp;"[")-1)),res_Initials,0),0)))</f>
        <v>0</v>
      </c>
      <c r="DI107" s="42" t="n">
        <f aca="false">IF(Tasks[[#This Row],[_Res2Text]]="",0,IFERROR(MATCH(TRIM(LEFT(Tasks[[#This Row],[_Res2Text]],FIND("[",Tasks[[#This Row],[_Res2Text]]&amp;"[")-1)),res_Name,0),IFERROR(MATCH(TRIM(LEFT(Tasks[[#This Row],[_Res2Text]],FIND("[",Tasks[[#This Row],[_Res2Text]]&amp;"[")-1)),res_Initials,0),0)))</f>
        <v>0</v>
      </c>
      <c r="DJ107" s="42" t="n">
        <f aca="false">IF(Tasks[[#This Row],[_Res3Text]]="",0,IFERROR(MATCH(TRIM(LEFT(Tasks[[#This Row],[_Res3Text]],FIND("[",Tasks[[#This Row],[_Res3Text]]&amp;"[")-1)),res_Name,0),IFERROR(MATCH(TRIM(LEFT(Tasks[[#This Row],[_Res3Text]],FIND("[",Tasks[[#This Row],[_Res3Text]]&amp;"[")-1)),res_Initials,0),0)))</f>
        <v>0</v>
      </c>
      <c r="DK107" s="42" t="n">
        <f aca="false">IF(Tasks[[#This Row],[_Res4Text]]="",0,IFERROR(MATCH(TRIM(LEFT(Tasks[[#This Row],[_Res4Text]],FIND("[",Tasks[[#This Row],[_Res4Text]]&amp;"[")-1)),res_Name,0),IFERROR(MATCH(TRIM(LEFT(Tasks[[#This Row],[_Res4Text]],FIND("[",Tasks[[#This Row],[_Res4Text]]&amp;"[")-1)),res_Initials,0),0)))</f>
        <v>0</v>
      </c>
      <c r="DL107" s="42" t="str">
        <f aca="false">IF(Tasks[[#This Row],[_Res1Text]]="","",IF(Tasks[[#This Row],[_Res1Row]]&gt;0,INDEX(res_Name,Tasks[[#This Row],[_Res1Row]]),TRIM(LEFT(Tasks[[#This Row],[_Res1Text]],FIND("[",Tasks[[#This Row],[_Res1Text]]&amp;"[")-1))))</f>
        <v/>
      </c>
      <c r="DM10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7" s="42" t="n">
        <f aca="false">IF(NOT(Tasks[[#This Row],[_IsLeaf]]=1),0,(Tasks[[#This Row],[_Resource1]]&lt;&gt;"")+(Tasks[[#This Row],[_Res2]]&lt;&gt;"")+(Tasks[[#This Row],[_Res3]]&lt;&gt;"")+(Tasks[[#This Row],[_Res4]]&lt;&gt;""))</f>
        <v>0</v>
      </c>
      <c r="DO107" s="42" t="str">
        <f aca="false">IF(Tasks[[#This Row],[_Res2Text]]="","",IF(Tasks[[#This Row],[_Res2Row]]&gt;0,INDEX(res_Name,Tasks[[#This Row],[_Res2Row]]),TRIM(LEFT(Tasks[[#This Row],[_Res2Text]],FIND("[",Tasks[[#This Row],[_Res2Text]]&amp;"[")-1))))</f>
        <v/>
      </c>
      <c r="DP10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7" s="42" t="n">
        <f aca="false">IF(OR(NOT(Tasks[[#This Row],[_IsLeaf]]=1),Tasks[[#This Row],[_Res2Row]]=0),0,N(Tasks[[#This Row],[_Days]])*HoursPerDay*IF(Tasks[[#This Row],[_Res2Units]]="",DefaultUnits,Tasks[[#This Row],[_Res2Units]]))</f>
        <v>0</v>
      </c>
      <c r="DR107" s="42" t="n">
        <f aca="false">IF(AND(AND(Tasks[[#This Row],[_IsLeaf]]=1,Tasks[[#This Row],[_LeafTotalWork]]&gt;0),Tasks[[#This Row],[_Res2Work]]&gt;0),Tasks[[#This Row],[_Res2Work]]/(Tasks[[#This Row],[_FinishWorkday]]-Tasks[[#This Row],[_StartWorkday]]+1),0)</f>
        <v>0</v>
      </c>
      <c r="DS107" s="42" t="n">
        <f aca="false">Tasks[[#This Row],[_Res2WorkPerWD]]*MAX(0,Tasks[[#This Row],[_StartWorkday]]-1)</f>
        <v>0</v>
      </c>
      <c r="DT107" s="42" t="n">
        <f aca="false">Tasks[[#This Row],[_Res2Work]]*Tasks[[#This Row],[_LeafProgress]]</f>
        <v>0</v>
      </c>
      <c r="DU107" s="42" t="str">
        <f aca="false">IF(Tasks[[#This Row],[_Res3Text]]="","",IF(Tasks[[#This Row],[_Res3Row]]&gt;0,INDEX(res_Name,Tasks[[#This Row],[_Res3Row]]),TRIM(LEFT(Tasks[[#This Row],[_Res3Text]],FIND("[",Tasks[[#This Row],[_Res3Text]]&amp;"[")-1))))</f>
        <v/>
      </c>
      <c r="DV10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7" s="42" t="n">
        <f aca="false">IF(OR(NOT(Tasks[[#This Row],[_IsLeaf]]=1),Tasks[[#This Row],[_Res3Row]]=0),0,N(Tasks[[#This Row],[_Days]])*HoursPerDay*IF(Tasks[[#This Row],[_Res3Units]]="",DefaultUnits,Tasks[[#This Row],[_Res3Units]]))</f>
        <v>0</v>
      </c>
      <c r="DX107" s="42" t="n">
        <f aca="false">IF(AND(AND(Tasks[[#This Row],[_IsLeaf]]=1,Tasks[[#This Row],[_LeafTotalWork]]&gt;0),Tasks[[#This Row],[_Res3Work]]&gt;0),Tasks[[#This Row],[_Res3Work]]/(Tasks[[#This Row],[_FinishWorkday]]-Tasks[[#This Row],[_StartWorkday]]+1),0)</f>
        <v>0</v>
      </c>
      <c r="DY107" s="42" t="n">
        <f aca="false">Tasks[[#This Row],[_Res3WorkPerWD]]*MAX(0,Tasks[[#This Row],[_StartWorkday]]-1)</f>
        <v>0</v>
      </c>
      <c r="DZ107" s="42" t="n">
        <f aca="false">Tasks[[#This Row],[_Res3Work]]*Tasks[[#This Row],[_LeafProgress]]</f>
        <v>0</v>
      </c>
      <c r="EA107" s="42" t="str">
        <f aca="false">IF(Tasks[[#This Row],[_Res4Text]]="","",IF(Tasks[[#This Row],[_Res4Row]]&gt;0,INDEX(res_Name,Tasks[[#This Row],[_Res4Row]]),TRIM(LEFT(Tasks[[#This Row],[_Res4Text]],FIND("[",Tasks[[#This Row],[_Res4Text]]&amp;"[")-1))))</f>
        <v/>
      </c>
      <c r="EB10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7" s="42" t="n">
        <f aca="false">IF(OR(NOT(Tasks[[#This Row],[_IsLeaf]]=1),Tasks[[#This Row],[_Res4Row]]=0),0,N(Tasks[[#This Row],[_Days]])*HoursPerDay*IF(Tasks[[#This Row],[_Res4Units]]="",DefaultUnits,Tasks[[#This Row],[_Res4Units]]))</f>
        <v>0</v>
      </c>
      <c r="ED107" s="42" t="n">
        <f aca="false">IF(AND(AND(Tasks[[#This Row],[_IsLeaf]]=1,Tasks[[#This Row],[_LeafTotalWork]]&gt;0),Tasks[[#This Row],[_Res4Work]]&gt;0),Tasks[[#This Row],[_Res4Work]]/(Tasks[[#This Row],[_FinishWorkday]]-Tasks[[#This Row],[_StartWorkday]]+1),0)</f>
        <v>0</v>
      </c>
      <c r="EE107" s="42" t="n">
        <f aca="false">Tasks[[#This Row],[_Res4WorkPerWD]]*MAX(0,Tasks[[#This Row],[_StartWorkday]]-1)</f>
        <v>0</v>
      </c>
      <c r="EF107" s="42" t="n">
        <f aca="false">Tasks[[#This Row],[_Res4Work]]*Tasks[[#This Row],[_LeafProgress]]</f>
        <v>0</v>
      </c>
      <c r="EG107" s="42" t="n">
        <f aca="false">IF(ISNUMBER(Tasks[[#This Row],[% Complete]]),Tasks[[#This Row],[% Complete]],IF(Tasks[[#This Row],[Stage]]="",0,IFERROR(INDEX(stg_Pct,MATCH(Tasks[[#This Row],[Stage]],stg_Name,0)),0)))</f>
        <v>0</v>
      </c>
      <c r="EH107" s="42" t="n">
        <f aca="false">IF(NOT(Tasks[[#This Row],[_IsLeaf]]=1),0,IF(N(Tasks[[#This Row],[Actual Finish]])&gt;0,1,MIN(1,Tasks[[#This Row],[_Pct]])))</f>
        <v>0</v>
      </c>
      <c r="EI107" s="42" t="n">
        <f aca="false">IF(OR(NOT(Tasks[[#This Row],[_IsLeaf]]=1),Tasks[[#This Row],[_Res1Row]]=0),0,N(Tasks[[#This Row],[_Days]])*HoursPerDay*IF(Tasks[[#This Row],[_Units1]]="",DefaultUnits,Tasks[[#This Row],[_Units1]]))</f>
        <v>0</v>
      </c>
      <c r="EJ107" s="42" t="n">
        <f aca="false">Tasks[[#This Row],[_LeafWork]]+Tasks[[#This Row],[_Res2Work]]+Tasks[[#This Row],[_Res3Work]]+Tasks[[#This Row],[_Res4Work]]</f>
        <v>0</v>
      </c>
      <c r="EK10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7" s="42" t="n">
        <f aca="false">IF(NOT(Tasks[[#This Row],[_IsLeaf]]=1),0,MAX(_xlfn.MAXIFS(Tasks[_Row],Tasks[_Pred1UID],Tasks[[#This Row],[UID]]),_xlfn.MAXIFS(Tasks[_Row],Tasks[_Pred2UID],Tasks[[#This Row],[UID]]),_xlfn.MAXIFS(Tasks[_Row],Tasks[_Pred3UID],Tasks[[#This Row],[UID]]),_xlfn.MAXIFS(Tasks[_Row],Tasks[_Pred4UID],Tasks[[#This Row],[UID]])))</f>
        <v>0</v>
      </c>
      <c r="ET10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7" s="89" t="str">
        <f aca="false">IF(NOT(Tasks[[#This Row],[_IsLeaf]]=1),"",IF(N(Tasks[[#This Row],[_Days]])&lt;=0,Tasks[[#This Row],[_LeafLateFinish]],WORKDAY.INTL(Tasks[[#This Row],[_LeafLateFinish]],-(Tasks[[#This Row],[_Days]]-1),WorkWeek,Holidays)))</f>
        <v/>
      </c>
      <c r="EW10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7" s="88" t="b">
        <f aca="false">AND(Tasks[[#This Row],[_IsLeaf]]=1,Tasks[[#This Row],[_LeafProgress]]&lt;1,N(Tasks[[#This Row],[_LeafTotalSlack]])&lt;=CriticalSlackDays)</f>
        <v>0</v>
      </c>
      <c r="EY107" s="42" t="n">
        <f aca="false">IF(AND(Tasks[[#This Row],[_IsLeaf]]=1,Tasks[[#This Row],[_ConstraintCode]]=1,Tasks[[#This Row],[Mode]]&lt;&gt;"Manual",N(Tasks[[#This Row],[Actual Start]])=0),MAX(0,N(Tasks[[#This Row],[Free Slack]])),0)</f>
        <v>0</v>
      </c>
      <c r="EZ107" s="89" t="str">
        <f aca="false">IF(NOT(Tasks[[#This Row],[_IsLeaf]]=1),"",IF(Tasks[[#This Row],[_AlapShift]]=0,Tasks[[#This Row],[_LeafCalcStart]],WORKDAY.INTL(Tasks[[#This Row],[_LeafCalcStart]],Tasks[[#This Row],[_AlapShift]],WorkWeek,Holidays)))</f>
        <v/>
      </c>
      <c r="FA107" s="89" t="str">
        <f aca="false">IF(NOT(Tasks[[#This Row],[_IsLeaf]]=1),"",IF(Tasks[[#This Row],[_AlapShift]]=0,Tasks[[#This Row],[_LeafCalcFinish]],WORKDAY.INTL(Tasks[[#This Row],[_LeafCalcFinish]],Tasks[[#This Row],[_AlapShift]],WorkWeek,Holidays)))</f>
        <v/>
      </c>
      <c r="FB107" s="89" t="str">
        <f aca="false">IF(NOT(Tasks[[#This Row],[_IsLeaf]]=1),"",IF(Tasks[[#This Row],[_AlapShift]]=0,Tasks[[#This Row],[_LeafFcstStart]],WORKDAY.INTL(Tasks[[#This Row],[_LeafFcstStart]],Tasks[[#This Row],[_AlapShift]],WorkWeek,Holidays)))</f>
        <v/>
      </c>
      <c r="FC107" s="89" t="str">
        <f aca="false">IF(NOT(Tasks[[#This Row],[_IsLeaf]]=1),"",IF(Tasks[[#This Row],[_AlapShift]]=0,Tasks[[#This Row],[_LeafFcstFinish]],WORKDAY.INTL(Tasks[[#This Row],[_LeafFcstFinish]],Tasks[[#This Row],[_AlapShift]],WorkWeek,Holidays)))</f>
        <v/>
      </c>
      <c r="FD107" s="89" t="str">
        <f aca="false">IF(Tasks[[#This Row],[Task Name]]="","",IF(Tasks[[#This Row],[_IsSummary]],MIN(INDEX(Tasks[_ShownCalcStart],Tasks[[#This Row],[_Row]]+1):INDEX(Tasks[_ShownCalcStart],Tasks[[#This Row],[_Row]]+Tasks[[#This Row],[_Descendants]])),Tasks[[#This Row],[_ShownCalcStart]]))</f>
        <v/>
      </c>
      <c r="FE107" s="89" t="str">
        <f aca="false">IF(Tasks[[#This Row],[Task Name]]="","",IF(Tasks[[#This Row],[_IsSummary]],MAX(INDEX(Tasks[_ShownCalcFinish],Tasks[[#This Row],[_Row]]+1):INDEX(Tasks[_ShownCalcFinish],Tasks[[#This Row],[_Row]]+Tasks[[#This Row],[_Descendants]])),Tasks[[#This Row],[_ShownCalcFinish]]))</f>
        <v/>
      </c>
      <c r="FF10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7" s="42" t="n">
        <f aca="false">IF(AND(Tasks[[#This Row],[_IsLeaf]]=1,Tasks[[#This Row],[_LeafTotalWork]]&gt;0),NETWORKDAYS.INTL(ProjectStart,Tasks[[#This Row],[_ShownFcstStart]],WorkWeek,Holidays),0)</f>
        <v>0</v>
      </c>
      <c r="FS107" s="42" t="n">
        <f aca="false">IF(AND(Tasks[[#This Row],[_IsLeaf]]=1,Tasks[[#This Row],[_LeafTotalWork]]&gt;0),MAX(Tasks[[#This Row],[_StartWorkday]],NETWORKDAYS.INTL(ProjectStart,Tasks[[#This Row],[_ShownFcstFinish]],WorkWeek,Holidays)),0)</f>
        <v>0</v>
      </c>
      <c r="FT107" s="42" t="n">
        <f aca="false">IF(AND(Tasks[[#This Row],[_IsLeaf]]=1,Tasks[[#This Row],[_LeafTotalWork]]&gt;0),Tasks[[#This Row],[_LeafWork]]/(Tasks[[#This Row],[_FinishWorkday]]-Tasks[[#This Row],[_StartWorkday]]+1),0)</f>
        <v>0</v>
      </c>
      <c r="FU107" s="42" t="n">
        <f aca="false">Tasks[[#This Row],[_WorkPerWorkday]]*(Tasks[[#This Row],[_StartWorkday]]-1)</f>
        <v>-0</v>
      </c>
      <c r="FV107" s="42" t="n">
        <f aca="false">IF(Tasks[[#This Row],[_IsLeaf]]=1,MAX(N(Tasks[[#This Row],[_Days]]),0.1),0)</f>
        <v>0</v>
      </c>
      <c r="FW107" s="42" t="n">
        <f aca="false">Tasks[[#This Row],[_WeightDur]]*Tasks[[#This Row],[_LeafProgress]]</f>
        <v>0</v>
      </c>
      <c r="FX107" s="42" t="n">
        <f aca="false">Tasks[[#This Row],[_WeightDur]]*Tasks[[#This Row],[_PlannedPct]]</f>
        <v>0</v>
      </c>
      <c r="FY10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7" s="42" t="str">
        <f aca="false">IF(AND(Tasks[[#This Row],[_IsLeaf]]=1,N(Tasks[[#This Row],[_Days]])=0,Tasks[[#This Row],[_LeafProgress]]&lt;1),Tasks[[#This Row],[_ShownFcstFinish]]+Tasks[[#This Row],[_Row]]/100000,"")</f>
        <v/>
      </c>
      <c r="GA10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7" s="42" t="str">
        <f aca="false">IF(Tasks[[#This Row],[Task Name]]="","",LEFT(Tasks[[#This Row],[WBS]],FIND(".",Tasks[[#This Row],[WBS]]&amp;".")-1))</f>
        <v/>
      </c>
      <c r="GC107" s="42" t="str">
        <f aca="false">IF(AND(Tasks[[#This Row],[Task Name]]&lt;&gt;"",Tasks[[#This Row],[_Level]]=1),Tasks[[#This Row],[_Row]],"")</f>
        <v/>
      </c>
      <c r="GD107" s="42" t="str">
        <f aca="false">IF(AND(Tasks[[#This Row],[_IsLeaf]]=1,N(Tasks[[#This Row],[_Days]])=0),Tasks[[#This Row],[Planned Finish]]+Tasks[[#This Row],[_Row]]/100000,"")</f>
        <v/>
      </c>
      <c r="GE107" s="42" t="str">
        <f aca="false">IF(AND(Tasks[[#This Row],[_IsLeaf]]=1,Tasks[[#This Row],[_LeafProgress]]&lt;1,OR(N(Tasks[[#This Row],[Finish Var]])&gt;0,Tasks[[#This Row],[Status]]="Late Start")),MAX(0,Tasks[[#This Row],[Finish Var]])+1-Tasks[[#This Row],[_Row]]/1000000,"")</f>
        <v/>
      </c>
      <c r="GF107" s="42" t="str">
        <f aca="false">IF(AND(Tasks[[#This Row],[_IsLeaf]]=1,N(Tasks[[#This Row],[Actual Start]])=0,Tasks[[#This Row],[_ShownFcstStart]]&gt;=StatusDate,Tasks[[#This Row],[_ShownFcstStart]]&lt;=LookaheadEnd),Tasks[[#This Row],[_ShownFcstStart]]+Tasks[[#This Row],[_Row]]/100000,"")</f>
        <v/>
      </c>
      <c r="GG107" s="42" t="str">
        <f aca="false">IF(AND(Tasks[[#This Row],[_IsLeaf]]=1,Tasks[[#This Row],[_LeafProgress]]&lt;1,Tasks[[#This Row],[_ShownFcstFinish]]&gt;=StatusDate,Tasks[[#This Row],[_ShownFcstFinish]]&lt;=LookaheadEnd),Tasks[[#This Row],[_ShownFcstFinish]]+Tasks[[#This Row],[_Row]]/100000,"")</f>
        <v/>
      </c>
      <c r="GH107" s="42" t="str">
        <f aca="false">IF(Tasks[[#This Row],[_LeafCritical]],Tasks[[#This Row],[_ShownFcstStart]]+Tasks[[#This Row],[_Row]]/100000,"")</f>
        <v/>
      </c>
      <c r="GI107" s="42" t="n">
        <f aca="false">Tasks[[#This Row],[_LeafWork]]*Tasks[[#This Row],[_LeafProgress]]</f>
        <v>0</v>
      </c>
      <c r="GJ107" s="89" t="str">
        <f aca="false">IF(AND(Tasks[[#This Row],[_IsLeaf]]=1,Tasks[[#This Row],[_LeafProgress]]&gt;=1),IF(N(Tasks[[#This Row],[Actual Finish]])&gt;0,Tasks[[#This Row],[Actual Finish]],Tasks[[#This Row],[_ShownFcstFinish]]),"")</f>
        <v/>
      </c>
      <c r="GK107" s="42" t="n">
        <f aca="false">IF(Tasks[[#This Row],[_IsLeaf]]=1,N(Tasks[[#This Row],[Story Points]]),0)</f>
        <v>0</v>
      </c>
      <c r="GL107" s="42" t="str">
        <f aca="false">""</f>
        <v/>
      </c>
      <c r="GM107" s="88" t="b">
        <f aca="false">IF(Tasks[[#This Row],[Task Name]]="",FALSE(),AND(Tasks[[#This Row],[_IsLeaf]]=1,N(Tasks[[#This Row],[_Days]])=0))</f>
        <v>0</v>
      </c>
      <c r="GN107" s="89" t="n">
        <f aca="false">IF(Tasks[[#This Row],[Task Name]]="",0,IF(AND(Tasks[[#This Row],[_IsLeaf]]=1,NOT(Tasks[[#This Row],[_IsMilestone]]),N(Tasks[[#This Row],[Progress]])&gt;0),Tasks[[#This Row],[Start]],0))</f>
        <v>0</v>
      </c>
      <c r="GO107" s="89" t="n">
        <f aca="false">IF(Tasks[[#This Row],[_DoneFrom]]=0,0,IF(Tasks[[#This Row],[Progress]]&gt;=1,Tasks[[#This Row],[Finish]],MAX(Tasks[[#This Row],[_DoneFrom]],Tasks[[#This Row],[Start]]+ROUND((Tasks[[#This Row],[Finish]]-Tasks[[#This Row],[Start]]+1)*Tasks[[#This Row],[Progress]],0)-1)))</f>
        <v>0</v>
      </c>
      <c r="GP107" s="89" t="n">
        <f aca="false">IF(Tasks[[#This Row],[Task Name]]="",0,IF(OR(NOT(Tasks[[#This Row],[_IsLeaf]]=1),Tasks[[#This Row],[_IsMilestone]],N(Tasks[[#This Row],[Progress]])&gt;=1),0,IF(Tasks[[#This Row],[_DoneTo]]&gt;0,Tasks[[#This Row],[_DoneTo]]+1,Tasks[[#This Row],[Start]])))</f>
        <v>0</v>
      </c>
      <c r="GQ107" s="89" t="n">
        <f aca="false">IF(Tasks[[#This Row],[_RemFrom]]=0,0,Tasks[[#This Row],[Finish]])</f>
        <v>0</v>
      </c>
      <c r="GR107" s="88" t="b">
        <f aca="false">IF(Tasks[[#This Row],[Task Name]]="",FALSE(),OR(NOT(BaselineSet),N(Tasks[[#This Row],[Baseline Start]])&gt;0))</f>
        <v>0</v>
      </c>
      <c r="GS10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7" s="90" t="str">
        <f aca="false">IF(Tasks[[#This Row],[_IsLeaf]]=1,Tasks[[#This Row],[_Row]],"")</f>
        <v/>
      </c>
      <c r="GW107" s="90" t="str">
        <f aca="false">IFERROR(INDEX(Tasks[UID],SMALL(Tasks[_PickKey],Tasks[[#This Row],[_Row]]))&amp;" "&amp;INDEX(Tasks[Task Name],SMALL(Tasks[_PickKey],Tasks[[#This Row],[_Row]])),"")</f>
        <v/>
      </c>
      <c r="GX107" s="42" t="str">
        <f aca="false">IF(Tasks[[#This Row],[Task Name]]="","",IF(Tasks[[#This Row],[_IsSummary]],NETWORKDAYS.INTL(Tasks[[#This Row],[Start]],Tasks[[#This Row],[Finish]],WorkWeek,Holidays),N(Tasks[[#This Row],[_Days]])))</f>
        <v/>
      </c>
    </row>
    <row r="108" customFormat="false" ht="15" hidden="false" customHeight="false" outlineLevel="0" collapsed="false">
      <c r="A108" s="21" t="str">
        <f aca="false">IF(Tasks[[#This Row],[Task Name]]="","",COUNTA(Tasks[[#Headers],[Task Name]]:Tasks[[#This Row],[Task Name]])-1)</f>
        <v/>
      </c>
      <c r="B108" s="22" t="n">
        <v>116</v>
      </c>
      <c r="C108" s="22"/>
      <c r="D108" s="23"/>
      <c r="E108" s="22"/>
      <c r="F108" s="23"/>
      <c r="G108" s="22"/>
      <c r="H108" s="22"/>
      <c r="I108" s="23"/>
      <c r="J108" s="22"/>
      <c r="K108" s="22"/>
      <c r="L108" s="23"/>
      <c r="M108" s="22"/>
      <c r="N108" s="22"/>
      <c r="O108" s="23"/>
      <c r="P108" s="22"/>
      <c r="Q108" s="22"/>
      <c r="R108" s="23"/>
      <c r="S108" s="23"/>
      <c r="T108" s="83"/>
      <c r="U108" s="23"/>
      <c r="V108" s="83"/>
      <c r="W108" s="23"/>
      <c r="X108" s="83"/>
      <c r="Y108" s="23"/>
      <c r="Z108" s="83"/>
      <c r="AA108" s="23"/>
      <c r="AB108" s="23"/>
      <c r="AC108" s="7"/>
      <c r="AD108" s="7"/>
      <c r="AE108" s="62" t="str">
        <f aca="false">IF(Tasks[[#This Row],[Task Name]]="","",IF(Tasks[[#This Row],[_IsSummary]],MIN(INDEX(Tasks[_ShownFcstStart],Tasks[[#This Row],[_Row]]+1):INDEX(Tasks[_ShownFcstStart],Tasks[[#This Row],[_Row]]+Tasks[[#This Row],[_Descendants]])),Tasks[[#This Row],[_ShownFcstStart]]))</f>
        <v/>
      </c>
      <c r="AF108" s="62" t="str">
        <f aca="false">IF(Tasks[[#This Row],[Task Name]]="","",IF(Tasks[[#This Row],[_IsSummary]],MAX(INDEX(Tasks[_ShownFcstFinish],Tasks[[#This Row],[_Row]]+1):INDEX(Tasks[_ShownFcstFinish],Tasks[[#This Row],[_Row]]+Tasks[[#This Row],[_Descendants]])),Tasks[[#This Row],[_ShownFcstFinish]]))</f>
        <v/>
      </c>
      <c r="AG108" s="21" t="str">
        <f aca="false">""</f>
        <v/>
      </c>
      <c r="AH108" s="23"/>
      <c r="AI10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8" s="7"/>
      <c r="AK108" s="22"/>
      <c r="AL108" s="23"/>
      <c r="AM108" s="7"/>
      <c r="AN108" s="46" t="str">
        <f aca="false">IF(Tasks[[#This Row],[Task Name]]="","",IF(Tasks[[#This Row],[Finish]]&gt;=Tasks[[#This Row],[Planned Finish]],NETWORKDAYS.INTL(Tasks[[#This Row],[Planned Finish]],Tasks[[#This Row],[Finish]],WorkWeek,Holidays)-1,1-NETWORKDAYS.INTL(Tasks[[#This Row],[Finish]],Tasks[[#This Row],[Planned Finish]],WorkWeek,Holidays)))</f>
        <v/>
      </c>
      <c r="AO108" s="21" t="str">
        <f aca="false">IF(Tasks[[#This Row],[Task Name]]="","",IF(Tasks[[#This Row],[Progress]]&gt;=1,"Complete",IF(OR(N(Tasks[[#This Row],[Actual Start]])&gt;0,Tasks[[#This Row],[Progress]]&gt;0),IF(Tasks[[#This Row],[Finish Var]]&gt;0,"Behind","In Progress"),IF(Tasks[[#This Row],[Planned Start]]&lt;StatusDate,"Late Start","Not Started"))))</f>
        <v/>
      </c>
      <c r="AP108" s="21" t="str">
        <f aca="false">IF(Tasks[[#This Row],[Task Name]]="","",IF(IF(Tasks[[#This Row],[_IsSummary]],COUNTIF(INDEX(Tasks[_LeafCritical],Tasks[[#This Row],[_Row]]+1):INDEX(Tasks[_LeafCritical],Tasks[[#This Row],[_Row]]+Tasks[[#This Row],[_Descendants]]),TRUE())&gt;0,Tasks[[#This Row],[_LeafCritical]]),"Yes",""))</f>
        <v/>
      </c>
      <c r="AQ108" s="62" t="str">
        <f aca="false">IF(Tasks[[#This Row],[Task Name]]="","",IF(N(Tasks[[#This Row],[Baseline Start]])&gt;0,Tasks[[#This Row],[Baseline Start]],Tasks[[#This Row],[_CalcStart]]))</f>
        <v/>
      </c>
      <c r="AR108" s="62" t="str">
        <f aca="false">IF(Tasks[[#This Row],[Task Name]]="","",IF(N(Tasks[[#This Row],[Baseline Finish]])&gt;0,Tasks[[#This Row],[Baseline Finish]],Tasks[[#This Row],[_CalcFinish]]))</f>
        <v/>
      </c>
      <c r="AS108" s="46" t="str">
        <f aca="false">IF(Tasks[[#This Row],[Task Name]]="","",IF(Tasks[[#This Row],[Start]]&gt;=Tasks[[#This Row],[Planned Start]],NETWORKDAYS.INTL(Tasks[[#This Row],[Planned Start]],Tasks[[#This Row],[Start]],WorkWeek,Holidays)-1,1-NETWORKDAYS.INTL(Tasks[[#This Row],[Start]],Tasks[[#This Row],[Planned Start]],WorkWeek,Holidays)))</f>
        <v/>
      </c>
      <c r="AT108" s="62" t="str">
        <f aca="false">IF(Tasks[[#This Row],[Task Name]]="","",IF(Tasks[[#This Row],[_IsSummary]],MIN(INDEX(Tasks[_LeafLateStart],Tasks[[#This Row],[_Row]]+1):INDEX(Tasks[_LeafLateStart],Tasks[[#This Row],[_Row]]+Tasks[[#This Row],[_Descendants]])),Tasks[[#This Row],[_LeafLateStart]]))</f>
        <v/>
      </c>
      <c r="AU108" s="62" t="str">
        <f aca="false">IF(Tasks[[#This Row],[Task Name]]="","",IF(Tasks[[#This Row],[_IsSummary]],MAX(INDEX(Tasks[_LeafLateFinish],Tasks[[#This Row],[_Row]]+1):INDEX(Tasks[_LeafLateFinish],Tasks[[#This Row],[_Row]]+Tasks[[#This Row],[_Descendants]])),Tasks[[#This Row],[_LeafLateFinish]]))</f>
        <v/>
      </c>
      <c r="AV108" s="46" t="str">
        <f aca="false">IF(Tasks[[#This Row],[Task Name]]="","",IF(Tasks[[#This Row],[_IsSummary]],MIN(INDEX(Tasks[_LeafTotalSlack],Tasks[[#This Row],[_Row]]+1):INDEX(Tasks[_LeafTotalSlack],Tasks[[#This Row],[_Row]]+Tasks[[#This Row],[_Descendants]])),Tasks[[#This Row],[_LeafTotalSlack]]))</f>
        <v/>
      </c>
      <c r="AW10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4"/>
      <c r="BA10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t="str">
        <f aca="false">IF(Tasks[[#This Row],[Task Name]]="","",IF(Tasks[[#This Row],[_Level]]&lt;=OutlineShowLevel,"Yes","No"))</f>
        <v/>
      </c>
      <c r="BE108" s="85" t="str">
        <f aca="false">IF(Tasks[[#This Row],[Task Name]]="","",IF(Tasks[[#This Row],[_IsSummary]],SUM(INDEX(Tasks[_LeafTotalWork],Tasks[[#This Row],[_Row]]+1):INDEX(Tasks[_LeafTotalWork],Tasks[[#This Row],[_Row]]+Tasks[[#This Row],[_Descendants]])),Tasks[[#This Row],[_LeafTotalWork]]))</f>
        <v/>
      </c>
      <c r="BF108" s="23"/>
      <c r="BG10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t="str">
        <f aca="false">""</f>
        <v/>
      </c>
      <c r="BI108" s="86"/>
      <c r="BJ108" s="22"/>
      <c r="BK108" s="46" t="str">
        <f aca="false">IF(OR(Tasks[[#This Row],[Task Name]]="",Tasks[[#This Row],[Baseline Duration]]=""),"",Tasks[[#This Row],[_SpanDays]]-N(Tasks[[#This Row],[Baseline Duration]]))</f>
        <v/>
      </c>
      <c r="BL108" s="85" t="str">
        <f aca="false">IF(OR(Tasks[[#This Row],[Task Name]]="",Tasks[[#This Row],[Baseline Work]]=""),"",Tasks[[#This Row],[Work]]-N(Tasks[[#This Row],[Baseline Work]]))</f>
        <v/>
      </c>
      <c r="BM108" s="62" t="str">
        <f aca="false">IF(Tasks[[#This Row],[Task Name]]="","",IF(OR(TakeBaseline="Yes",N(Tasks[[#This Row],[Baseline Start]])=0),Tasks[[#This Row],[Start]],Tasks[[#This Row],[Baseline Start]]))</f>
        <v/>
      </c>
      <c r="BN108" s="62" t="str">
        <f aca="false">IF(Tasks[[#This Row],[Task Name]]="","",IF(OR(TakeBaseline="Yes",N(Tasks[[#This Row],[Baseline Finish]])=0),Tasks[[#This Row],[Finish]],Tasks[[#This Row],[Baseline Finish]]))</f>
        <v/>
      </c>
      <c r="BO108" s="21" t="str">
        <f aca="false">IF(Tasks[[#This Row],[Task Name]]="","",IF(OR(TakeBaseline="Yes",N(Tasks[[#This Row],[Baseline Duration]])=0),Tasks[[#This Row],[_SpanDays]],Tasks[[#This Row],[Baseline Duration]]))</f>
        <v/>
      </c>
      <c r="BP108" s="85" t="str">
        <f aca="false">IF(Tasks[[#This Row],[Task Name]]="","",IF(OR(TakeBaseline="Yes",N(Tasks[[#This Row],[Baseline Work]])=0),Tasks[[#This Row],[Work]],Tasks[[#This Row],[Baseline Work]]))</f>
        <v/>
      </c>
      <c r="BQ108" s="7"/>
      <c r="BR108" s="7"/>
      <c r="BS108" s="22"/>
      <c r="BT108" s="87"/>
      <c r="BU108" s="42" t="str">
        <f aca="false">IF(Tasks[[#This Row],[Task Name]]="","",MAX(1,N(Tasks[[#This Row],[Level]])))</f>
        <v/>
      </c>
      <c r="BV108" s="42" t="n">
        <f aca="false">ROW()-ROW(Tasks[[#Headers],[ID]])</f>
        <v>103</v>
      </c>
      <c r="BW108" s="42" t="n">
        <f aca="false">IF(OR(Tasks[[#This Row],[Task Name]]="",Tasks[[#This Row],[_Level]]&lt;=1),0,IFERROR(LOOKUP(2,1/(Tasks[[#Headers],[_Level]]:Tasks[[#This Row],[_Level]]=Tasks[[#This Row],[_Level]]-1),ROW(Tasks[[#Headers],[_Level]]:Tasks[[#This Row],[_Level]])),0))</f>
        <v>0</v>
      </c>
      <c r="BX108" s="42" t="n">
        <f aca="false">IFERROR(N(INDEX(Tasks[_Level],Tasks[[#This Row],[_Row]]+1)),0)</f>
        <v>0</v>
      </c>
      <c r="BY108" s="88" t="b">
        <f aca="false">AND(Tasks[[#This Row],[Task Name]]&lt;&gt;"",Tasks[[#This Row],[_NextLevel]]&gt;Tasks[[#This Row],[_Level]])</f>
        <v>0</v>
      </c>
      <c r="BZ108" s="42" t="n">
        <f aca="false">IF(Tasks[[#This Row],[_IsSummary]],COUNTIF(Tasks[WBS],Tasks[[#This Row],[WBS]]&amp;".*"),0)</f>
        <v>0</v>
      </c>
      <c r="CA108" s="42" t="n">
        <f aca="false">IF(AND(Tasks[[#This Row],[Task Name]]&lt;&gt;"",NOT(Tasks[[#This Row],[_IsSummary]])),1,0)</f>
        <v>0</v>
      </c>
      <c r="CB108" s="42" t="n">
        <f aca="false">IF(N(Tasks[[#This Row],[_Pred1UID]])=0,0,IFERROR(MATCH(Tasks[[#This Row],[_Pred1UID]],Tasks[UID],0),-1))</f>
        <v>0</v>
      </c>
      <c r="CC108" s="42" t="n">
        <f aca="false">IF(N(Tasks[[#This Row],[_Pred2UID]])=0,0,IFERROR(MATCH(Tasks[[#This Row],[_Pred2UID]],Tasks[UID],0),-1))</f>
        <v>0</v>
      </c>
      <c r="CD108" s="42" t="n">
        <f aca="false">IF(N(Tasks[[#This Row],[_Pred3UID]])=0,0,IFERROR(MATCH(Tasks[[#This Row],[_Pred3UID]],Tasks[UID],0),-1))</f>
        <v>0</v>
      </c>
      <c r="CE108" s="42" t="n">
        <f aca="false">IF(N(Tasks[[#This Row],[_Pred4UID]])=0,0,IFERROR(MATCH(Tasks[[#This Row],[_Pred4UID]],Tasks[UID],0),-1))</f>
        <v>0</v>
      </c>
      <c r="CF10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8" s="89" t="n">
        <f aca="false">IF(OR(Tasks[[#This Row],[_ConstraintCode]]=2,Tasks[[#This Row],[_ConstraintCode]]=3,Tasks[[#This Row],[_ConstraintCode]]=4,Tasks[[#This Row],[_ConstraintCode]]=6),Tasks[[#This Row],[_ConstraintStart]],0)</f>
        <v>0</v>
      </c>
      <c r="CI108" s="89" t="n">
        <f aca="false">IF(OR(Tasks[[#This Row],[_ConstraintCode]]=2,Tasks[[#This Row],[_ConstraintCode]]=3,Tasks[[#This Row],[_ConstraintCode]]=5,Tasks[[#This Row],[_ConstraintCode]]=7),Tasks[[#This Row],[_ConstraintStart]],2958465)</f>
        <v>2958465</v>
      </c>
      <c r="CJ10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8" s="89" t="str">
        <f aca="false">IF(NOT(Tasks[[#This Row],[_IsLeaf]]=1),"",IF(N(Tasks[[#This Row],[_Days]])&lt;=0,Tasks[[#This Row],[_LeafCalcStart]],WORKDAY.INTL(Tasks[[#This Row],[_LeafCalcStart]],Tasks[[#This Row],[_Days]]-1,WorkWeek,Holidays)))</f>
        <v/>
      </c>
      <c r="CL10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8" s="42" t="str">
        <f aca="false">IF(Tasks[[#This Row],[_Predecessors]]="","",TRIM(MID(SUBSTITUTE(SUBSTITUTE(SUBSTITUTE(UPPER(Tasks[[#This Row],[_Predecessors]]),";",",")," ",""),",",REPT(" ",99)),1,99)))</f>
        <v/>
      </c>
      <c r="CO108" s="42" t="str">
        <f aca="false">IF(Tasks[[#This Row],[_Pred1Text]]="","",IFERROR(VALUE(LEFT(Tasks[[#This Row],[_Pred1Text]],MIN(FIND("F",Tasks[[#This Row],[_Pred1Text]]&amp;"F"),FIND("S",Tasks[[#This Row],[_Pred1Text]]&amp;"S"),FIND("+",Tasks[[#This Row],[_Pred1Text]]&amp;"+"),FIND("-",Tasks[[#This Row],[_Pred1Text]]&amp;"-"))-1)),""))</f>
        <v/>
      </c>
      <c r="CP10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8" s="42" t="str">
        <f aca="false">IF(Tasks[[#This Row],[_Pred1Text]]="","",TRIM(MID(SUBSTITUTE(SUBSTITUTE(SUBSTITUTE(UPPER(Tasks[[#This Row],[_Predecessors]]),";",",")," ",""),",",REPT(" ",99)),100,99)))</f>
        <v/>
      </c>
      <c r="CS108" s="42" t="str">
        <f aca="false">IF(Tasks[[#This Row],[_Pred2Text]]="","",IFERROR(VALUE(LEFT(Tasks[[#This Row],[_Pred2Text]],MIN(FIND("F",Tasks[[#This Row],[_Pred2Text]]&amp;"F"),FIND("S",Tasks[[#This Row],[_Pred2Text]]&amp;"S"),FIND("+",Tasks[[#This Row],[_Pred2Text]]&amp;"+"),FIND("-",Tasks[[#This Row],[_Pred2Text]]&amp;"-"))-1)),""))</f>
        <v/>
      </c>
      <c r="CT10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8" s="42" t="str">
        <f aca="false">IF(Tasks[[#This Row],[_Pred2Text]]="","",TRIM(MID(SUBSTITUTE(SUBSTITUTE(SUBSTITUTE(UPPER(Tasks[[#This Row],[_Predecessors]]),";",",")," ",""),",",REPT(" ",99)),199,99)))</f>
        <v/>
      </c>
      <c r="CW108" s="42" t="str">
        <f aca="false">IF(Tasks[[#This Row],[_Pred3Text]]="","",IFERROR(VALUE(LEFT(Tasks[[#This Row],[_Pred3Text]],MIN(FIND("F",Tasks[[#This Row],[_Pred3Text]]&amp;"F"),FIND("S",Tasks[[#This Row],[_Pred3Text]]&amp;"S"),FIND("+",Tasks[[#This Row],[_Pred3Text]]&amp;"+"),FIND("-",Tasks[[#This Row],[_Pred3Text]]&amp;"-"))-1)),""))</f>
        <v/>
      </c>
      <c r="CX10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8" s="42" t="str">
        <f aca="false">IF(Tasks[[#This Row],[_Pred3Text]]="","",TRIM(MID(SUBSTITUTE(SUBSTITUTE(SUBSTITUTE(UPPER(Tasks[[#This Row],[_Predecessors]]),";",",")," ",""),",",REPT(" ",99)),298,99)))</f>
        <v/>
      </c>
      <c r="DA108" s="42" t="str">
        <f aca="false">IF(Tasks[[#This Row],[_Pred4Text]]="","",IFERROR(VALUE(LEFT(Tasks[[#This Row],[_Pred4Text]],MIN(FIND("F",Tasks[[#This Row],[_Pred4Text]]&amp;"F"),FIND("S",Tasks[[#This Row],[_Pred4Text]]&amp;"S"),FIND("+",Tasks[[#This Row],[_Pred4Text]]&amp;"+"),FIND("-",Tasks[[#This Row],[_Pred4Text]]&amp;"-"))-1)),""))</f>
        <v/>
      </c>
      <c r="DB10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8" s="42" t="str">
        <f aca="false">IF(OR(Tasks[[#This Row],[Task Name]]="",Tasks[[#This Row],[_Resources]]=""),"",TRIM(MID(SUBSTITUTE(Tasks[[#This Row],[_Resources]],",",REPT(" ",99)),1,99)))</f>
        <v/>
      </c>
      <c r="DE108" s="42" t="str">
        <f aca="false">IF(Tasks[[#This Row],[_Res1Text]]="","",TRIM(MID(SUBSTITUTE(Tasks[[#This Row],[_Resources]],",",REPT(" ",99)),100,99)))</f>
        <v/>
      </c>
      <c r="DF108" s="42" t="str">
        <f aca="false">IF(Tasks[[#This Row],[_Res2Text]]="","",TRIM(MID(SUBSTITUTE(Tasks[[#This Row],[_Resources]],",",REPT(" ",99)),199,99)))</f>
        <v/>
      </c>
      <c r="DG108" s="42" t="str">
        <f aca="false">IF(Tasks[[#This Row],[_Res3Text]]="","",TRIM(MID(SUBSTITUTE(Tasks[[#This Row],[_Resources]],",",REPT(" ",99)),298,99)))</f>
        <v/>
      </c>
      <c r="DH108" s="42" t="n">
        <f aca="false">IF(Tasks[[#This Row],[_Res1Text]]="",0,IFERROR(MATCH(TRIM(LEFT(Tasks[[#This Row],[_Res1Text]],FIND("[",Tasks[[#This Row],[_Res1Text]]&amp;"[")-1)),res_Name,0),IFERROR(MATCH(TRIM(LEFT(Tasks[[#This Row],[_Res1Text]],FIND("[",Tasks[[#This Row],[_Res1Text]]&amp;"[")-1)),res_Initials,0),0)))</f>
        <v>0</v>
      </c>
      <c r="DI108" s="42" t="n">
        <f aca="false">IF(Tasks[[#This Row],[_Res2Text]]="",0,IFERROR(MATCH(TRIM(LEFT(Tasks[[#This Row],[_Res2Text]],FIND("[",Tasks[[#This Row],[_Res2Text]]&amp;"[")-1)),res_Name,0),IFERROR(MATCH(TRIM(LEFT(Tasks[[#This Row],[_Res2Text]],FIND("[",Tasks[[#This Row],[_Res2Text]]&amp;"[")-1)),res_Initials,0),0)))</f>
        <v>0</v>
      </c>
      <c r="DJ108" s="42" t="n">
        <f aca="false">IF(Tasks[[#This Row],[_Res3Text]]="",0,IFERROR(MATCH(TRIM(LEFT(Tasks[[#This Row],[_Res3Text]],FIND("[",Tasks[[#This Row],[_Res3Text]]&amp;"[")-1)),res_Name,0),IFERROR(MATCH(TRIM(LEFT(Tasks[[#This Row],[_Res3Text]],FIND("[",Tasks[[#This Row],[_Res3Text]]&amp;"[")-1)),res_Initials,0),0)))</f>
        <v>0</v>
      </c>
      <c r="DK108" s="42" t="n">
        <f aca="false">IF(Tasks[[#This Row],[_Res4Text]]="",0,IFERROR(MATCH(TRIM(LEFT(Tasks[[#This Row],[_Res4Text]],FIND("[",Tasks[[#This Row],[_Res4Text]]&amp;"[")-1)),res_Name,0),IFERROR(MATCH(TRIM(LEFT(Tasks[[#This Row],[_Res4Text]],FIND("[",Tasks[[#This Row],[_Res4Text]]&amp;"[")-1)),res_Initials,0),0)))</f>
        <v>0</v>
      </c>
      <c r="DL108" s="42" t="str">
        <f aca="false">IF(Tasks[[#This Row],[_Res1Text]]="","",IF(Tasks[[#This Row],[_Res1Row]]&gt;0,INDEX(res_Name,Tasks[[#This Row],[_Res1Row]]),TRIM(LEFT(Tasks[[#This Row],[_Res1Text]],FIND("[",Tasks[[#This Row],[_Res1Text]]&amp;"[")-1))))</f>
        <v/>
      </c>
      <c r="DM10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8" s="42" t="n">
        <f aca="false">IF(NOT(Tasks[[#This Row],[_IsLeaf]]=1),0,(Tasks[[#This Row],[_Resource1]]&lt;&gt;"")+(Tasks[[#This Row],[_Res2]]&lt;&gt;"")+(Tasks[[#This Row],[_Res3]]&lt;&gt;"")+(Tasks[[#This Row],[_Res4]]&lt;&gt;""))</f>
        <v>0</v>
      </c>
      <c r="DO108" s="42" t="str">
        <f aca="false">IF(Tasks[[#This Row],[_Res2Text]]="","",IF(Tasks[[#This Row],[_Res2Row]]&gt;0,INDEX(res_Name,Tasks[[#This Row],[_Res2Row]]),TRIM(LEFT(Tasks[[#This Row],[_Res2Text]],FIND("[",Tasks[[#This Row],[_Res2Text]]&amp;"[")-1))))</f>
        <v/>
      </c>
      <c r="DP10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8" s="42" t="n">
        <f aca="false">IF(OR(NOT(Tasks[[#This Row],[_IsLeaf]]=1),Tasks[[#This Row],[_Res2Row]]=0),0,N(Tasks[[#This Row],[_Days]])*HoursPerDay*IF(Tasks[[#This Row],[_Res2Units]]="",DefaultUnits,Tasks[[#This Row],[_Res2Units]]))</f>
        <v>0</v>
      </c>
      <c r="DR108" s="42" t="n">
        <f aca="false">IF(AND(AND(Tasks[[#This Row],[_IsLeaf]]=1,Tasks[[#This Row],[_LeafTotalWork]]&gt;0),Tasks[[#This Row],[_Res2Work]]&gt;0),Tasks[[#This Row],[_Res2Work]]/(Tasks[[#This Row],[_FinishWorkday]]-Tasks[[#This Row],[_StartWorkday]]+1),0)</f>
        <v>0</v>
      </c>
      <c r="DS108" s="42" t="n">
        <f aca="false">Tasks[[#This Row],[_Res2WorkPerWD]]*MAX(0,Tasks[[#This Row],[_StartWorkday]]-1)</f>
        <v>0</v>
      </c>
      <c r="DT108" s="42" t="n">
        <f aca="false">Tasks[[#This Row],[_Res2Work]]*Tasks[[#This Row],[_LeafProgress]]</f>
        <v>0</v>
      </c>
      <c r="DU108" s="42" t="str">
        <f aca="false">IF(Tasks[[#This Row],[_Res3Text]]="","",IF(Tasks[[#This Row],[_Res3Row]]&gt;0,INDEX(res_Name,Tasks[[#This Row],[_Res3Row]]),TRIM(LEFT(Tasks[[#This Row],[_Res3Text]],FIND("[",Tasks[[#This Row],[_Res3Text]]&amp;"[")-1))))</f>
        <v/>
      </c>
      <c r="DV10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8" s="42" t="n">
        <f aca="false">IF(OR(NOT(Tasks[[#This Row],[_IsLeaf]]=1),Tasks[[#This Row],[_Res3Row]]=0),0,N(Tasks[[#This Row],[_Days]])*HoursPerDay*IF(Tasks[[#This Row],[_Res3Units]]="",DefaultUnits,Tasks[[#This Row],[_Res3Units]]))</f>
        <v>0</v>
      </c>
      <c r="DX108" s="42" t="n">
        <f aca="false">IF(AND(AND(Tasks[[#This Row],[_IsLeaf]]=1,Tasks[[#This Row],[_LeafTotalWork]]&gt;0),Tasks[[#This Row],[_Res3Work]]&gt;0),Tasks[[#This Row],[_Res3Work]]/(Tasks[[#This Row],[_FinishWorkday]]-Tasks[[#This Row],[_StartWorkday]]+1),0)</f>
        <v>0</v>
      </c>
      <c r="DY108" s="42" t="n">
        <f aca="false">Tasks[[#This Row],[_Res3WorkPerWD]]*MAX(0,Tasks[[#This Row],[_StartWorkday]]-1)</f>
        <v>0</v>
      </c>
      <c r="DZ108" s="42" t="n">
        <f aca="false">Tasks[[#This Row],[_Res3Work]]*Tasks[[#This Row],[_LeafProgress]]</f>
        <v>0</v>
      </c>
      <c r="EA108" s="42" t="str">
        <f aca="false">IF(Tasks[[#This Row],[_Res4Text]]="","",IF(Tasks[[#This Row],[_Res4Row]]&gt;0,INDEX(res_Name,Tasks[[#This Row],[_Res4Row]]),TRIM(LEFT(Tasks[[#This Row],[_Res4Text]],FIND("[",Tasks[[#This Row],[_Res4Text]]&amp;"[")-1))))</f>
        <v/>
      </c>
      <c r="EB10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8" s="42" t="n">
        <f aca="false">IF(OR(NOT(Tasks[[#This Row],[_IsLeaf]]=1),Tasks[[#This Row],[_Res4Row]]=0),0,N(Tasks[[#This Row],[_Days]])*HoursPerDay*IF(Tasks[[#This Row],[_Res4Units]]="",DefaultUnits,Tasks[[#This Row],[_Res4Units]]))</f>
        <v>0</v>
      </c>
      <c r="ED108" s="42" t="n">
        <f aca="false">IF(AND(AND(Tasks[[#This Row],[_IsLeaf]]=1,Tasks[[#This Row],[_LeafTotalWork]]&gt;0),Tasks[[#This Row],[_Res4Work]]&gt;0),Tasks[[#This Row],[_Res4Work]]/(Tasks[[#This Row],[_FinishWorkday]]-Tasks[[#This Row],[_StartWorkday]]+1),0)</f>
        <v>0</v>
      </c>
      <c r="EE108" s="42" t="n">
        <f aca="false">Tasks[[#This Row],[_Res4WorkPerWD]]*MAX(0,Tasks[[#This Row],[_StartWorkday]]-1)</f>
        <v>0</v>
      </c>
      <c r="EF108" s="42" t="n">
        <f aca="false">Tasks[[#This Row],[_Res4Work]]*Tasks[[#This Row],[_LeafProgress]]</f>
        <v>0</v>
      </c>
      <c r="EG108" s="42" t="n">
        <f aca="false">IF(ISNUMBER(Tasks[[#This Row],[% Complete]]),Tasks[[#This Row],[% Complete]],IF(Tasks[[#This Row],[Stage]]="",0,IFERROR(INDEX(stg_Pct,MATCH(Tasks[[#This Row],[Stage]],stg_Name,0)),0)))</f>
        <v>0</v>
      </c>
      <c r="EH108" s="42" t="n">
        <f aca="false">IF(NOT(Tasks[[#This Row],[_IsLeaf]]=1),0,IF(N(Tasks[[#This Row],[Actual Finish]])&gt;0,1,MIN(1,Tasks[[#This Row],[_Pct]])))</f>
        <v>0</v>
      </c>
      <c r="EI108" s="42" t="n">
        <f aca="false">IF(OR(NOT(Tasks[[#This Row],[_IsLeaf]]=1),Tasks[[#This Row],[_Res1Row]]=0),0,N(Tasks[[#This Row],[_Days]])*HoursPerDay*IF(Tasks[[#This Row],[_Units1]]="",DefaultUnits,Tasks[[#This Row],[_Units1]]))</f>
        <v>0</v>
      </c>
      <c r="EJ108" s="42" t="n">
        <f aca="false">Tasks[[#This Row],[_LeafWork]]+Tasks[[#This Row],[_Res2Work]]+Tasks[[#This Row],[_Res3Work]]+Tasks[[#This Row],[_Res4Work]]</f>
        <v>0</v>
      </c>
      <c r="EK10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8" s="42" t="n">
        <f aca="false">IF(NOT(Tasks[[#This Row],[_IsLeaf]]=1),0,MAX(_xlfn.MAXIFS(Tasks[_Row],Tasks[_Pred1UID],Tasks[[#This Row],[UID]]),_xlfn.MAXIFS(Tasks[_Row],Tasks[_Pred2UID],Tasks[[#This Row],[UID]]),_xlfn.MAXIFS(Tasks[_Row],Tasks[_Pred3UID],Tasks[[#This Row],[UID]]),_xlfn.MAXIFS(Tasks[_Row],Tasks[_Pred4UID],Tasks[[#This Row],[UID]])))</f>
        <v>0</v>
      </c>
      <c r="ET10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8" s="89" t="str">
        <f aca="false">IF(NOT(Tasks[[#This Row],[_IsLeaf]]=1),"",IF(N(Tasks[[#This Row],[_Days]])&lt;=0,Tasks[[#This Row],[_LeafLateFinish]],WORKDAY.INTL(Tasks[[#This Row],[_LeafLateFinish]],-(Tasks[[#This Row],[_Days]]-1),WorkWeek,Holidays)))</f>
        <v/>
      </c>
      <c r="EW10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8" s="88" t="b">
        <f aca="false">AND(Tasks[[#This Row],[_IsLeaf]]=1,Tasks[[#This Row],[_LeafProgress]]&lt;1,N(Tasks[[#This Row],[_LeafTotalSlack]])&lt;=CriticalSlackDays)</f>
        <v>0</v>
      </c>
      <c r="EY108" s="42" t="n">
        <f aca="false">IF(AND(Tasks[[#This Row],[_IsLeaf]]=1,Tasks[[#This Row],[_ConstraintCode]]=1,Tasks[[#This Row],[Mode]]&lt;&gt;"Manual",N(Tasks[[#This Row],[Actual Start]])=0),MAX(0,N(Tasks[[#This Row],[Free Slack]])),0)</f>
        <v>0</v>
      </c>
      <c r="EZ108" s="89" t="str">
        <f aca="false">IF(NOT(Tasks[[#This Row],[_IsLeaf]]=1),"",IF(Tasks[[#This Row],[_AlapShift]]=0,Tasks[[#This Row],[_LeafCalcStart]],WORKDAY.INTL(Tasks[[#This Row],[_LeafCalcStart]],Tasks[[#This Row],[_AlapShift]],WorkWeek,Holidays)))</f>
        <v/>
      </c>
      <c r="FA108" s="89" t="str">
        <f aca="false">IF(NOT(Tasks[[#This Row],[_IsLeaf]]=1),"",IF(Tasks[[#This Row],[_AlapShift]]=0,Tasks[[#This Row],[_LeafCalcFinish]],WORKDAY.INTL(Tasks[[#This Row],[_LeafCalcFinish]],Tasks[[#This Row],[_AlapShift]],WorkWeek,Holidays)))</f>
        <v/>
      </c>
      <c r="FB108" s="89" t="str">
        <f aca="false">IF(NOT(Tasks[[#This Row],[_IsLeaf]]=1),"",IF(Tasks[[#This Row],[_AlapShift]]=0,Tasks[[#This Row],[_LeafFcstStart]],WORKDAY.INTL(Tasks[[#This Row],[_LeafFcstStart]],Tasks[[#This Row],[_AlapShift]],WorkWeek,Holidays)))</f>
        <v/>
      </c>
      <c r="FC108" s="89" t="str">
        <f aca="false">IF(NOT(Tasks[[#This Row],[_IsLeaf]]=1),"",IF(Tasks[[#This Row],[_AlapShift]]=0,Tasks[[#This Row],[_LeafFcstFinish]],WORKDAY.INTL(Tasks[[#This Row],[_LeafFcstFinish]],Tasks[[#This Row],[_AlapShift]],WorkWeek,Holidays)))</f>
        <v/>
      </c>
      <c r="FD108" s="89" t="str">
        <f aca="false">IF(Tasks[[#This Row],[Task Name]]="","",IF(Tasks[[#This Row],[_IsSummary]],MIN(INDEX(Tasks[_ShownCalcStart],Tasks[[#This Row],[_Row]]+1):INDEX(Tasks[_ShownCalcStart],Tasks[[#This Row],[_Row]]+Tasks[[#This Row],[_Descendants]])),Tasks[[#This Row],[_ShownCalcStart]]))</f>
        <v/>
      </c>
      <c r="FE108" s="89" t="str">
        <f aca="false">IF(Tasks[[#This Row],[Task Name]]="","",IF(Tasks[[#This Row],[_IsSummary]],MAX(INDEX(Tasks[_ShownCalcFinish],Tasks[[#This Row],[_Row]]+1):INDEX(Tasks[_ShownCalcFinish],Tasks[[#This Row],[_Row]]+Tasks[[#This Row],[_Descendants]])),Tasks[[#This Row],[_ShownCalcFinish]]))</f>
        <v/>
      </c>
      <c r="FF10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8" s="42" t="n">
        <f aca="false">IF(AND(Tasks[[#This Row],[_IsLeaf]]=1,Tasks[[#This Row],[_LeafTotalWork]]&gt;0),NETWORKDAYS.INTL(ProjectStart,Tasks[[#This Row],[_ShownFcstStart]],WorkWeek,Holidays),0)</f>
        <v>0</v>
      </c>
      <c r="FS108" s="42" t="n">
        <f aca="false">IF(AND(Tasks[[#This Row],[_IsLeaf]]=1,Tasks[[#This Row],[_LeafTotalWork]]&gt;0),MAX(Tasks[[#This Row],[_StartWorkday]],NETWORKDAYS.INTL(ProjectStart,Tasks[[#This Row],[_ShownFcstFinish]],WorkWeek,Holidays)),0)</f>
        <v>0</v>
      </c>
      <c r="FT108" s="42" t="n">
        <f aca="false">IF(AND(Tasks[[#This Row],[_IsLeaf]]=1,Tasks[[#This Row],[_LeafTotalWork]]&gt;0),Tasks[[#This Row],[_LeafWork]]/(Tasks[[#This Row],[_FinishWorkday]]-Tasks[[#This Row],[_StartWorkday]]+1),0)</f>
        <v>0</v>
      </c>
      <c r="FU108" s="42" t="n">
        <f aca="false">Tasks[[#This Row],[_WorkPerWorkday]]*(Tasks[[#This Row],[_StartWorkday]]-1)</f>
        <v>-0</v>
      </c>
      <c r="FV108" s="42" t="n">
        <f aca="false">IF(Tasks[[#This Row],[_IsLeaf]]=1,MAX(N(Tasks[[#This Row],[_Days]]),0.1),0)</f>
        <v>0</v>
      </c>
      <c r="FW108" s="42" t="n">
        <f aca="false">Tasks[[#This Row],[_WeightDur]]*Tasks[[#This Row],[_LeafProgress]]</f>
        <v>0</v>
      </c>
      <c r="FX108" s="42" t="n">
        <f aca="false">Tasks[[#This Row],[_WeightDur]]*Tasks[[#This Row],[_PlannedPct]]</f>
        <v>0</v>
      </c>
      <c r="FY10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8" s="42" t="str">
        <f aca="false">IF(AND(Tasks[[#This Row],[_IsLeaf]]=1,N(Tasks[[#This Row],[_Days]])=0,Tasks[[#This Row],[_LeafProgress]]&lt;1),Tasks[[#This Row],[_ShownFcstFinish]]+Tasks[[#This Row],[_Row]]/100000,"")</f>
        <v/>
      </c>
      <c r="GA10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8" s="42" t="str">
        <f aca="false">IF(Tasks[[#This Row],[Task Name]]="","",LEFT(Tasks[[#This Row],[WBS]],FIND(".",Tasks[[#This Row],[WBS]]&amp;".")-1))</f>
        <v/>
      </c>
      <c r="GC108" s="42" t="str">
        <f aca="false">IF(AND(Tasks[[#This Row],[Task Name]]&lt;&gt;"",Tasks[[#This Row],[_Level]]=1),Tasks[[#This Row],[_Row]],"")</f>
        <v/>
      </c>
      <c r="GD108" s="42" t="str">
        <f aca="false">IF(AND(Tasks[[#This Row],[_IsLeaf]]=1,N(Tasks[[#This Row],[_Days]])=0),Tasks[[#This Row],[Planned Finish]]+Tasks[[#This Row],[_Row]]/100000,"")</f>
        <v/>
      </c>
      <c r="GE108" s="42" t="str">
        <f aca="false">IF(AND(Tasks[[#This Row],[_IsLeaf]]=1,Tasks[[#This Row],[_LeafProgress]]&lt;1,OR(N(Tasks[[#This Row],[Finish Var]])&gt;0,Tasks[[#This Row],[Status]]="Late Start")),MAX(0,Tasks[[#This Row],[Finish Var]])+1-Tasks[[#This Row],[_Row]]/1000000,"")</f>
        <v/>
      </c>
      <c r="GF108" s="42" t="str">
        <f aca="false">IF(AND(Tasks[[#This Row],[_IsLeaf]]=1,N(Tasks[[#This Row],[Actual Start]])=0,Tasks[[#This Row],[_ShownFcstStart]]&gt;=StatusDate,Tasks[[#This Row],[_ShownFcstStart]]&lt;=LookaheadEnd),Tasks[[#This Row],[_ShownFcstStart]]+Tasks[[#This Row],[_Row]]/100000,"")</f>
        <v/>
      </c>
      <c r="GG108" s="42" t="str">
        <f aca="false">IF(AND(Tasks[[#This Row],[_IsLeaf]]=1,Tasks[[#This Row],[_LeafProgress]]&lt;1,Tasks[[#This Row],[_ShownFcstFinish]]&gt;=StatusDate,Tasks[[#This Row],[_ShownFcstFinish]]&lt;=LookaheadEnd),Tasks[[#This Row],[_ShownFcstFinish]]+Tasks[[#This Row],[_Row]]/100000,"")</f>
        <v/>
      </c>
      <c r="GH108" s="42" t="str">
        <f aca="false">IF(Tasks[[#This Row],[_LeafCritical]],Tasks[[#This Row],[_ShownFcstStart]]+Tasks[[#This Row],[_Row]]/100000,"")</f>
        <v/>
      </c>
      <c r="GI108" s="42" t="n">
        <f aca="false">Tasks[[#This Row],[_LeafWork]]*Tasks[[#This Row],[_LeafProgress]]</f>
        <v>0</v>
      </c>
      <c r="GJ108" s="89" t="str">
        <f aca="false">IF(AND(Tasks[[#This Row],[_IsLeaf]]=1,Tasks[[#This Row],[_LeafProgress]]&gt;=1),IF(N(Tasks[[#This Row],[Actual Finish]])&gt;0,Tasks[[#This Row],[Actual Finish]],Tasks[[#This Row],[_ShownFcstFinish]]),"")</f>
        <v/>
      </c>
      <c r="GK108" s="42" t="n">
        <f aca="false">IF(Tasks[[#This Row],[_IsLeaf]]=1,N(Tasks[[#This Row],[Story Points]]),0)</f>
        <v>0</v>
      </c>
      <c r="GL108" s="42" t="str">
        <f aca="false">""</f>
        <v/>
      </c>
      <c r="GM108" s="88" t="b">
        <f aca="false">IF(Tasks[[#This Row],[Task Name]]="",FALSE(),AND(Tasks[[#This Row],[_IsLeaf]]=1,N(Tasks[[#This Row],[_Days]])=0))</f>
        <v>0</v>
      </c>
      <c r="GN108" s="89" t="n">
        <f aca="false">IF(Tasks[[#This Row],[Task Name]]="",0,IF(AND(Tasks[[#This Row],[_IsLeaf]]=1,NOT(Tasks[[#This Row],[_IsMilestone]]),N(Tasks[[#This Row],[Progress]])&gt;0),Tasks[[#This Row],[Start]],0))</f>
        <v>0</v>
      </c>
      <c r="GO108" s="89" t="n">
        <f aca="false">IF(Tasks[[#This Row],[_DoneFrom]]=0,0,IF(Tasks[[#This Row],[Progress]]&gt;=1,Tasks[[#This Row],[Finish]],MAX(Tasks[[#This Row],[_DoneFrom]],Tasks[[#This Row],[Start]]+ROUND((Tasks[[#This Row],[Finish]]-Tasks[[#This Row],[Start]]+1)*Tasks[[#This Row],[Progress]],0)-1)))</f>
        <v>0</v>
      </c>
      <c r="GP108" s="89" t="n">
        <f aca="false">IF(Tasks[[#This Row],[Task Name]]="",0,IF(OR(NOT(Tasks[[#This Row],[_IsLeaf]]=1),Tasks[[#This Row],[_IsMilestone]],N(Tasks[[#This Row],[Progress]])&gt;=1),0,IF(Tasks[[#This Row],[_DoneTo]]&gt;0,Tasks[[#This Row],[_DoneTo]]+1,Tasks[[#This Row],[Start]])))</f>
        <v>0</v>
      </c>
      <c r="GQ108" s="89" t="n">
        <f aca="false">IF(Tasks[[#This Row],[_RemFrom]]=0,0,Tasks[[#This Row],[Finish]])</f>
        <v>0</v>
      </c>
      <c r="GR108" s="88" t="b">
        <f aca="false">IF(Tasks[[#This Row],[Task Name]]="",FALSE(),OR(NOT(BaselineSet),N(Tasks[[#This Row],[Baseline Start]])&gt;0))</f>
        <v>0</v>
      </c>
      <c r="GS10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8" s="90" t="str">
        <f aca="false">IF(Tasks[[#This Row],[_IsLeaf]]=1,Tasks[[#This Row],[_Row]],"")</f>
        <v/>
      </c>
      <c r="GW108" s="90" t="str">
        <f aca="false">IFERROR(INDEX(Tasks[UID],SMALL(Tasks[_PickKey],Tasks[[#This Row],[_Row]]))&amp;" "&amp;INDEX(Tasks[Task Name],SMALL(Tasks[_PickKey],Tasks[[#This Row],[_Row]])),"")</f>
        <v/>
      </c>
      <c r="GX108" s="42" t="str">
        <f aca="false">IF(Tasks[[#This Row],[Task Name]]="","",IF(Tasks[[#This Row],[_IsSummary]],NETWORKDAYS.INTL(Tasks[[#This Row],[Start]],Tasks[[#This Row],[Finish]],WorkWeek,Holidays),N(Tasks[[#This Row],[_Days]])))</f>
        <v/>
      </c>
    </row>
    <row r="109" customFormat="false" ht="15" hidden="false" customHeight="false" outlineLevel="0" collapsed="false">
      <c r="A109" s="21" t="str">
        <f aca="false">IF(Tasks[[#This Row],[Task Name]]="","",COUNTA(Tasks[[#Headers],[Task Name]]:Tasks[[#This Row],[Task Name]])-1)</f>
        <v/>
      </c>
      <c r="B109" s="22" t="n">
        <v>117</v>
      </c>
      <c r="C109" s="22"/>
      <c r="D109" s="23"/>
      <c r="E109" s="22"/>
      <c r="F109" s="23"/>
      <c r="G109" s="22"/>
      <c r="H109" s="22"/>
      <c r="I109" s="23"/>
      <c r="J109" s="22"/>
      <c r="K109" s="22"/>
      <c r="L109" s="23"/>
      <c r="M109" s="22"/>
      <c r="N109" s="22"/>
      <c r="O109" s="23"/>
      <c r="P109" s="22"/>
      <c r="Q109" s="22"/>
      <c r="R109" s="23"/>
      <c r="S109" s="23"/>
      <c r="T109" s="83"/>
      <c r="U109" s="23"/>
      <c r="V109" s="83"/>
      <c r="W109" s="23"/>
      <c r="X109" s="83"/>
      <c r="Y109" s="23"/>
      <c r="Z109" s="83"/>
      <c r="AA109" s="23"/>
      <c r="AB109" s="23"/>
      <c r="AC109" s="7"/>
      <c r="AD109" s="7"/>
      <c r="AE109" s="62" t="str">
        <f aca="false">IF(Tasks[[#This Row],[Task Name]]="","",IF(Tasks[[#This Row],[_IsSummary]],MIN(INDEX(Tasks[_ShownFcstStart],Tasks[[#This Row],[_Row]]+1):INDEX(Tasks[_ShownFcstStart],Tasks[[#This Row],[_Row]]+Tasks[[#This Row],[_Descendants]])),Tasks[[#This Row],[_ShownFcstStart]]))</f>
        <v/>
      </c>
      <c r="AF109" s="62" t="str">
        <f aca="false">IF(Tasks[[#This Row],[Task Name]]="","",IF(Tasks[[#This Row],[_IsSummary]],MAX(INDEX(Tasks[_ShownFcstFinish],Tasks[[#This Row],[_Row]]+1):INDEX(Tasks[_ShownFcstFinish],Tasks[[#This Row],[_Row]]+Tasks[[#This Row],[_Descendants]])),Tasks[[#This Row],[_ShownFcstFinish]]))</f>
        <v/>
      </c>
      <c r="AG109" s="21" t="str">
        <f aca="false">""</f>
        <v/>
      </c>
      <c r="AH109" s="23"/>
      <c r="AI10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09" s="7"/>
      <c r="AK109" s="22"/>
      <c r="AL109" s="23"/>
      <c r="AM109" s="7"/>
      <c r="AN109" s="46" t="str">
        <f aca="false">IF(Tasks[[#This Row],[Task Name]]="","",IF(Tasks[[#This Row],[Finish]]&gt;=Tasks[[#This Row],[Planned Finish]],NETWORKDAYS.INTL(Tasks[[#This Row],[Planned Finish]],Tasks[[#This Row],[Finish]],WorkWeek,Holidays)-1,1-NETWORKDAYS.INTL(Tasks[[#This Row],[Finish]],Tasks[[#This Row],[Planned Finish]],WorkWeek,Holidays)))</f>
        <v/>
      </c>
      <c r="AO109" s="21" t="str">
        <f aca="false">IF(Tasks[[#This Row],[Task Name]]="","",IF(Tasks[[#This Row],[Progress]]&gt;=1,"Complete",IF(OR(N(Tasks[[#This Row],[Actual Start]])&gt;0,Tasks[[#This Row],[Progress]]&gt;0),IF(Tasks[[#This Row],[Finish Var]]&gt;0,"Behind","In Progress"),IF(Tasks[[#This Row],[Planned Start]]&lt;StatusDate,"Late Start","Not Started"))))</f>
        <v/>
      </c>
      <c r="AP109" s="21" t="str">
        <f aca="false">IF(Tasks[[#This Row],[Task Name]]="","",IF(IF(Tasks[[#This Row],[_IsSummary]],COUNTIF(INDEX(Tasks[_LeafCritical],Tasks[[#This Row],[_Row]]+1):INDEX(Tasks[_LeafCritical],Tasks[[#This Row],[_Row]]+Tasks[[#This Row],[_Descendants]]),TRUE())&gt;0,Tasks[[#This Row],[_LeafCritical]]),"Yes",""))</f>
        <v/>
      </c>
      <c r="AQ109" s="62" t="str">
        <f aca="false">IF(Tasks[[#This Row],[Task Name]]="","",IF(N(Tasks[[#This Row],[Baseline Start]])&gt;0,Tasks[[#This Row],[Baseline Start]],Tasks[[#This Row],[_CalcStart]]))</f>
        <v/>
      </c>
      <c r="AR109" s="62" t="str">
        <f aca="false">IF(Tasks[[#This Row],[Task Name]]="","",IF(N(Tasks[[#This Row],[Baseline Finish]])&gt;0,Tasks[[#This Row],[Baseline Finish]],Tasks[[#This Row],[_CalcFinish]]))</f>
        <v/>
      </c>
      <c r="AS109" s="46" t="str">
        <f aca="false">IF(Tasks[[#This Row],[Task Name]]="","",IF(Tasks[[#This Row],[Start]]&gt;=Tasks[[#This Row],[Planned Start]],NETWORKDAYS.INTL(Tasks[[#This Row],[Planned Start]],Tasks[[#This Row],[Start]],WorkWeek,Holidays)-1,1-NETWORKDAYS.INTL(Tasks[[#This Row],[Start]],Tasks[[#This Row],[Planned Start]],WorkWeek,Holidays)))</f>
        <v/>
      </c>
      <c r="AT109" s="62" t="str">
        <f aca="false">IF(Tasks[[#This Row],[Task Name]]="","",IF(Tasks[[#This Row],[_IsSummary]],MIN(INDEX(Tasks[_LeafLateStart],Tasks[[#This Row],[_Row]]+1):INDEX(Tasks[_LeafLateStart],Tasks[[#This Row],[_Row]]+Tasks[[#This Row],[_Descendants]])),Tasks[[#This Row],[_LeafLateStart]]))</f>
        <v/>
      </c>
      <c r="AU109" s="62" t="str">
        <f aca="false">IF(Tasks[[#This Row],[Task Name]]="","",IF(Tasks[[#This Row],[_IsSummary]],MAX(INDEX(Tasks[_LeafLateFinish],Tasks[[#This Row],[_Row]]+1):INDEX(Tasks[_LeafLateFinish],Tasks[[#This Row],[_Row]]+Tasks[[#This Row],[_Descendants]])),Tasks[[#This Row],[_LeafLateFinish]]))</f>
        <v/>
      </c>
      <c r="AV109" s="46" t="str">
        <f aca="false">IF(Tasks[[#This Row],[Task Name]]="","",IF(Tasks[[#This Row],[_IsSummary]],MIN(INDEX(Tasks[_LeafTotalSlack],Tasks[[#This Row],[_Row]]+1):INDEX(Tasks[_LeafTotalSlack],Tasks[[#This Row],[_Row]]+Tasks[[#This Row],[_Descendants]])),Tasks[[#This Row],[_LeafTotalSlack]]))</f>
        <v/>
      </c>
      <c r="AW10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4"/>
      <c r="BA10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t="str">
        <f aca="false">IF(Tasks[[#This Row],[Task Name]]="","",IF(Tasks[[#This Row],[_Level]]&lt;=OutlineShowLevel,"Yes","No"))</f>
        <v/>
      </c>
      <c r="BE109" s="85" t="str">
        <f aca="false">IF(Tasks[[#This Row],[Task Name]]="","",IF(Tasks[[#This Row],[_IsSummary]],SUM(INDEX(Tasks[_LeafTotalWork],Tasks[[#This Row],[_Row]]+1):INDEX(Tasks[_LeafTotalWork],Tasks[[#This Row],[_Row]]+Tasks[[#This Row],[_Descendants]])),Tasks[[#This Row],[_LeafTotalWork]]))</f>
        <v/>
      </c>
      <c r="BF109" s="23"/>
      <c r="BG10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t="str">
        <f aca="false">""</f>
        <v/>
      </c>
      <c r="BI109" s="86"/>
      <c r="BJ109" s="22"/>
      <c r="BK109" s="46" t="str">
        <f aca="false">IF(OR(Tasks[[#This Row],[Task Name]]="",Tasks[[#This Row],[Baseline Duration]]=""),"",Tasks[[#This Row],[_SpanDays]]-N(Tasks[[#This Row],[Baseline Duration]]))</f>
        <v/>
      </c>
      <c r="BL109" s="85" t="str">
        <f aca="false">IF(OR(Tasks[[#This Row],[Task Name]]="",Tasks[[#This Row],[Baseline Work]]=""),"",Tasks[[#This Row],[Work]]-N(Tasks[[#This Row],[Baseline Work]]))</f>
        <v/>
      </c>
      <c r="BM109" s="62" t="str">
        <f aca="false">IF(Tasks[[#This Row],[Task Name]]="","",IF(OR(TakeBaseline="Yes",N(Tasks[[#This Row],[Baseline Start]])=0),Tasks[[#This Row],[Start]],Tasks[[#This Row],[Baseline Start]]))</f>
        <v/>
      </c>
      <c r="BN109" s="62" t="str">
        <f aca="false">IF(Tasks[[#This Row],[Task Name]]="","",IF(OR(TakeBaseline="Yes",N(Tasks[[#This Row],[Baseline Finish]])=0),Tasks[[#This Row],[Finish]],Tasks[[#This Row],[Baseline Finish]]))</f>
        <v/>
      </c>
      <c r="BO109" s="21" t="str">
        <f aca="false">IF(Tasks[[#This Row],[Task Name]]="","",IF(OR(TakeBaseline="Yes",N(Tasks[[#This Row],[Baseline Duration]])=0),Tasks[[#This Row],[_SpanDays]],Tasks[[#This Row],[Baseline Duration]]))</f>
        <v/>
      </c>
      <c r="BP109" s="85" t="str">
        <f aca="false">IF(Tasks[[#This Row],[Task Name]]="","",IF(OR(TakeBaseline="Yes",N(Tasks[[#This Row],[Baseline Work]])=0),Tasks[[#This Row],[Work]],Tasks[[#This Row],[Baseline Work]]))</f>
        <v/>
      </c>
      <c r="BQ109" s="7"/>
      <c r="BR109" s="7"/>
      <c r="BS109" s="22"/>
      <c r="BT109" s="87"/>
      <c r="BU109" s="42" t="str">
        <f aca="false">IF(Tasks[[#This Row],[Task Name]]="","",MAX(1,N(Tasks[[#This Row],[Level]])))</f>
        <v/>
      </c>
      <c r="BV109" s="42" t="n">
        <f aca="false">ROW()-ROW(Tasks[[#Headers],[ID]])</f>
        <v>104</v>
      </c>
      <c r="BW109" s="42" t="n">
        <f aca="false">IF(OR(Tasks[[#This Row],[Task Name]]="",Tasks[[#This Row],[_Level]]&lt;=1),0,IFERROR(LOOKUP(2,1/(Tasks[[#Headers],[_Level]]:Tasks[[#This Row],[_Level]]=Tasks[[#This Row],[_Level]]-1),ROW(Tasks[[#Headers],[_Level]]:Tasks[[#This Row],[_Level]])),0))</f>
        <v>0</v>
      </c>
      <c r="BX109" s="42" t="n">
        <f aca="false">IFERROR(N(INDEX(Tasks[_Level],Tasks[[#This Row],[_Row]]+1)),0)</f>
        <v>0</v>
      </c>
      <c r="BY109" s="88" t="b">
        <f aca="false">AND(Tasks[[#This Row],[Task Name]]&lt;&gt;"",Tasks[[#This Row],[_NextLevel]]&gt;Tasks[[#This Row],[_Level]])</f>
        <v>0</v>
      </c>
      <c r="BZ109" s="42" t="n">
        <f aca="false">IF(Tasks[[#This Row],[_IsSummary]],COUNTIF(Tasks[WBS],Tasks[[#This Row],[WBS]]&amp;".*"),0)</f>
        <v>0</v>
      </c>
      <c r="CA109" s="42" t="n">
        <f aca="false">IF(AND(Tasks[[#This Row],[Task Name]]&lt;&gt;"",NOT(Tasks[[#This Row],[_IsSummary]])),1,0)</f>
        <v>0</v>
      </c>
      <c r="CB109" s="42" t="n">
        <f aca="false">IF(N(Tasks[[#This Row],[_Pred1UID]])=0,0,IFERROR(MATCH(Tasks[[#This Row],[_Pred1UID]],Tasks[UID],0),-1))</f>
        <v>0</v>
      </c>
      <c r="CC109" s="42" t="n">
        <f aca="false">IF(N(Tasks[[#This Row],[_Pred2UID]])=0,0,IFERROR(MATCH(Tasks[[#This Row],[_Pred2UID]],Tasks[UID],0),-1))</f>
        <v>0</v>
      </c>
      <c r="CD109" s="42" t="n">
        <f aca="false">IF(N(Tasks[[#This Row],[_Pred3UID]])=0,0,IFERROR(MATCH(Tasks[[#This Row],[_Pred3UID]],Tasks[UID],0),-1))</f>
        <v>0</v>
      </c>
      <c r="CE109" s="42" t="n">
        <f aca="false">IF(N(Tasks[[#This Row],[_Pred4UID]])=0,0,IFERROR(MATCH(Tasks[[#This Row],[_Pred4UID]],Tasks[UID],0),-1))</f>
        <v>0</v>
      </c>
      <c r="CF10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0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09" s="89" t="n">
        <f aca="false">IF(OR(Tasks[[#This Row],[_ConstraintCode]]=2,Tasks[[#This Row],[_ConstraintCode]]=3,Tasks[[#This Row],[_ConstraintCode]]=4,Tasks[[#This Row],[_ConstraintCode]]=6),Tasks[[#This Row],[_ConstraintStart]],0)</f>
        <v>0</v>
      </c>
      <c r="CI109" s="89" t="n">
        <f aca="false">IF(OR(Tasks[[#This Row],[_ConstraintCode]]=2,Tasks[[#This Row],[_ConstraintCode]]=3,Tasks[[#This Row],[_ConstraintCode]]=5,Tasks[[#This Row],[_ConstraintCode]]=7),Tasks[[#This Row],[_ConstraintStart]],2958465)</f>
        <v>2958465</v>
      </c>
      <c r="CJ10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09" s="89" t="str">
        <f aca="false">IF(NOT(Tasks[[#This Row],[_IsLeaf]]=1),"",IF(N(Tasks[[#This Row],[_Days]])&lt;=0,Tasks[[#This Row],[_LeafCalcStart]],WORKDAY.INTL(Tasks[[#This Row],[_LeafCalcStart]],Tasks[[#This Row],[_Days]]-1,WorkWeek,Holidays)))</f>
        <v/>
      </c>
      <c r="CL10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0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09" s="42" t="str">
        <f aca="false">IF(Tasks[[#This Row],[_Predecessors]]="","",TRIM(MID(SUBSTITUTE(SUBSTITUTE(SUBSTITUTE(UPPER(Tasks[[#This Row],[_Predecessors]]),";",",")," ",""),",",REPT(" ",99)),1,99)))</f>
        <v/>
      </c>
      <c r="CO109" s="42" t="str">
        <f aca="false">IF(Tasks[[#This Row],[_Pred1Text]]="","",IFERROR(VALUE(LEFT(Tasks[[#This Row],[_Pred1Text]],MIN(FIND("F",Tasks[[#This Row],[_Pred1Text]]&amp;"F"),FIND("S",Tasks[[#This Row],[_Pred1Text]]&amp;"S"),FIND("+",Tasks[[#This Row],[_Pred1Text]]&amp;"+"),FIND("-",Tasks[[#This Row],[_Pred1Text]]&amp;"-"))-1)),""))</f>
        <v/>
      </c>
      <c r="CP10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0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09" s="42" t="str">
        <f aca="false">IF(Tasks[[#This Row],[_Pred1Text]]="","",TRIM(MID(SUBSTITUTE(SUBSTITUTE(SUBSTITUTE(UPPER(Tasks[[#This Row],[_Predecessors]]),";",",")," ",""),",",REPT(" ",99)),100,99)))</f>
        <v/>
      </c>
      <c r="CS109" s="42" t="str">
        <f aca="false">IF(Tasks[[#This Row],[_Pred2Text]]="","",IFERROR(VALUE(LEFT(Tasks[[#This Row],[_Pred2Text]],MIN(FIND("F",Tasks[[#This Row],[_Pred2Text]]&amp;"F"),FIND("S",Tasks[[#This Row],[_Pred2Text]]&amp;"S"),FIND("+",Tasks[[#This Row],[_Pred2Text]]&amp;"+"),FIND("-",Tasks[[#This Row],[_Pred2Text]]&amp;"-"))-1)),""))</f>
        <v/>
      </c>
      <c r="CT10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0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09" s="42" t="str">
        <f aca="false">IF(Tasks[[#This Row],[_Pred2Text]]="","",TRIM(MID(SUBSTITUTE(SUBSTITUTE(SUBSTITUTE(UPPER(Tasks[[#This Row],[_Predecessors]]),";",",")," ",""),",",REPT(" ",99)),199,99)))</f>
        <v/>
      </c>
      <c r="CW109" s="42" t="str">
        <f aca="false">IF(Tasks[[#This Row],[_Pred3Text]]="","",IFERROR(VALUE(LEFT(Tasks[[#This Row],[_Pred3Text]],MIN(FIND("F",Tasks[[#This Row],[_Pred3Text]]&amp;"F"),FIND("S",Tasks[[#This Row],[_Pred3Text]]&amp;"S"),FIND("+",Tasks[[#This Row],[_Pred3Text]]&amp;"+"),FIND("-",Tasks[[#This Row],[_Pred3Text]]&amp;"-"))-1)),""))</f>
        <v/>
      </c>
      <c r="CX10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0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09" s="42" t="str">
        <f aca="false">IF(Tasks[[#This Row],[_Pred3Text]]="","",TRIM(MID(SUBSTITUTE(SUBSTITUTE(SUBSTITUTE(UPPER(Tasks[[#This Row],[_Predecessors]]),";",",")," ",""),",",REPT(" ",99)),298,99)))</f>
        <v/>
      </c>
      <c r="DA109" s="42" t="str">
        <f aca="false">IF(Tasks[[#This Row],[_Pred4Text]]="","",IFERROR(VALUE(LEFT(Tasks[[#This Row],[_Pred4Text]],MIN(FIND("F",Tasks[[#This Row],[_Pred4Text]]&amp;"F"),FIND("S",Tasks[[#This Row],[_Pred4Text]]&amp;"S"),FIND("+",Tasks[[#This Row],[_Pred4Text]]&amp;"+"),FIND("-",Tasks[[#This Row],[_Pred4Text]]&amp;"-"))-1)),""))</f>
        <v/>
      </c>
      <c r="DB10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0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09" s="42" t="str">
        <f aca="false">IF(OR(Tasks[[#This Row],[Task Name]]="",Tasks[[#This Row],[_Resources]]=""),"",TRIM(MID(SUBSTITUTE(Tasks[[#This Row],[_Resources]],",",REPT(" ",99)),1,99)))</f>
        <v/>
      </c>
      <c r="DE109" s="42" t="str">
        <f aca="false">IF(Tasks[[#This Row],[_Res1Text]]="","",TRIM(MID(SUBSTITUTE(Tasks[[#This Row],[_Resources]],",",REPT(" ",99)),100,99)))</f>
        <v/>
      </c>
      <c r="DF109" s="42" t="str">
        <f aca="false">IF(Tasks[[#This Row],[_Res2Text]]="","",TRIM(MID(SUBSTITUTE(Tasks[[#This Row],[_Resources]],",",REPT(" ",99)),199,99)))</f>
        <v/>
      </c>
      <c r="DG109" s="42" t="str">
        <f aca="false">IF(Tasks[[#This Row],[_Res3Text]]="","",TRIM(MID(SUBSTITUTE(Tasks[[#This Row],[_Resources]],",",REPT(" ",99)),298,99)))</f>
        <v/>
      </c>
      <c r="DH109" s="42" t="n">
        <f aca="false">IF(Tasks[[#This Row],[_Res1Text]]="",0,IFERROR(MATCH(TRIM(LEFT(Tasks[[#This Row],[_Res1Text]],FIND("[",Tasks[[#This Row],[_Res1Text]]&amp;"[")-1)),res_Name,0),IFERROR(MATCH(TRIM(LEFT(Tasks[[#This Row],[_Res1Text]],FIND("[",Tasks[[#This Row],[_Res1Text]]&amp;"[")-1)),res_Initials,0),0)))</f>
        <v>0</v>
      </c>
      <c r="DI109" s="42" t="n">
        <f aca="false">IF(Tasks[[#This Row],[_Res2Text]]="",0,IFERROR(MATCH(TRIM(LEFT(Tasks[[#This Row],[_Res2Text]],FIND("[",Tasks[[#This Row],[_Res2Text]]&amp;"[")-1)),res_Name,0),IFERROR(MATCH(TRIM(LEFT(Tasks[[#This Row],[_Res2Text]],FIND("[",Tasks[[#This Row],[_Res2Text]]&amp;"[")-1)),res_Initials,0),0)))</f>
        <v>0</v>
      </c>
      <c r="DJ109" s="42" t="n">
        <f aca="false">IF(Tasks[[#This Row],[_Res3Text]]="",0,IFERROR(MATCH(TRIM(LEFT(Tasks[[#This Row],[_Res3Text]],FIND("[",Tasks[[#This Row],[_Res3Text]]&amp;"[")-1)),res_Name,0),IFERROR(MATCH(TRIM(LEFT(Tasks[[#This Row],[_Res3Text]],FIND("[",Tasks[[#This Row],[_Res3Text]]&amp;"[")-1)),res_Initials,0),0)))</f>
        <v>0</v>
      </c>
      <c r="DK109" s="42" t="n">
        <f aca="false">IF(Tasks[[#This Row],[_Res4Text]]="",0,IFERROR(MATCH(TRIM(LEFT(Tasks[[#This Row],[_Res4Text]],FIND("[",Tasks[[#This Row],[_Res4Text]]&amp;"[")-1)),res_Name,0),IFERROR(MATCH(TRIM(LEFT(Tasks[[#This Row],[_Res4Text]],FIND("[",Tasks[[#This Row],[_Res4Text]]&amp;"[")-1)),res_Initials,0),0)))</f>
        <v>0</v>
      </c>
      <c r="DL109" s="42" t="str">
        <f aca="false">IF(Tasks[[#This Row],[_Res1Text]]="","",IF(Tasks[[#This Row],[_Res1Row]]&gt;0,INDEX(res_Name,Tasks[[#This Row],[_Res1Row]]),TRIM(LEFT(Tasks[[#This Row],[_Res1Text]],FIND("[",Tasks[[#This Row],[_Res1Text]]&amp;"[")-1))))</f>
        <v/>
      </c>
      <c r="DM10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09" s="42" t="n">
        <f aca="false">IF(NOT(Tasks[[#This Row],[_IsLeaf]]=1),0,(Tasks[[#This Row],[_Resource1]]&lt;&gt;"")+(Tasks[[#This Row],[_Res2]]&lt;&gt;"")+(Tasks[[#This Row],[_Res3]]&lt;&gt;"")+(Tasks[[#This Row],[_Res4]]&lt;&gt;""))</f>
        <v>0</v>
      </c>
      <c r="DO109" s="42" t="str">
        <f aca="false">IF(Tasks[[#This Row],[_Res2Text]]="","",IF(Tasks[[#This Row],[_Res2Row]]&gt;0,INDEX(res_Name,Tasks[[#This Row],[_Res2Row]]),TRIM(LEFT(Tasks[[#This Row],[_Res2Text]],FIND("[",Tasks[[#This Row],[_Res2Text]]&amp;"[")-1))))</f>
        <v/>
      </c>
      <c r="DP10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09" s="42" t="n">
        <f aca="false">IF(OR(NOT(Tasks[[#This Row],[_IsLeaf]]=1),Tasks[[#This Row],[_Res2Row]]=0),0,N(Tasks[[#This Row],[_Days]])*HoursPerDay*IF(Tasks[[#This Row],[_Res2Units]]="",DefaultUnits,Tasks[[#This Row],[_Res2Units]]))</f>
        <v>0</v>
      </c>
      <c r="DR109" s="42" t="n">
        <f aca="false">IF(AND(AND(Tasks[[#This Row],[_IsLeaf]]=1,Tasks[[#This Row],[_LeafTotalWork]]&gt;0),Tasks[[#This Row],[_Res2Work]]&gt;0),Tasks[[#This Row],[_Res2Work]]/(Tasks[[#This Row],[_FinishWorkday]]-Tasks[[#This Row],[_StartWorkday]]+1),0)</f>
        <v>0</v>
      </c>
      <c r="DS109" s="42" t="n">
        <f aca="false">Tasks[[#This Row],[_Res2WorkPerWD]]*MAX(0,Tasks[[#This Row],[_StartWorkday]]-1)</f>
        <v>0</v>
      </c>
      <c r="DT109" s="42" t="n">
        <f aca="false">Tasks[[#This Row],[_Res2Work]]*Tasks[[#This Row],[_LeafProgress]]</f>
        <v>0</v>
      </c>
      <c r="DU109" s="42" t="str">
        <f aca="false">IF(Tasks[[#This Row],[_Res3Text]]="","",IF(Tasks[[#This Row],[_Res3Row]]&gt;0,INDEX(res_Name,Tasks[[#This Row],[_Res3Row]]),TRIM(LEFT(Tasks[[#This Row],[_Res3Text]],FIND("[",Tasks[[#This Row],[_Res3Text]]&amp;"[")-1))))</f>
        <v/>
      </c>
      <c r="DV10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09" s="42" t="n">
        <f aca="false">IF(OR(NOT(Tasks[[#This Row],[_IsLeaf]]=1),Tasks[[#This Row],[_Res3Row]]=0),0,N(Tasks[[#This Row],[_Days]])*HoursPerDay*IF(Tasks[[#This Row],[_Res3Units]]="",DefaultUnits,Tasks[[#This Row],[_Res3Units]]))</f>
        <v>0</v>
      </c>
      <c r="DX109" s="42" t="n">
        <f aca="false">IF(AND(AND(Tasks[[#This Row],[_IsLeaf]]=1,Tasks[[#This Row],[_LeafTotalWork]]&gt;0),Tasks[[#This Row],[_Res3Work]]&gt;0),Tasks[[#This Row],[_Res3Work]]/(Tasks[[#This Row],[_FinishWorkday]]-Tasks[[#This Row],[_StartWorkday]]+1),0)</f>
        <v>0</v>
      </c>
      <c r="DY109" s="42" t="n">
        <f aca="false">Tasks[[#This Row],[_Res3WorkPerWD]]*MAX(0,Tasks[[#This Row],[_StartWorkday]]-1)</f>
        <v>0</v>
      </c>
      <c r="DZ109" s="42" t="n">
        <f aca="false">Tasks[[#This Row],[_Res3Work]]*Tasks[[#This Row],[_LeafProgress]]</f>
        <v>0</v>
      </c>
      <c r="EA109" s="42" t="str">
        <f aca="false">IF(Tasks[[#This Row],[_Res4Text]]="","",IF(Tasks[[#This Row],[_Res4Row]]&gt;0,INDEX(res_Name,Tasks[[#This Row],[_Res4Row]]),TRIM(LEFT(Tasks[[#This Row],[_Res4Text]],FIND("[",Tasks[[#This Row],[_Res4Text]]&amp;"[")-1))))</f>
        <v/>
      </c>
      <c r="EB10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09" s="42" t="n">
        <f aca="false">IF(OR(NOT(Tasks[[#This Row],[_IsLeaf]]=1),Tasks[[#This Row],[_Res4Row]]=0),0,N(Tasks[[#This Row],[_Days]])*HoursPerDay*IF(Tasks[[#This Row],[_Res4Units]]="",DefaultUnits,Tasks[[#This Row],[_Res4Units]]))</f>
        <v>0</v>
      </c>
      <c r="ED109" s="42" t="n">
        <f aca="false">IF(AND(AND(Tasks[[#This Row],[_IsLeaf]]=1,Tasks[[#This Row],[_LeafTotalWork]]&gt;0),Tasks[[#This Row],[_Res4Work]]&gt;0),Tasks[[#This Row],[_Res4Work]]/(Tasks[[#This Row],[_FinishWorkday]]-Tasks[[#This Row],[_StartWorkday]]+1),0)</f>
        <v>0</v>
      </c>
      <c r="EE109" s="42" t="n">
        <f aca="false">Tasks[[#This Row],[_Res4WorkPerWD]]*MAX(0,Tasks[[#This Row],[_StartWorkday]]-1)</f>
        <v>0</v>
      </c>
      <c r="EF109" s="42" t="n">
        <f aca="false">Tasks[[#This Row],[_Res4Work]]*Tasks[[#This Row],[_LeafProgress]]</f>
        <v>0</v>
      </c>
      <c r="EG109" s="42" t="n">
        <f aca="false">IF(ISNUMBER(Tasks[[#This Row],[% Complete]]),Tasks[[#This Row],[% Complete]],IF(Tasks[[#This Row],[Stage]]="",0,IFERROR(INDEX(stg_Pct,MATCH(Tasks[[#This Row],[Stage]],stg_Name,0)),0)))</f>
        <v>0</v>
      </c>
      <c r="EH109" s="42" t="n">
        <f aca="false">IF(NOT(Tasks[[#This Row],[_IsLeaf]]=1),0,IF(N(Tasks[[#This Row],[Actual Finish]])&gt;0,1,MIN(1,Tasks[[#This Row],[_Pct]])))</f>
        <v>0</v>
      </c>
      <c r="EI109" s="42" t="n">
        <f aca="false">IF(OR(NOT(Tasks[[#This Row],[_IsLeaf]]=1),Tasks[[#This Row],[_Res1Row]]=0),0,N(Tasks[[#This Row],[_Days]])*HoursPerDay*IF(Tasks[[#This Row],[_Units1]]="",DefaultUnits,Tasks[[#This Row],[_Units1]]))</f>
        <v>0</v>
      </c>
      <c r="EJ109" s="42" t="n">
        <f aca="false">Tasks[[#This Row],[_LeafWork]]+Tasks[[#This Row],[_Res2Work]]+Tasks[[#This Row],[_Res3Work]]+Tasks[[#This Row],[_Res4Work]]</f>
        <v>0</v>
      </c>
      <c r="EK10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0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0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0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0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0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0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0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09" s="42" t="n">
        <f aca="false">IF(NOT(Tasks[[#This Row],[_IsLeaf]]=1),0,MAX(_xlfn.MAXIFS(Tasks[_Row],Tasks[_Pred1UID],Tasks[[#This Row],[UID]]),_xlfn.MAXIFS(Tasks[_Row],Tasks[_Pred2UID],Tasks[[#This Row],[UID]]),_xlfn.MAXIFS(Tasks[_Row],Tasks[_Pred3UID],Tasks[[#This Row],[UID]]),_xlfn.MAXIFS(Tasks[_Row],Tasks[_Pred4UID],Tasks[[#This Row],[UID]])))</f>
        <v>0</v>
      </c>
      <c r="ET10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0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09" s="89" t="str">
        <f aca="false">IF(NOT(Tasks[[#This Row],[_IsLeaf]]=1),"",IF(N(Tasks[[#This Row],[_Days]])&lt;=0,Tasks[[#This Row],[_LeafLateFinish]],WORKDAY.INTL(Tasks[[#This Row],[_LeafLateFinish]],-(Tasks[[#This Row],[_Days]]-1),WorkWeek,Holidays)))</f>
        <v/>
      </c>
      <c r="EW10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09" s="88" t="b">
        <f aca="false">AND(Tasks[[#This Row],[_IsLeaf]]=1,Tasks[[#This Row],[_LeafProgress]]&lt;1,N(Tasks[[#This Row],[_LeafTotalSlack]])&lt;=CriticalSlackDays)</f>
        <v>0</v>
      </c>
      <c r="EY109" s="42" t="n">
        <f aca="false">IF(AND(Tasks[[#This Row],[_IsLeaf]]=1,Tasks[[#This Row],[_ConstraintCode]]=1,Tasks[[#This Row],[Mode]]&lt;&gt;"Manual",N(Tasks[[#This Row],[Actual Start]])=0),MAX(0,N(Tasks[[#This Row],[Free Slack]])),0)</f>
        <v>0</v>
      </c>
      <c r="EZ109" s="89" t="str">
        <f aca="false">IF(NOT(Tasks[[#This Row],[_IsLeaf]]=1),"",IF(Tasks[[#This Row],[_AlapShift]]=0,Tasks[[#This Row],[_LeafCalcStart]],WORKDAY.INTL(Tasks[[#This Row],[_LeafCalcStart]],Tasks[[#This Row],[_AlapShift]],WorkWeek,Holidays)))</f>
        <v/>
      </c>
      <c r="FA109" s="89" t="str">
        <f aca="false">IF(NOT(Tasks[[#This Row],[_IsLeaf]]=1),"",IF(Tasks[[#This Row],[_AlapShift]]=0,Tasks[[#This Row],[_LeafCalcFinish]],WORKDAY.INTL(Tasks[[#This Row],[_LeafCalcFinish]],Tasks[[#This Row],[_AlapShift]],WorkWeek,Holidays)))</f>
        <v/>
      </c>
      <c r="FB109" s="89" t="str">
        <f aca="false">IF(NOT(Tasks[[#This Row],[_IsLeaf]]=1),"",IF(Tasks[[#This Row],[_AlapShift]]=0,Tasks[[#This Row],[_LeafFcstStart]],WORKDAY.INTL(Tasks[[#This Row],[_LeafFcstStart]],Tasks[[#This Row],[_AlapShift]],WorkWeek,Holidays)))</f>
        <v/>
      </c>
      <c r="FC109" s="89" t="str">
        <f aca="false">IF(NOT(Tasks[[#This Row],[_IsLeaf]]=1),"",IF(Tasks[[#This Row],[_AlapShift]]=0,Tasks[[#This Row],[_LeafFcstFinish]],WORKDAY.INTL(Tasks[[#This Row],[_LeafFcstFinish]],Tasks[[#This Row],[_AlapShift]],WorkWeek,Holidays)))</f>
        <v/>
      </c>
      <c r="FD109" s="89" t="str">
        <f aca="false">IF(Tasks[[#This Row],[Task Name]]="","",IF(Tasks[[#This Row],[_IsSummary]],MIN(INDEX(Tasks[_ShownCalcStart],Tasks[[#This Row],[_Row]]+1):INDEX(Tasks[_ShownCalcStart],Tasks[[#This Row],[_Row]]+Tasks[[#This Row],[_Descendants]])),Tasks[[#This Row],[_ShownCalcStart]]))</f>
        <v/>
      </c>
      <c r="FE109" s="89" t="str">
        <f aca="false">IF(Tasks[[#This Row],[Task Name]]="","",IF(Tasks[[#This Row],[_IsSummary]],MAX(INDEX(Tasks[_ShownCalcFinish],Tasks[[#This Row],[_Row]]+1):INDEX(Tasks[_ShownCalcFinish],Tasks[[#This Row],[_Row]]+Tasks[[#This Row],[_Descendants]])),Tasks[[#This Row],[_ShownCalcFinish]]))</f>
        <v/>
      </c>
      <c r="FF10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0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0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0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0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0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0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0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0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0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0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0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09" s="42" t="n">
        <f aca="false">IF(AND(Tasks[[#This Row],[_IsLeaf]]=1,Tasks[[#This Row],[_LeafTotalWork]]&gt;0),NETWORKDAYS.INTL(ProjectStart,Tasks[[#This Row],[_ShownFcstStart]],WorkWeek,Holidays),0)</f>
        <v>0</v>
      </c>
      <c r="FS109" s="42" t="n">
        <f aca="false">IF(AND(Tasks[[#This Row],[_IsLeaf]]=1,Tasks[[#This Row],[_LeafTotalWork]]&gt;0),MAX(Tasks[[#This Row],[_StartWorkday]],NETWORKDAYS.INTL(ProjectStart,Tasks[[#This Row],[_ShownFcstFinish]],WorkWeek,Holidays)),0)</f>
        <v>0</v>
      </c>
      <c r="FT109" s="42" t="n">
        <f aca="false">IF(AND(Tasks[[#This Row],[_IsLeaf]]=1,Tasks[[#This Row],[_LeafTotalWork]]&gt;0),Tasks[[#This Row],[_LeafWork]]/(Tasks[[#This Row],[_FinishWorkday]]-Tasks[[#This Row],[_StartWorkday]]+1),0)</f>
        <v>0</v>
      </c>
      <c r="FU109" s="42" t="n">
        <f aca="false">Tasks[[#This Row],[_WorkPerWorkday]]*(Tasks[[#This Row],[_StartWorkday]]-1)</f>
        <v>-0</v>
      </c>
      <c r="FV109" s="42" t="n">
        <f aca="false">IF(Tasks[[#This Row],[_IsLeaf]]=1,MAX(N(Tasks[[#This Row],[_Days]]),0.1),0)</f>
        <v>0</v>
      </c>
      <c r="FW109" s="42" t="n">
        <f aca="false">Tasks[[#This Row],[_WeightDur]]*Tasks[[#This Row],[_LeafProgress]]</f>
        <v>0</v>
      </c>
      <c r="FX109" s="42" t="n">
        <f aca="false">Tasks[[#This Row],[_WeightDur]]*Tasks[[#This Row],[_PlannedPct]]</f>
        <v>0</v>
      </c>
      <c r="FY10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09" s="42" t="str">
        <f aca="false">IF(AND(Tasks[[#This Row],[_IsLeaf]]=1,N(Tasks[[#This Row],[_Days]])=0,Tasks[[#This Row],[_LeafProgress]]&lt;1),Tasks[[#This Row],[_ShownFcstFinish]]+Tasks[[#This Row],[_Row]]/100000,"")</f>
        <v/>
      </c>
      <c r="GA10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09" s="42" t="str">
        <f aca="false">IF(Tasks[[#This Row],[Task Name]]="","",LEFT(Tasks[[#This Row],[WBS]],FIND(".",Tasks[[#This Row],[WBS]]&amp;".")-1))</f>
        <v/>
      </c>
      <c r="GC109" s="42" t="str">
        <f aca="false">IF(AND(Tasks[[#This Row],[Task Name]]&lt;&gt;"",Tasks[[#This Row],[_Level]]=1),Tasks[[#This Row],[_Row]],"")</f>
        <v/>
      </c>
      <c r="GD109" s="42" t="str">
        <f aca="false">IF(AND(Tasks[[#This Row],[_IsLeaf]]=1,N(Tasks[[#This Row],[_Days]])=0),Tasks[[#This Row],[Planned Finish]]+Tasks[[#This Row],[_Row]]/100000,"")</f>
        <v/>
      </c>
      <c r="GE109" s="42" t="str">
        <f aca="false">IF(AND(Tasks[[#This Row],[_IsLeaf]]=1,Tasks[[#This Row],[_LeafProgress]]&lt;1,OR(N(Tasks[[#This Row],[Finish Var]])&gt;0,Tasks[[#This Row],[Status]]="Late Start")),MAX(0,Tasks[[#This Row],[Finish Var]])+1-Tasks[[#This Row],[_Row]]/1000000,"")</f>
        <v/>
      </c>
      <c r="GF109" s="42" t="str">
        <f aca="false">IF(AND(Tasks[[#This Row],[_IsLeaf]]=1,N(Tasks[[#This Row],[Actual Start]])=0,Tasks[[#This Row],[_ShownFcstStart]]&gt;=StatusDate,Tasks[[#This Row],[_ShownFcstStart]]&lt;=LookaheadEnd),Tasks[[#This Row],[_ShownFcstStart]]+Tasks[[#This Row],[_Row]]/100000,"")</f>
        <v/>
      </c>
      <c r="GG109" s="42" t="str">
        <f aca="false">IF(AND(Tasks[[#This Row],[_IsLeaf]]=1,Tasks[[#This Row],[_LeafProgress]]&lt;1,Tasks[[#This Row],[_ShownFcstFinish]]&gt;=StatusDate,Tasks[[#This Row],[_ShownFcstFinish]]&lt;=LookaheadEnd),Tasks[[#This Row],[_ShownFcstFinish]]+Tasks[[#This Row],[_Row]]/100000,"")</f>
        <v/>
      </c>
      <c r="GH109" s="42" t="str">
        <f aca="false">IF(Tasks[[#This Row],[_LeafCritical]],Tasks[[#This Row],[_ShownFcstStart]]+Tasks[[#This Row],[_Row]]/100000,"")</f>
        <v/>
      </c>
      <c r="GI109" s="42" t="n">
        <f aca="false">Tasks[[#This Row],[_LeafWork]]*Tasks[[#This Row],[_LeafProgress]]</f>
        <v>0</v>
      </c>
      <c r="GJ109" s="89" t="str">
        <f aca="false">IF(AND(Tasks[[#This Row],[_IsLeaf]]=1,Tasks[[#This Row],[_LeafProgress]]&gt;=1),IF(N(Tasks[[#This Row],[Actual Finish]])&gt;0,Tasks[[#This Row],[Actual Finish]],Tasks[[#This Row],[_ShownFcstFinish]]),"")</f>
        <v/>
      </c>
      <c r="GK109" s="42" t="n">
        <f aca="false">IF(Tasks[[#This Row],[_IsLeaf]]=1,N(Tasks[[#This Row],[Story Points]]),0)</f>
        <v>0</v>
      </c>
      <c r="GL109" s="42" t="str">
        <f aca="false">""</f>
        <v/>
      </c>
      <c r="GM109" s="88" t="b">
        <f aca="false">IF(Tasks[[#This Row],[Task Name]]="",FALSE(),AND(Tasks[[#This Row],[_IsLeaf]]=1,N(Tasks[[#This Row],[_Days]])=0))</f>
        <v>0</v>
      </c>
      <c r="GN109" s="89" t="n">
        <f aca="false">IF(Tasks[[#This Row],[Task Name]]="",0,IF(AND(Tasks[[#This Row],[_IsLeaf]]=1,NOT(Tasks[[#This Row],[_IsMilestone]]),N(Tasks[[#This Row],[Progress]])&gt;0),Tasks[[#This Row],[Start]],0))</f>
        <v>0</v>
      </c>
      <c r="GO109" s="89" t="n">
        <f aca="false">IF(Tasks[[#This Row],[_DoneFrom]]=0,0,IF(Tasks[[#This Row],[Progress]]&gt;=1,Tasks[[#This Row],[Finish]],MAX(Tasks[[#This Row],[_DoneFrom]],Tasks[[#This Row],[Start]]+ROUND((Tasks[[#This Row],[Finish]]-Tasks[[#This Row],[Start]]+1)*Tasks[[#This Row],[Progress]],0)-1)))</f>
        <v>0</v>
      </c>
      <c r="GP109" s="89" t="n">
        <f aca="false">IF(Tasks[[#This Row],[Task Name]]="",0,IF(OR(NOT(Tasks[[#This Row],[_IsLeaf]]=1),Tasks[[#This Row],[_IsMilestone]],N(Tasks[[#This Row],[Progress]])&gt;=1),0,IF(Tasks[[#This Row],[_DoneTo]]&gt;0,Tasks[[#This Row],[_DoneTo]]+1,Tasks[[#This Row],[Start]])))</f>
        <v>0</v>
      </c>
      <c r="GQ109" s="89" t="n">
        <f aca="false">IF(Tasks[[#This Row],[_RemFrom]]=0,0,Tasks[[#This Row],[Finish]])</f>
        <v>0</v>
      </c>
      <c r="GR109" s="88" t="b">
        <f aca="false">IF(Tasks[[#This Row],[Task Name]]="",FALSE(),OR(NOT(BaselineSet),N(Tasks[[#This Row],[Baseline Start]])&gt;0))</f>
        <v>0</v>
      </c>
      <c r="GS10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0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0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09" s="90" t="str">
        <f aca="false">IF(Tasks[[#This Row],[_IsLeaf]]=1,Tasks[[#This Row],[_Row]],"")</f>
        <v/>
      </c>
      <c r="GW109" s="90" t="str">
        <f aca="false">IFERROR(INDEX(Tasks[UID],SMALL(Tasks[_PickKey],Tasks[[#This Row],[_Row]]))&amp;" "&amp;INDEX(Tasks[Task Name],SMALL(Tasks[_PickKey],Tasks[[#This Row],[_Row]])),"")</f>
        <v/>
      </c>
      <c r="GX109" s="42" t="str">
        <f aca="false">IF(Tasks[[#This Row],[Task Name]]="","",IF(Tasks[[#This Row],[_IsSummary]],NETWORKDAYS.INTL(Tasks[[#This Row],[Start]],Tasks[[#This Row],[Finish]],WorkWeek,Holidays),N(Tasks[[#This Row],[_Days]])))</f>
        <v/>
      </c>
    </row>
    <row r="110" customFormat="false" ht="15" hidden="false" customHeight="false" outlineLevel="0" collapsed="false">
      <c r="A110" s="21" t="str">
        <f aca="false">IF(Tasks[[#This Row],[Task Name]]="","",COUNTA(Tasks[[#Headers],[Task Name]]:Tasks[[#This Row],[Task Name]])-1)</f>
        <v/>
      </c>
      <c r="B110" s="22" t="n">
        <v>118</v>
      </c>
      <c r="C110" s="22"/>
      <c r="D110" s="23"/>
      <c r="E110" s="22"/>
      <c r="F110" s="23"/>
      <c r="G110" s="22"/>
      <c r="H110" s="22"/>
      <c r="I110" s="23"/>
      <c r="J110" s="22"/>
      <c r="K110" s="22"/>
      <c r="L110" s="23"/>
      <c r="M110" s="22"/>
      <c r="N110" s="22"/>
      <c r="O110" s="23"/>
      <c r="P110" s="22"/>
      <c r="Q110" s="22"/>
      <c r="R110" s="23"/>
      <c r="S110" s="23"/>
      <c r="T110" s="83"/>
      <c r="U110" s="23"/>
      <c r="V110" s="83"/>
      <c r="W110" s="23"/>
      <c r="X110" s="83"/>
      <c r="Y110" s="23"/>
      <c r="Z110" s="83"/>
      <c r="AA110" s="23"/>
      <c r="AB110" s="23"/>
      <c r="AC110" s="7"/>
      <c r="AD110" s="7"/>
      <c r="AE110" s="62" t="str">
        <f aca="false">IF(Tasks[[#This Row],[Task Name]]="","",IF(Tasks[[#This Row],[_IsSummary]],MIN(INDEX(Tasks[_ShownFcstStart],Tasks[[#This Row],[_Row]]+1):INDEX(Tasks[_ShownFcstStart],Tasks[[#This Row],[_Row]]+Tasks[[#This Row],[_Descendants]])),Tasks[[#This Row],[_ShownFcstStart]]))</f>
        <v/>
      </c>
      <c r="AF110" s="62" t="str">
        <f aca="false">IF(Tasks[[#This Row],[Task Name]]="","",IF(Tasks[[#This Row],[_IsSummary]],MAX(INDEX(Tasks[_ShownFcstFinish],Tasks[[#This Row],[_Row]]+1):INDEX(Tasks[_ShownFcstFinish],Tasks[[#This Row],[_Row]]+Tasks[[#This Row],[_Descendants]])),Tasks[[#This Row],[_ShownFcstFinish]]))</f>
        <v/>
      </c>
      <c r="AG110" s="21" t="str">
        <f aca="false">""</f>
        <v/>
      </c>
      <c r="AH110" s="23"/>
      <c r="AI11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0" s="7"/>
      <c r="AK110" s="22"/>
      <c r="AL110" s="23"/>
      <c r="AM110" s="7"/>
      <c r="AN110" s="46" t="str">
        <f aca="false">IF(Tasks[[#This Row],[Task Name]]="","",IF(Tasks[[#This Row],[Finish]]&gt;=Tasks[[#This Row],[Planned Finish]],NETWORKDAYS.INTL(Tasks[[#This Row],[Planned Finish]],Tasks[[#This Row],[Finish]],WorkWeek,Holidays)-1,1-NETWORKDAYS.INTL(Tasks[[#This Row],[Finish]],Tasks[[#This Row],[Planned Finish]],WorkWeek,Holidays)))</f>
        <v/>
      </c>
      <c r="AO110" s="21" t="str">
        <f aca="false">IF(Tasks[[#This Row],[Task Name]]="","",IF(Tasks[[#This Row],[Progress]]&gt;=1,"Complete",IF(OR(N(Tasks[[#This Row],[Actual Start]])&gt;0,Tasks[[#This Row],[Progress]]&gt;0),IF(Tasks[[#This Row],[Finish Var]]&gt;0,"Behind","In Progress"),IF(Tasks[[#This Row],[Planned Start]]&lt;StatusDate,"Late Start","Not Started"))))</f>
        <v/>
      </c>
      <c r="AP110" s="21" t="str">
        <f aca="false">IF(Tasks[[#This Row],[Task Name]]="","",IF(IF(Tasks[[#This Row],[_IsSummary]],COUNTIF(INDEX(Tasks[_LeafCritical],Tasks[[#This Row],[_Row]]+1):INDEX(Tasks[_LeafCritical],Tasks[[#This Row],[_Row]]+Tasks[[#This Row],[_Descendants]]),TRUE())&gt;0,Tasks[[#This Row],[_LeafCritical]]),"Yes",""))</f>
        <v/>
      </c>
      <c r="AQ110" s="62" t="str">
        <f aca="false">IF(Tasks[[#This Row],[Task Name]]="","",IF(N(Tasks[[#This Row],[Baseline Start]])&gt;0,Tasks[[#This Row],[Baseline Start]],Tasks[[#This Row],[_CalcStart]]))</f>
        <v/>
      </c>
      <c r="AR110" s="62" t="str">
        <f aca="false">IF(Tasks[[#This Row],[Task Name]]="","",IF(N(Tasks[[#This Row],[Baseline Finish]])&gt;0,Tasks[[#This Row],[Baseline Finish]],Tasks[[#This Row],[_CalcFinish]]))</f>
        <v/>
      </c>
      <c r="AS110" s="46" t="str">
        <f aca="false">IF(Tasks[[#This Row],[Task Name]]="","",IF(Tasks[[#This Row],[Start]]&gt;=Tasks[[#This Row],[Planned Start]],NETWORKDAYS.INTL(Tasks[[#This Row],[Planned Start]],Tasks[[#This Row],[Start]],WorkWeek,Holidays)-1,1-NETWORKDAYS.INTL(Tasks[[#This Row],[Start]],Tasks[[#This Row],[Planned Start]],WorkWeek,Holidays)))</f>
        <v/>
      </c>
      <c r="AT110" s="62" t="str">
        <f aca="false">IF(Tasks[[#This Row],[Task Name]]="","",IF(Tasks[[#This Row],[_IsSummary]],MIN(INDEX(Tasks[_LeafLateStart],Tasks[[#This Row],[_Row]]+1):INDEX(Tasks[_LeafLateStart],Tasks[[#This Row],[_Row]]+Tasks[[#This Row],[_Descendants]])),Tasks[[#This Row],[_LeafLateStart]]))</f>
        <v/>
      </c>
      <c r="AU110" s="62" t="str">
        <f aca="false">IF(Tasks[[#This Row],[Task Name]]="","",IF(Tasks[[#This Row],[_IsSummary]],MAX(INDEX(Tasks[_LeafLateFinish],Tasks[[#This Row],[_Row]]+1):INDEX(Tasks[_LeafLateFinish],Tasks[[#This Row],[_Row]]+Tasks[[#This Row],[_Descendants]])),Tasks[[#This Row],[_LeafLateFinish]]))</f>
        <v/>
      </c>
      <c r="AV110" s="46" t="str">
        <f aca="false">IF(Tasks[[#This Row],[Task Name]]="","",IF(Tasks[[#This Row],[_IsSummary]],MIN(INDEX(Tasks[_LeafTotalSlack],Tasks[[#This Row],[_Row]]+1):INDEX(Tasks[_LeafTotalSlack],Tasks[[#This Row],[_Row]]+Tasks[[#This Row],[_Descendants]])),Tasks[[#This Row],[_LeafTotalSlack]]))</f>
        <v/>
      </c>
      <c r="AW11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4"/>
      <c r="BA11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t="str">
        <f aca="false">IF(Tasks[[#This Row],[Task Name]]="","",IF(Tasks[[#This Row],[_Level]]&lt;=OutlineShowLevel,"Yes","No"))</f>
        <v/>
      </c>
      <c r="BE110" s="85" t="str">
        <f aca="false">IF(Tasks[[#This Row],[Task Name]]="","",IF(Tasks[[#This Row],[_IsSummary]],SUM(INDEX(Tasks[_LeafTotalWork],Tasks[[#This Row],[_Row]]+1):INDEX(Tasks[_LeafTotalWork],Tasks[[#This Row],[_Row]]+Tasks[[#This Row],[_Descendants]])),Tasks[[#This Row],[_LeafTotalWork]]))</f>
        <v/>
      </c>
      <c r="BF110" s="23"/>
      <c r="BG11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t="str">
        <f aca="false">""</f>
        <v/>
      </c>
      <c r="BI110" s="86"/>
      <c r="BJ110" s="22"/>
      <c r="BK110" s="46" t="str">
        <f aca="false">IF(OR(Tasks[[#This Row],[Task Name]]="",Tasks[[#This Row],[Baseline Duration]]=""),"",Tasks[[#This Row],[_SpanDays]]-N(Tasks[[#This Row],[Baseline Duration]]))</f>
        <v/>
      </c>
      <c r="BL110" s="85" t="str">
        <f aca="false">IF(OR(Tasks[[#This Row],[Task Name]]="",Tasks[[#This Row],[Baseline Work]]=""),"",Tasks[[#This Row],[Work]]-N(Tasks[[#This Row],[Baseline Work]]))</f>
        <v/>
      </c>
      <c r="BM110" s="62" t="str">
        <f aca="false">IF(Tasks[[#This Row],[Task Name]]="","",IF(OR(TakeBaseline="Yes",N(Tasks[[#This Row],[Baseline Start]])=0),Tasks[[#This Row],[Start]],Tasks[[#This Row],[Baseline Start]]))</f>
        <v/>
      </c>
      <c r="BN110" s="62" t="str">
        <f aca="false">IF(Tasks[[#This Row],[Task Name]]="","",IF(OR(TakeBaseline="Yes",N(Tasks[[#This Row],[Baseline Finish]])=0),Tasks[[#This Row],[Finish]],Tasks[[#This Row],[Baseline Finish]]))</f>
        <v/>
      </c>
      <c r="BO110" s="21" t="str">
        <f aca="false">IF(Tasks[[#This Row],[Task Name]]="","",IF(OR(TakeBaseline="Yes",N(Tasks[[#This Row],[Baseline Duration]])=0),Tasks[[#This Row],[_SpanDays]],Tasks[[#This Row],[Baseline Duration]]))</f>
        <v/>
      </c>
      <c r="BP110" s="85" t="str">
        <f aca="false">IF(Tasks[[#This Row],[Task Name]]="","",IF(OR(TakeBaseline="Yes",N(Tasks[[#This Row],[Baseline Work]])=0),Tasks[[#This Row],[Work]],Tasks[[#This Row],[Baseline Work]]))</f>
        <v/>
      </c>
      <c r="BQ110" s="7"/>
      <c r="BR110" s="7"/>
      <c r="BS110" s="22"/>
      <c r="BT110" s="87"/>
      <c r="BU110" s="42" t="str">
        <f aca="false">IF(Tasks[[#This Row],[Task Name]]="","",MAX(1,N(Tasks[[#This Row],[Level]])))</f>
        <v/>
      </c>
      <c r="BV110" s="42" t="n">
        <f aca="false">ROW()-ROW(Tasks[[#Headers],[ID]])</f>
        <v>105</v>
      </c>
      <c r="BW110" s="42" t="n">
        <f aca="false">IF(OR(Tasks[[#This Row],[Task Name]]="",Tasks[[#This Row],[_Level]]&lt;=1),0,IFERROR(LOOKUP(2,1/(Tasks[[#Headers],[_Level]]:Tasks[[#This Row],[_Level]]=Tasks[[#This Row],[_Level]]-1),ROW(Tasks[[#Headers],[_Level]]:Tasks[[#This Row],[_Level]])),0))</f>
        <v>0</v>
      </c>
      <c r="BX110" s="42" t="n">
        <f aca="false">IFERROR(N(INDEX(Tasks[_Level],Tasks[[#This Row],[_Row]]+1)),0)</f>
        <v>0</v>
      </c>
      <c r="BY110" s="88" t="b">
        <f aca="false">AND(Tasks[[#This Row],[Task Name]]&lt;&gt;"",Tasks[[#This Row],[_NextLevel]]&gt;Tasks[[#This Row],[_Level]])</f>
        <v>0</v>
      </c>
      <c r="BZ110" s="42" t="n">
        <f aca="false">IF(Tasks[[#This Row],[_IsSummary]],COUNTIF(Tasks[WBS],Tasks[[#This Row],[WBS]]&amp;".*"),0)</f>
        <v>0</v>
      </c>
      <c r="CA110" s="42" t="n">
        <f aca="false">IF(AND(Tasks[[#This Row],[Task Name]]&lt;&gt;"",NOT(Tasks[[#This Row],[_IsSummary]])),1,0)</f>
        <v>0</v>
      </c>
      <c r="CB110" s="42" t="n">
        <f aca="false">IF(N(Tasks[[#This Row],[_Pred1UID]])=0,0,IFERROR(MATCH(Tasks[[#This Row],[_Pred1UID]],Tasks[UID],0),-1))</f>
        <v>0</v>
      </c>
      <c r="CC110" s="42" t="n">
        <f aca="false">IF(N(Tasks[[#This Row],[_Pred2UID]])=0,0,IFERROR(MATCH(Tasks[[#This Row],[_Pred2UID]],Tasks[UID],0),-1))</f>
        <v>0</v>
      </c>
      <c r="CD110" s="42" t="n">
        <f aca="false">IF(N(Tasks[[#This Row],[_Pred3UID]])=0,0,IFERROR(MATCH(Tasks[[#This Row],[_Pred3UID]],Tasks[UID],0),-1))</f>
        <v>0</v>
      </c>
      <c r="CE110" s="42" t="n">
        <f aca="false">IF(N(Tasks[[#This Row],[_Pred4UID]])=0,0,IFERROR(MATCH(Tasks[[#This Row],[_Pred4UID]],Tasks[UID],0),-1))</f>
        <v>0</v>
      </c>
      <c r="CF11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0" s="89" t="n">
        <f aca="false">IF(OR(Tasks[[#This Row],[_ConstraintCode]]=2,Tasks[[#This Row],[_ConstraintCode]]=3,Tasks[[#This Row],[_ConstraintCode]]=4,Tasks[[#This Row],[_ConstraintCode]]=6),Tasks[[#This Row],[_ConstraintStart]],0)</f>
        <v>0</v>
      </c>
      <c r="CI110" s="89" t="n">
        <f aca="false">IF(OR(Tasks[[#This Row],[_ConstraintCode]]=2,Tasks[[#This Row],[_ConstraintCode]]=3,Tasks[[#This Row],[_ConstraintCode]]=5,Tasks[[#This Row],[_ConstraintCode]]=7),Tasks[[#This Row],[_ConstraintStart]],2958465)</f>
        <v>2958465</v>
      </c>
      <c r="CJ11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0" s="89" t="str">
        <f aca="false">IF(NOT(Tasks[[#This Row],[_IsLeaf]]=1),"",IF(N(Tasks[[#This Row],[_Days]])&lt;=0,Tasks[[#This Row],[_LeafCalcStart]],WORKDAY.INTL(Tasks[[#This Row],[_LeafCalcStart]],Tasks[[#This Row],[_Days]]-1,WorkWeek,Holidays)))</f>
        <v/>
      </c>
      <c r="CL11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0" s="42" t="str">
        <f aca="false">IF(Tasks[[#This Row],[_Predecessors]]="","",TRIM(MID(SUBSTITUTE(SUBSTITUTE(SUBSTITUTE(UPPER(Tasks[[#This Row],[_Predecessors]]),";",",")," ",""),",",REPT(" ",99)),1,99)))</f>
        <v/>
      </c>
      <c r="CO110" s="42" t="str">
        <f aca="false">IF(Tasks[[#This Row],[_Pred1Text]]="","",IFERROR(VALUE(LEFT(Tasks[[#This Row],[_Pred1Text]],MIN(FIND("F",Tasks[[#This Row],[_Pred1Text]]&amp;"F"),FIND("S",Tasks[[#This Row],[_Pred1Text]]&amp;"S"),FIND("+",Tasks[[#This Row],[_Pred1Text]]&amp;"+"),FIND("-",Tasks[[#This Row],[_Pred1Text]]&amp;"-"))-1)),""))</f>
        <v/>
      </c>
      <c r="CP11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0" s="42" t="str">
        <f aca="false">IF(Tasks[[#This Row],[_Pred1Text]]="","",TRIM(MID(SUBSTITUTE(SUBSTITUTE(SUBSTITUTE(UPPER(Tasks[[#This Row],[_Predecessors]]),";",",")," ",""),",",REPT(" ",99)),100,99)))</f>
        <v/>
      </c>
      <c r="CS110" s="42" t="str">
        <f aca="false">IF(Tasks[[#This Row],[_Pred2Text]]="","",IFERROR(VALUE(LEFT(Tasks[[#This Row],[_Pred2Text]],MIN(FIND("F",Tasks[[#This Row],[_Pred2Text]]&amp;"F"),FIND("S",Tasks[[#This Row],[_Pred2Text]]&amp;"S"),FIND("+",Tasks[[#This Row],[_Pred2Text]]&amp;"+"),FIND("-",Tasks[[#This Row],[_Pred2Text]]&amp;"-"))-1)),""))</f>
        <v/>
      </c>
      <c r="CT11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0" s="42" t="str">
        <f aca="false">IF(Tasks[[#This Row],[_Pred2Text]]="","",TRIM(MID(SUBSTITUTE(SUBSTITUTE(SUBSTITUTE(UPPER(Tasks[[#This Row],[_Predecessors]]),";",",")," ",""),",",REPT(" ",99)),199,99)))</f>
        <v/>
      </c>
      <c r="CW110" s="42" t="str">
        <f aca="false">IF(Tasks[[#This Row],[_Pred3Text]]="","",IFERROR(VALUE(LEFT(Tasks[[#This Row],[_Pred3Text]],MIN(FIND("F",Tasks[[#This Row],[_Pred3Text]]&amp;"F"),FIND("S",Tasks[[#This Row],[_Pred3Text]]&amp;"S"),FIND("+",Tasks[[#This Row],[_Pred3Text]]&amp;"+"),FIND("-",Tasks[[#This Row],[_Pred3Text]]&amp;"-"))-1)),""))</f>
        <v/>
      </c>
      <c r="CX11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0" s="42" t="str">
        <f aca="false">IF(Tasks[[#This Row],[_Pred3Text]]="","",TRIM(MID(SUBSTITUTE(SUBSTITUTE(SUBSTITUTE(UPPER(Tasks[[#This Row],[_Predecessors]]),";",",")," ",""),",",REPT(" ",99)),298,99)))</f>
        <v/>
      </c>
      <c r="DA110" s="42" t="str">
        <f aca="false">IF(Tasks[[#This Row],[_Pred4Text]]="","",IFERROR(VALUE(LEFT(Tasks[[#This Row],[_Pred4Text]],MIN(FIND("F",Tasks[[#This Row],[_Pred4Text]]&amp;"F"),FIND("S",Tasks[[#This Row],[_Pred4Text]]&amp;"S"),FIND("+",Tasks[[#This Row],[_Pred4Text]]&amp;"+"),FIND("-",Tasks[[#This Row],[_Pred4Text]]&amp;"-"))-1)),""))</f>
        <v/>
      </c>
      <c r="DB11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0" s="42" t="str">
        <f aca="false">IF(OR(Tasks[[#This Row],[Task Name]]="",Tasks[[#This Row],[_Resources]]=""),"",TRIM(MID(SUBSTITUTE(Tasks[[#This Row],[_Resources]],",",REPT(" ",99)),1,99)))</f>
        <v/>
      </c>
      <c r="DE110" s="42" t="str">
        <f aca="false">IF(Tasks[[#This Row],[_Res1Text]]="","",TRIM(MID(SUBSTITUTE(Tasks[[#This Row],[_Resources]],",",REPT(" ",99)),100,99)))</f>
        <v/>
      </c>
      <c r="DF110" s="42" t="str">
        <f aca="false">IF(Tasks[[#This Row],[_Res2Text]]="","",TRIM(MID(SUBSTITUTE(Tasks[[#This Row],[_Resources]],",",REPT(" ",99)),199,99)))</f>
        <v/>
      </c>
      <c r="DG110" s="42" t="str">
        <f aca="false">IF(Tasks[[#This Row],[_Res3Text]]="","",TRIM(MID(SUBSTITUTE(Tasks[[#This Row],[_Resources]],",",REPT(" ",99)),298,99)))</f>
        <v/>
      </c>
      <c r="DH110" s="42" t="n">
        <f aca="false">IF(Tasks[[#This Row],[_Res1Text]]="",0,IFERROR(MATCH(TRIM(LEFT(Tasks[[#This Row],[_Res1Text]],FIND("[",Tasks[[#This Row],[_Res1Text]]&amp;"[")-1)),res_Name,0),IFERROR(MATCH(TRIM(LEFT(Tasks[[#This Row],[_Res1Text]],FIND("[",Tasks[[#This Row],[_Res1Text]]&amp;"[")-1)),res_Initials,0),0)))</f>
        <v>0</v>
      </c>
      <c r="DI110" s="42" t="n">
        <f aca="false">IF(Tasks[[#This Row],[_Res2Text]]="",0,IFERROR(MATCH(TRIM(LEFT(Tasks[[#This Row],[_Res2Text]],FIND("[",Tasks[[#This Row],[_Res2Text]]&amp;"[")-1)),res_Name,0),IFERROR(MATCH(TRIM(LEFT(Tasks[[#This Row],[_Res2Text]],FIND("[",Tasks[[#This Row],[_Res2Text]]&amp;"[")-1)),res_Initials,0),0)))</f>
        <v>0</v>
      </c>
      <c r="DJ110" s="42" t="n">
        <f aca="false">IF(Tasks[[#This Row],[_Res3Text]]="",0,IFERROR(MATCH(TRIM(LEFT(Tasks[[#This Row],[_Res3Text]],FIND("[",Tasks[[#This Row],[_Res3Text]]&amp;"[")-1)),res_Name,0),IFERROR(MATCH(TRIM(LEFT(Tasks[[#This Row],[_Res3Text]],FIND("[",Tasks[[#This Row],[_Res3Text]]&amp;"[")-1)),res_Initials,0),0)))</f>
        <v>0</v>
      </c>
      <c r="DK110" s="42" t="n">
        <f aca="false">IF(Tasks[[#This Row],[_Res4Text]]="",0,IFERROR(MATCH(TRIM(LEFT(Tasks[[#This Row],[_Res4Text]],FIND("[",Tasks[[#This Row],[_Res4Text]]&amp;"[")-1)),res_Name,0),IFERROR(MATCH(TRIM(LEFT(Tasks[[#This Row],[_Res4Text]],FIND("[",Tasks[[#This Row],[_Res4Text]]&amp;"[")-1)),res_Initials,0),0)))</f>
        <v>0</v>
      </c>
      <c r="DL110" s="42" t="str">
        <f aca="false">IF(Tasks[[#This Row],[_Res1Text]]="","",IF(Tasks[[#This Row],[_Res1Row]]&gt;0,INDEX(res_Name,Tasks[[#This Row],[_Res1Row]]),TRIM(LEFT(Tasks[[#This Row],[_Res1Text]],FIND("[",Tasks[[#This Row],[_Res1Text]]&amp;"[")-1))))</f>
        <v/>
      </c>
      <c r="DM11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0" s="42" t="n">
        <f aca="false">IF(NOT(Tasks[[#This Row],[_IsLeaf]]=1),0,(Tasks[[#This Row],[_Resource1]]&lt;&gt;"")+(Tasks[[#This Row],[_Res2]]&lt;&gt;"")+(Tasks[[#This Row],[_Res3]]&lt;&gt;"")+(Tasks[[#This Row],[_Res4]]&lt;&gt;""))</f>
        <v>0</v>
      </c>
      <c r="DO110" s="42" t="str">
        <f aca="false">IF(Tasks[[#This Row],[_Res2Text]]="","",IF(Tasks[[#This Row],[_Res2Row]]&gt;0,INDEX(res_Name,Tasks[[#This Row],[_Res2Row]]),TRIM(LEFT(Tasks[[#This Row],[_Res2Text]],FIND("[",Tasks[[#This Row],[_Res2Text]]&amp;"[")-1))))</f>
        <v/>
      </c>
      <c r="DP11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0" s="42" t="n">
        <f aca="false">IF(OR(NOT(Tasks[[#This Row],[_IsLeaf]]=1),Tasks[[#This Row],[_Res2Row]]=0),0,N(Tasks[[#This Row],[_Days]])*HoursPerDay*IF(Tasks[[#This Row],[_Res2Units]]="",DefaultUnits,Tasks[[#This Row],[_Res2Units]]))</f>
        <v>0</v>
      </c>
      <c r="DR110" s="42" t="n">
        <f aca="false">IF(AND(AND(Tasks[[#This Row],[_IsLeaf]]=1,Tasks[[#This Row],[_LeafTotalWork]]&gt;0),Tasks[[#This Row],[_Res2Work]]&gt;0),Tasks[[#This Row],[_Res2Work]]/(Tasks[[#This Row],[_FinishWorkday]]-Tasks[[#This Row],[_StartWorkday]]+1),0)</f>
        <v>0</v>
      </c>
      <c r="DS110" s="42" t="n">
        <f aca="false">Tasks[[#This Row],[_Res2WorkPerWD]]*MAX(0,Tasks[[#This Row],[_StartWorkday]]-1)</f>
        <v>0</v>
      </c>
      <c r="DT110" s="42" t="n">
        <f aca="false">Tasks[[#This Row],[_Res2Work]]*Tasks[[#This Row],[_LeafProgress]]</f>
        <v>0</v>
      </c>
      <c r="DU110" s="42" t="str">
        <f aca="false">IF(Tasks[[#This Row],[_Res3Text]]="","",IF(Tasks[[#This Row],[_Res3Row]]&gt;0,INDEX(res_Name,Tasks[[#This Row],[_Res3Row]]),TRIM(LEFT(Tasks[[#This Row],[_Res3Text]],FIND("[",Tasks[[#This Row],[_Res3Text]]&amp;"[")-1))))</f>
        <v/>
      </c>
      <c r="DV11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0" s="42" t="n">
        <f aca="false">IF(OR(NOT(Tasks[[#This Row],[_IsLeaf]]=1),Tasks[[#This Row],[_Res3Row]]=0),0,N(Tasks[[#This Row],[_Days]])*HoursPerDay*IF(Tasks[[#This Row],[_Res3Units]]="",DefaultUnits,Tasks[[#This Row],[_Res3Units]]))</f>
        <v>0</v>
      </c>
      <c r="DX110" s="42" t="n">
        <f aca="false">IF(AND(AND(Tasks[[#This Row],[_IsLeaf]]=1,Tasks[[#This Row],[_LeafTotalWork]]&gt;0),Tasks[[#This Row],[_Res3Work]]&gt;0),Tasks[[#This Row],[_Res3Work]]/(Tasks[[#This Row],[_FinishWorkday]]-Tasks[[#This Row],[_StartWorkday]]+1),0)</f>
        <v>0</v>
      </c>
      <c r="DY110" s="42" t="n">
        <f aca="false">Tasks[[#This Row],[_Res3WorkPerWD]]*MAX(0,Tasks[[#This Row],[_StartWorkday]]-1)</f>
        <v>0</v>
      </c>
      <c r="DZ110" s="42" t="n">
        <f aca="false">Tasks[[#This Row],[_Res3Work]]*Tasks[[#This Row],[_LeafProgress]]</f>
        <v>0</v>
      </c>
      <c r="EA110" s="42" t="str">
        <f aca="false">IF(Tasks[[#This Row],[_Res4Text]]="","",IF(Tasks[[#This Row],[_Res4Row]]&gt;0,INDEX(res_Name,Tasks[[#This Row],[_Res4Row]]),TRIM(LEFT(Tasks[[#This Row],[_Res4Text]],FIND("[",Tasks[[#This Row],[_Res4Text]]&amp;"[")-1))))</f>
        <v/>
      </c>
      <c r="EB11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0" s="42" t="n">
        <f aca="false">IF(OR(NOT(Tasks[[#This Row],[_IsLeaf]]=1),Tasks[[#This Row],[_Res4Row]]=0),0,N(Tasks[[#This Row],[_Days]])*HoursPerDay*IF(Tasks[[#This Row],[_Res4Units]]="",DefaultUnits,Tasks[[#This Row],[_Res4Units]]))</f>
        <v>0</v>
      </c>
      <c r="ED110" s="42" t="n">
        <f aca="false">IF(AND(AND(Tasks[[#This Row],[_IsLeaf]]=1,Tasks[[#This Row],[_LeafTotalWork]]&gt;0),Tasks[[#This Row],[_Res4Work]]&gt;0),Tasks[[#This Row],[_Res4Work]]/(Tasks[[#This Row],[_FinishWorkday]]-Tasks[[#This Row],[_StartWorkday]]+1),0)</f>
        <v>0</v>
      </c>
      <c r="EE110" s="42" t="n">
        <f aca="false">Tasks[[#This Row],[_Res4WorkPerWD]]*MAX(0,Tasks[[#This Row],[_StartWorkday]]-1)</f>
        <v>0</v>
      </c>
      <c r="EF110" s="42" t="n">
        <f aca="false">Tasks[[#This Row],[_Res4Work]]*Tasks[[#This Row],[_LeafProgress]]</f>
        <v>0</v>
      </c>
      <c r="EG110" s="42" t="n">
        <f aca="false">IF(ISNUMBER(Tasks[[#This Row],[% Complete]]),Tasks[[#This Row],[% Complete]],IF(Tasks[[#This Row],[Stage]]="",0,IFERROR(INDEX(stg_Pct,MATCH(Tasks[[#This Row],[Stage]],stg_Name,0)),0)))</f>
        <v>0</v>
      </c>
      <c r="EH110" s="42" t="n">
        <f aca="false">IF(NOT(Tasks[[#This Row],[_IsLeaf]]=1),0,IF(N(Tasks[[#This Row],[Actual Finish]])&gt;0,1,MIN(1,Tasks[[#This Row],[_Pct]])))</f>
        <v>0</v>
      </c>
      <c r="EI110" s="42" t="n">
        <f aca="false">IF(OR(NOT(Tasks[[#This Row],[_IsLeaf]]=1),Tasks[[#This Row],[_Res1Row]]=0),0,N(Tasks[[#This Row],[_Days]])*HoursPerDay*IF(Tasks[[#This Row],[_Units1]]="",DefaultUnits,Tasks[[#This Row],[_Units1]]))</f>
        <v>0</v>
      </c>
      <c r="EJ110" s="42" t="n">
        <f aca="false">Tasks[[#This Row],[_LeafWork]]+Tasks[[#This Row],[_Res2Work]]+Tasks[[#This Row],[_Res3Work]]+Tasks[[#This Row],[_Res4Work]]</f>
        <v>0</v>
      </c>
      <c r="EK11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0" s="42" t="n">
        <f aca="false">IF(NOT(Tasks[[#This Row],[_IsLeaf]]=1),0,MAX(_xlfn.MAXIFS(Tasks[_Row],Tasks[_Pred1UID],Tasks[[#This Row],[UID]]),_xlfn.MAXIFS(Tasks[_Row],Tasks[_Pred2UID],Tasks[[#This Row],[UID]]),_xlfn.MAXIFS(Tasks[_Row],Tasks[_Pred3UID],Tasks[[#This Row],[UID]]),_xlfn.MAXIFS(Tasks[_Row],Tasks[_Pred4UID],Tasks[[#This Row],[UID]])))</f>
        <v>0</v>
      </c>
      <c r="ET11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0" s="89" t="str">
        <f aca="false">IF(NOT(Tasks[[#This Row],[_IsLeaf]]=1),"",IF(N(Tasks[[#This Row],[_Days]])&lt;=0,Tasks[[#This Row],[_LeafLateFinish]],WORKDAY.INTL(Tasks[[#This Row],[_LeafLateFinish]],-(Tasks[[#This Row],[_Days]]-1),WorkWeek,Holidays)))</f>
        <v/>
      </c>
      <c r="EW11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0" s="88" t="b">
        <f aca="false">AND(Tasks[[#This Row],[_IsLeaf]]=1,Tasks[[#This Row],[_LeafProgress]]&lt;1,N(Tasks[[#This Row],[_LeafTotalSlack]])&lt;=CriticalSlackDays)</f>
        <v>0</v>
      </c>
      <c r="EY110" s="42" t="n">
        <f aca="false">IF(AND(Tasks[[#This Row],[_IsLeaf]]=1,Tasks[[#This Row],[_ConstraintCode]]=1,Tasks[[#This Row],[Mode]]&lt;&gt;"Manual",N(Tasks[[#This Row],[Actual Start]])=0),MAX(0,N(Tasks[[#This Row],[Free Slack]])),0)</f>
        <v>0</v>
      </c>
      <c r="EZ110" s="89" t="str">
        <f aca="false">IF(NOT(Tasks[[#This Row],[_IsLeaf]]=1),"",IF(Tasks[[#This Row],[_AlapShift]]=0,Tasks[[#This Row],[_LeafCalcStart]],WORKDAY.INTL(Tasks[[#This Row],[_LeafCalcStart]],Tasks[[#This Row],[_AlapShift]],WorkWeek,Holidays)))</f>
        <v/>
      </c>
      <c r="FA110" s="89" t="str">
        <f aca="false">IF(NOT(Tasks[[#This Row],[_IsLeaf]]=1),"",IF(Tasks[[#This Row],[_AlapShift]]=0,Tasks[[#This Row],[_LeafCalcFinish]],WORKDAY.INTL(Tasks[[#This Row],[_LeafCalcFinish]],Tasks[[#This Row],[_AlapShift]],WorkWeek,Holidays)))</f>
        <v/>
      </c>
      <c r="FB110" s="89" t="str">
        <f aca="false">IF(NOT(Tasks[[#This Row],[_IsLeaf]]=1),"",IF(Tasks[[#This Row],[_AlapShift]]=0,Tasks[[#This Row],[_LeafFcstStart]],WORKDAY.INTL(Tasks[[#This Row],[_LeafFcstStart]],Tasks[[#This Row],[_AlapShift]],WorkWeek,Holidays)))</f>
        <v/>
      </c>
      <c r="FC110" s="89" t="str">
        <f aca="false">IF(NOT(Tasks[[#This Row],[_IsLeaf]]=1),"",IF(Tasks[[#This Row],[_AlapShift]]=0,Tasks[[#This Row],[_LeafFcstFinish]],WORKDAY.INTL(Tasks[[#This Row],[_LeafFcstFinish]],Tasks[[#This Row],[_AlapShift]],WorkWeek,Holidays)))</f>
        <v/>
      </c>
      <c r="FD110" s="89" t="str">
        <f aca="false">IF(Tasks[[#This Row],[Task Name]]="","",IF(Tasks[[#This Row],[_IsSummary]],MIN(INDEX(Tasks[_ShownCalcStart],Tasks[[#This Row],[_Row]]+1):INDEX(Tasks[_ShownCalcStart],Tasks[[#This Row],[_Row]]+Tasks[[#This Row],[_Descendants]])),Tasks[[#This Row],[_ShownCalcStart]]))</f>
        <v/>
      </c>
      <c r="FE110" s="89" t="str">
        <f aca="false">IF(Tasks[[#This Row],[Task Name]]="","",IF(Tasks[[#This Row],[_IsSummary]],MAX(INDEX(Tasks[_ShownCalcFinish],Tasks[[#This Row],[_Row]]+1):INDEX(Tasks[_ShownCalcFinish],Tasks[[#This Row],[_Row]]+Tasks[[#This Row],[_Descendants]])),Tasks[[#This Row],[_ShownCalcFinish]]))</f>
        <v/>
      </c>
      <c r="FF11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0" s="42" t="n">
        <f aca="false">IF(AND(Tasks[[#This Row],[_IsLeaf]]=1,Tasks[[#This Row],[_LeafTotalWork]]&gt;0),NETWORKDAYS.INTL(ProjectStart,Tasks[[#This Row],[_ShownFcstStart]],WorkWeek,Holidays),0)</f>
        <v>0</v>
      </c>
      <c r="FS110" s="42" t="n">
        <f aca="false">IF(AND(Tasks[[#This Row],[_IsLeaf]]=1,Tasks[[#This Row],[_LeafTotalWork]]&gt;0),MAX(Tasks[[#This Row],[_StartWorkday]],NETWORKDAYS.INTL(ProjectStart,Tasks[[#This Row],[_ShownFcstFinish]],WorkWeek,Holidays)),0)</f>
        <v>0</v>
      </c>
      <c r="FT110" s="42" t="n">
        <f aca="false">IF(AND(Tasks[[#This Row],[_IsLeaf]]=1,Tasks[[#This Row],[_LeafTotalWork]]&gt;0),Tasks[[#This Row],[_LeafWork]]/(Tasks[[#This Row],[_FinishWorkday]]-Tasks[[#This Row],[_StartWorkday]]+1),0)</f>
        <v>0</v>
      </c>
      <c r="FU110" s="42" t="n">
        <f aca="false">Tasks[[#This Row],[_WorkPerWorkday]]*(Tasks[[#This Row],[_StartWorkday]]-1)</f>
        <v>-0</v>
      </c>
      <c r="FV110" s="42" t="n">
        <f aca="false">IF(Tasks[[#This Row],[_IsLeaf]]=1,MAX(N(Tasks[[#This Row],[_Days]]),0.1),0)</f>
        <v>0</v>
      </c>
      <c r="FW110" s="42" t="n">
        <f aca="false">Tasks[[#This Row],[_WeightDur]]*Tasks[[#This Row],[_LeafProgress]]</f>
        <v>0</v>
      </c>
      <c r="FX110" s="42" t="n">
        <f aca="false">Tasks[[#This Row],[_WeightDur]]*Tasks[[#This Row],[_PlannedPct]]</f>
        <v>0</v>
      </c>
      <c r="FY11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0" s="42" t="str">
        <f aca="false">IF(AND(Tasks[[#This Row],[_IsLeaf]]=1,N(Tasks[[#This Row],[_Days]])=0,Tasks[[#This Row],[_LeafProgress]]&lt;1),Tasks[[#This Row],[_ShownFcstFinish]]+Tasks[[#This Row],[_Row]]/100000,"")</f>
        <v/>
      </c>
      <c r="GA11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0" s="42" t="str">
        <f aca="false">IF(Tasks[[#This Row],[Task Name]]="","",LEFT(Tasks[[#This Row],[WBS]],FIND(".",Tasks[[#This Row],[WBS]]&amp;".")-1))</f>
        <v/>
      </c>
      <c r="GC110" s="42" t="str">
        <f aca="false">IF(AND(Tasks[[#This Row],[Task Name]]&lt;&gt;"",Tasks[[#This Row],[_Level]]=1),Tasks[[#This Row],[_Row]],"")</f>
        <v/>
      </c>
      <c r="GD110" s="42" t="str">
        <f aca="false">IF(AND(Tasks[[#This Row],[_IsLeaf]]=1,N(Tasks[[#This Row],[_Days]])=0),Tasks[[#This Row],[Planned Finish]]+Tasks[[#This Row],[_Row]]/100000,"")</f>
        <v/>
      </c>
      <c r="GE110" s="42" t="str">
        <f aca="false">IF(AND(Tasks[[#This Row],[_IsLeaf]]=1,Tasks[[#This Row],[_LeafProgress]]&lt;1,OR(N(Tasks[[#This Row],[Finish Var]])&gt;0,Tasks[[#This Row],[Status]]="Late Start")),MAX(0,Tasks[[#This Row],[Finish Var]])+1-Tasks[[#This Row],[_Row]]/1000000,"")</f>
        <v/>
      </c>
      <c r="GF110" s="42" t="str">
        <f aca="false">IF(AND(Tasks[[#This Row],[_IsLeaf]]=1,N(Tasks[[#This Row],[Actual Start]])=0,Tasks[[#This Row],[_ShownFcstStart]]&gt;=StatusDate,Tasks[[#This Row],[_ShownFcstStart]]&lt;=LookaheadEnd),Tasks[[#This Row],[_ShownFcstStart]]+Tasks[[#This Row],[_Row]]/100000,"")</f>
        <v/>
      </c>
      <c r="GG110" s="42" t="str">
        <f aca="false">IF(AND(Tasks[[#This Row],[_IsLeaf]]=1,Tasks[[#This Row],[_LeafProgress]]&lt;1,Tasks[[#This Row],[_ShownFcstFinish]]&gt;=StatusDate,Tasks[[#This Row],[_ShownFcstFinish]]&lt;=LookaheadEnd),Tasks[[#This Row],[_ShownFcstFinish]]+Tasks[[#This Row],[_Row]]/100000,"")</f>
        <v/>
      </c>
      <c r="GH110" s="42" t="str">
        <f aca="false">IF(Tasks[[#This Row],[_LeafCritical]],Tasks[[#This Row],[_ShownFcstStart]]+Tasks[[#This Row],[_Row]]/100000,"")</f>
        <v/>
      </c>
      <c r="GI110" s="42" t="n">
        <f aca="false">Tasks[[#This Row],[_LeafWork]]*Tasks[[#This Row],[_LeafProgress]]</f>
        <v>0</v>
      </c>
      <c r="GJ110" s="89" t="str">
        <f aca="false">IF(AND(Tasks[[#This Row],[_IsLeaf]]=1,Tasks[[#This Row],[_LeafProgress]]&gt;=1),IF(N(Tasks[[#This Row],[Actual Finish]])&gt;0,Tasks[[#This Row],[Actual Finish]],Tasks[[#This Row],[_ShownFcstFinish]]),"")</f>
        <v/>
      </c>
      <c r="GK110" s="42" t="n">
        <f aca="false">IF(Tasks[[#This Row],[_IsLeaf]]=1,N(Tasks[[#This Row],[Story Points]]),0)</f>
        <v>0</v>
      </c>
      <c r="GL110" s="42" t="str">
        <f aca="false">""</f>
        <v/>
      </c>
      <c r="GM110" s="88" t="b">
        <f aca="false">IF(Tasks[[#This Row],[Task Name]]="",FALSE(),AND(Tasks[[#This Row],[_IsLeaf]]=1,N(Tasks[[#This Row],[_Days]])=0))</f>
        <v>0</v>
      </c>
      <c r="GN110" s="89" t="n">
        <f aca="false">IF(Tasks[[#This Row],[Task Name]]="",0,IF(AND(Tasks[[#This Row],[_IsLeaf]]=1,NOT(Tasks[[#This Row],[_IsMilestone]]),N(Tasks[[#This Row],[Progress]])&gt;0),Tasks[[#This Row],[Start]],0))</f>
        <v>0</v>
      </c>
      <c r="GO110" s="89" t="n">
        <f aca="false">IF(Tasks[[#This Row],[_DoneFrom]]=0,0,IF(Tasks[[#This Row],[Progress]]&gt;=1,Tasks[[#This Row],[Finish]],MAX(Tasks[[#This Row],[_DoneFrom]],Tasks[[#This Row],[Start]]+ROUND((Tasks[[#This Row],[Finish]]-Tasks[[#This Row],[Start]]+1)*Tasks[[#This Row],[Progress]],0)-1)))</f>
        <v>0</v>
      </c>
      <c r="GP110" s="89" t="n">
        <f aca="false">IF(Tasks[[#This Row],[Task Name]]="",0,IF(OR(NOT(Tasks[[#This Row],[_IsLeaf]]=1),Tasks[[#This Row],[_IsMilestone]],N(Tasks[[#This Row],[Progress]])&gt;=1),0,IF(Tasks[[#This Row],[_DoneTo]]&gt;0,Tasks[[#This Row],[_DoneTo]]+1,Tasks[[#This Row],[Start]])))</f>
        <v>0</v>
      </c>
      <c r="GQ110" s="89" t="n">
        <f aca="false">IF(Tasks[[#This Row],[_RemFrom]]=0,0,Tasks[[#This Row],[Finish]])</f>
        <v>0</v>
      </c>
      <c r="GR110" s="88" t="b">
        <f aca="false">IF(Tasks[[#This Row],[Task Name]]="",FALSE(),OR(NOT(BaselineSet),N(Tasks[[#This Row],[Baseline Start]])&gt;0))</f>
        <v>0</v>
      </c>
      <c r="GS11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0" s="90" t="str">
        <f aca="false">IF(Tasks[[#This Row],[_IsLeaf]]=1,Tasks[[#This Row],[_Row]],"")</f>
        <v/>
      </c>
      <c r="GW110" s="90" t="str">
        <f aca="false">IFERROR(INDEX(Tasks[UID],SMALL(Tasks[_PickKey],Tasks[[#This Row],[_Row]]))&amp;" "&amp;INDEX(Tasks[Task Name],SMALL(Tasks[_PickKey],Tasks[[#This Row],[_Row]])),"")</f>
        <v/>
      </c>
      <c r="GX110" s="42" t="str">
        <f aca="false">IF(Tasks[[#This Row],[Task Name]]="","",IF(Tasks[[#This Row],[_IsSummary]],NETWORKDAYS.INTL(Tasks[[#This Row],[Start]],Tasks[[#This Row],[Finish]],WorkWeek,Holidays),N(Tasks[[#This Row],[_Days]])))</f>
        <v/>
      </c>
    </row>
    <row r="111" customFormat="false" ht="15" hidden="false" customHeight="false" outlineLevel="0" collapsed="false">
      <c r="A111" s="21" t="str">
        <f aca="false">IF(Tasks[[#This Row],[Task Name]]="","",COUNTA(Tasks[[#Headers],[Task Name]]:Tasks[[#This Row],[Task Name]])-1)</f>
        <v/>
      </c>
      <c r="B111" s="22" t="n">
        <v>119</v>
      </c>
      <c r="C111" s="22"/>
      <c r="D111" s="23"/>
      <c r="E111" s="22"/>
      <c r="F111" s="23"/>
      <c r="G111" s="22"/>
      <c r="H111" s="22"/>
      <c r="I111" s="23"/>
      <c r="J111" s="22"/>
      <c r="K111" s="22"/>
      <c r="L111" s="23"/>
      <c r="M111" s="22"/>
      <c r="N111" s="22"/>
      <c r="O111" s="23"/>
      <c r="P111" s="22"/>
      <c r="Q111" s="22"/>
      <c r="R111" s="23"/>
      <c r="S111" s="23"/>
      <c r="T111" s="83"/>
      <c r="U111" s="23"/>
      <c r="V111" s="83"/>
      <c r="W111" s="23"/>
      <c r="X111" s="83"/>
      <c r="Y111" s="23"/>
      <c r="Z111" s="83"/>
      <c r="AA111" s="23"/>
      <c r="AB111" s="23"/>
      <c r="AC111" s="7"/>
      <c r="AD111" s="7"/>
      <c r="AE111" s="62" t="str">
        <f aca="false">IF(Tasks[[#This Row],[Task Name]]="","",IF(Tasks[[#This Row],[_IsSummary]],MIN(INDEX(Tasks[_ShownFcstStart],Tasks[[#This Row],[_Row]]+1):INDEX(Tasks[_ShownFcstStart],Tasks[[#This Row],[_Row]]+Tasks[[#This Row],[_Descendants]])),Tasks[[#This Row],[_ShownFcstStart]]))</f>
        <v/>
      </c>
      <c r="AF111" s="62" t="str">
        <f aca="false">IF(Tasks[[#This Row],[Task Name]]="","",IF(Tasks[[#This Row],[_IsSummary]],MAX(INDEX(Tasks[_ShownFcstFinish],Tasks[[#This Row],[_Row]]+1):INDEX(Tasks[_ShownFcstFinish],Tasks[[#This Row],[_Row]]+Tasks[[#This Row],[_Descendants]])),Tasks[[#This Row],[_ShownFcstFinish]]))</f>
        <v/>
      </c>
      <c r="AG111" s="21" t="str">
        <f aca="false">""</f>
        <v/>
      </c>
      <c r="AH111" s="23"/>
      <c r="AI11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1" s="7"/>
      <c r="AK111" s="22"/>
      <c r="AL111" s="23"/>
      <c r="AM111" s="7"/>
      <c r="AN111" s="46" t="str">
        <f aca="false">IF(Tasks[[#This Row],[Task Name]]="","",IF(Tasks[[#This Row],[Finish]]&gt;=Tasks[[#This Row],[Planned Finish]],NETWORKDAYS.INTL(Tasks[[#This Row],[Planned Finish]],Tasks[[#This Row],[Finish]],WorkWeek,Holidays)-1,1-NETWORKDAYS.INTL(Tasks[[#This Row],[Finish]],Tasks[[#This Row],[Planned Finish]],WorkWeek,Holidays)))</f>
        <v/>
      </c>
      <c r="AO111" s="21" t="str">
        <f aca="false">IF(Tasks[[#This Row],[Task Name]]="","",IF(Tasks[[#This Row],[Progress]]&gt;=1,"Complete",IF(OR(N(Tasks[[#This Row],[Actual Start]])&gt;0,Tasks[[#This Row],[Progress]]&gt;0),IF(Tasks[[#This Row],[Finish Var]]&gt;0,"Behind","In Progress"),IF(Tasks[[#This Row],[Planned Start]]&lt;StatusDate,"Late Start","Not Started"))))</f>
        <v/>
      </c>
      <c r="AP111" s="21" t="str">
        <f aca="false">IF(Tasks[[#This Row],[Task Name]]="","",IF(IF(Tasks[[#This Row],[_IsSummary]],COUNTIF(INDEX(Tasks[_LeafCritical],Tasks[[#This Row],[_Row]]+1):INDEX(Tasks[_LeafCritical],Tasks[[#This Row],[_Row]]+Tasks[[#This Row],[_Descendants]]),TRUE())&gt;0,Tasks[[#This Row],[_LeafCritical]]),"Yes",""))</f>
        <v/>
      </c>
      <c r="AQ111" s="62" t="str">
        <f aca="false">IF(Tasks[[#This Row],[Task Name]]="","",IF(N(Tasks[[#This Row],[Baseline Start]])&gt;0,Tasks[[#This Row],[Baseline Start]],Tasks[[#This Row],[_CalcStart]]))</f>
        <v/>
      </c>
      <c r="AR111" s="62" t="str">
        <f aca="false">IF(Tasks[[#This Row],[Task Name]]="","",IF(N(Tasks[[#This Row],[Baseline Finish]])&gt;0,Tasks[[#This Row],[Baseline Finish]],Tasks[[#This Row],[_CalcFinish]]))</f>
        <v/>
      </c>
      <c r="AS111" s="46" t="str">
        <f aca="false">IF(Tasks[[#This Row],[Task Name]]="","",IF(Tasks[[#This Row],[Start]]&gt;=Tasks[[#This Row],[Planned Start]],NETWORKDAYS.INTL(Tasks[[#This Row],[Planned Start]],Tasks[[#This Row],[Start]],WorkWeek,Holidays)-1,1-NETWORKDAYS.INTL(Tasks[[#This Row],[Start]],Tasks[[#This Row],[Planned Start]],WorkWeek,Holidays)))</f>
        <v/>
      </c>
      <c r="AT111" s="62" t="str">
        <f aca="false">IF(Tasks[[#This Row],[Task Name]]="","",IF(Tasks[[#This Row],[_IsSummary]],MIN(INDEX(Tasks[_LeafLateStart],Tasks[[#This Row],[_Row]]+1):INDEX(Tasks[_LeafLateStart],Tasks[[#This Row],[_Row]]+Tasks[[#This Row],[_Descendants]])),Tasks[[#This Row],[_LeafLateStart]]))</f>
        <v/>
      </c>
      <c r="AU111" s="62" t="str">
        <f aca="false">IF(Tasks[[#This Row],[Task Name]]="","",IF(Tasks[[#This Row],[_IsSummary]],MAX(INDEX(Tasks[_LeafLateFinish],Tasks[[#This Row],[_Row]]+1):INDEX(Tasks[_LeafLateFinish],Tasks[[#This Row],[_Row]]+Tasks[[#This Row],[_Descendants]])),Tasks[[#This Row],[_LeafLateFinish]]))</f>
        <v/>
      </c>
      <c r="AV111" s="46" t="str">
        <f aca="false">IF(Tasks[[#This Row],[Task Name]]="","",IF(Tasks[[#This Row],[_IsSummary]],MIN(INDEX(Tasks[_LeafTotalSlack],Tasks[[#This Row],[_Row]]+1):INDEX(Tasks[_LeafTotalSlack],Tasks[[#This Row],[_Row]]+Tasks[[#This Row],[_Descendants]])),Tasks[[#This Row],[_LeafTotalSlack]]))</f>
        <v/>
      </c>
      <c r="AW11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4"/>
      <c r="BA11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t="str">
        <f aca="false">IF(Tasks[[#This Row],[Task Name]]="","",IF(Tasks[[#This Row],[_Level]]&lt;=OutlineShowLevel,"Yes","No"))</f>
        <v/>
      </c>
      <c r="BE111" s="85" t="str">
        <f aca="false">IF(Tasks[[#This Row],[Task Name]]="","",IF(Tasks[[#This Row],[_IsSummary]],SUM(INDEX(Tasks[_LeafTotalWork],Tasks[[#This Row],[_Row]]+1):INDEX(Tasks[_LeafTotalWork],Tasks[[#This Row],[_Row]]+Tasks[[#This Row],[_Descendants]])),Tasks[[#This Row],[_LeafTotalWork]]))</f>
        <v/>
      </c>
      <c r="BF111" s="23"/>
      <c r="BG11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t="str">
        <f aca="false">""</f>
        <v/>
      </c>
      <c r="BI111" s="86"/>
      <c r="BJ111" s="22"/>
      <c r="BK111" s="46" t="str">
        <f aca="false">IF(OR(Tasks[[#This Row],[Task Name]]="",Tasks[[#This Row],[Baseline Duration]]=""),"",Tasks[[#This Row],[_SpanDays]]-N(Tasks[[#This Row],[Baseline Duration]]))</f>
        <v/>
      </c>
      <c r="BL111" s="85" t="str">
        <f aca="false">IF(OR(Tasks[[#This Row],[Task Name]]="",Tasks[[#This Row],[Baseline Work]]=""),"",Tasks[[#This Row],[Work]]-N(Tasks[[#This Row],[Baseline Work]]))</f>
        <v/>
      </c>
      <c r="BM111" s="62" t="str">
        <f aca="false">IF(Tasks[[#This Row],[Task Name]]="","",IF(OR(TakeBaseline="Yes",N(Tasks[[#This Row],[Baseline Start]])=0),Tasks[[#This Row],[Start]],Tasks[[#This Row],[Baseline Start]]))</f>
        <v/>
      </c>
      <c r="BN111" s="62" t="str">
        <f aca="false">IF(Tasks[[#This Row],[Task Name]]="","",IF(OR(TakeBaseline="Yes",N(Tasks[[#This Row],[Baseline Finish]])=0),Tasks[[#This Row],[Finish]],Tasks[[#This Row],[Baseline Finish]]))</f>
        <v/>
      </c>
      <c r="BO111" s="21" t="str">
        <f aca="false">IF(Tasks[[#This Row],[Task Name]]="","",IF(OR(TakeBaseline="Yes",N(Tasks[[#This Row],[Baseline Duration]])=0),Tasks[[#This Row],[_SpanDays]],Tasks[[#This Row],[Baseline Duration]]))</f>
        <v/>
      </c>
      <c r="BP111" s="85" t="str">
        <f aca="false">IF(Tasks[[#This Row],[Task Name]]="","",IF(OR(TakeBaseline="Yes",N(Tasks[[#This Row],[Baseline Work]])=0),Tasks[[#This Row],[Work]],Tasks[[#This Row],[Baseline Work]]))</f>
        <v/>
      </c>
      <c r="BQ111" s="7"/>
      <c r="BR111" s="7"/>
      <c r="BS111" s="22"/>
      <c r="BT111" s="87"/>
      <c r="BU111" s="42" t="str">
        <f aca="false">IF(Tasks[[#This Row],[Task Name]]="","",MAX(1,N(Tasks[[#This Row],[Level]])))</f>
        <v/>
      </c>
      <c r="BV111" s="42" t="n">
        <f aca="false">ROW()-ROW(Tasks[[#Headers],[ID]])</f>
        <v>106</v>
      </c>
      <c r="BW111" s="42" t="n">
        <f aca="false">IF(OR(Tasks[[#This Row],[Task Name]]="",Tasks[[#This Row],[_Level]]&lt;=1),0,IFERROR(LOOKUP(2,1/(Tasks[[#Headers],[_Level]]:Tasks[[#This Row],[_Level]]=Tasks[[#This Row],[_Level]]-1),ROW(Tasks[[#Headers],[_Level]]:Tasks[[#This Row],[_Level]])),0))</f>
        <v>0</v>
      </c>
      <c r="BX111" s="42" t="n">
        <f aca="false">IFERROR(N(INDEX(Tasks[_Level],Tasks[[#This Row],[_Row]]+1)),0)</f>
        <v>0</v>
      </c>
      <c r="BY111" s="88" t="b">
        <f aca="false">AND(Tasks[[#This Row],[Task Name]]&lt;&gt;"",Tasks[[#This Row],[_NextLevel]]&gt;Tasks[[#This Row],[_Level]])</f>
        <v>0</v>
      </c>
      <c r="BZ111" s="42" t="n">
        <f aca="false">IF(Tasks[[#This Row],[_IsSummary]],COUNTIF(Tasks[WBS],Tasks[[#This Row],[WBS]]&amp;".*"),0)</f>
        <v>0</v>
      </c>
      <c r="CA111" s="42" t="n">
        <f aca="false">IF(AND(Tasks[[#This Row],[Task Name]]&lt;&gt;"",NOT(Tasks[[#This Row],[_IsSummary]])),1,0)</f>
        <v>0</v>
      </c>
      <c r="CB111" s="42" t="n">
        <f aca="false">IF(N(Tasks[[#This Row],[_Pred1UID]])=0,0,IFERROR(MATCH(Tasks[[#This Row],[_Pred1UID]],Tasks[UID],0),-1))</f>
        <v>0</v>
      </c>
      <c r="CC111" s="42" t="n">
        <f aca="false">IF(N(Tasks[[#This Row],[_Pred2UID]])=0,0,IFERROR(MATCH(Tasks[[#This Row],[_Pred2UID]],Tasks[UID],0),-1))</f>
        <v>0</v>
      </c>
      <c r="CD111" s="42" t="n">
        <f aca="false">IF(N(Tasks[[#This Row],[_Pred3UID]])=0,0,IFERROR(MATCH(Tasks[[#This Row],[_Pred3UID]],Tasks[UID],0),-1))</f>
        <v>0</v>
      </c>
      <c r="CE111" s="42" t="n">
        <f aca="false">IF(N(Tasks[[#This Row],[_Pred4UID]])=0,0,IFERROR(MATCH(Tasks[[#This Row],[_Pred4UID]],Tasks[UID],0),-1))</f>
        <v>0</v>
      </c>
      <c r="CF11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1" s="89" t="n">
        <f aca="false">IF(OR(Tasks[[#This Row],[_ConstraintCode]]=2,Tasks[[#This Row],[_ConstraintCode]]=3,Tasks[[#This Row],[_ConstraintCode]]=4,Tasks[[#This Row],[_ConstraintCode]]=6),Tasks[[#This Row],[_ConstraintStart]],0)</f>
        <v>0</v>
      </c>
      <c r="CI111" s="89" t="n">
        <f aca="false">IF(OR(Tasks[[#This Row],[_ConstraintCode]]=2,Tasks[[#This Row],[_ConstraintCode]]=3,Tasks[[#This Row],[_ConstraintCode]]=5,Tasks[[#This Row],[_ConstraintCode]]=7),Tasks[[#This Row],[_ConstraintStart]],2958465)</f>
        <v>2958465</v>
      </c>
      <c r="CJ11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1" s="89" t="str">
        <f aca="false">IF(NOT(Tasks[[#This Row],[_IsLeaf]]=1),"",IF(N(Tasks[[#This Row],[_Days]])&lt;=0,Tasks[[#This Row],[_LeafCalcStart]],WORKDAY.INTL(Tasks[[#This Row],[_LeafCalcStart]],Tasks[[#This Row],[_Days]]-1,WorkWeek,Holidays)))</f>
        <v/>
      </c>
      <c r="CL11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1" s="42" t="str">
        <f aca="false">IF(Tasks[[#This Row],[_Predecessors]]="","",TRIM(MID(SUBSTITUTE(SUBSTITUTE(SUBSTITUTE(UPPER(Tasks[[#This Row],[_Predecessors]]),";",",")," ",""),",",REPT(" ",99)),1,99)))</f>
        <v/>
      </c>
      <c r="CO111" s="42" t="str">
        <f aca="false">IF(Tasks[[#This Row],[_Pred1Text]]="","",IFERROR(VALUE(LEFT(Tasks[[#This Row],[_Pred1Text]],MIN(FIND("F",Tasks[[#This Row],[_Pred1Text]]&amp;"F"),FIND("S",Tasks[[#This Row],[_Pred1Text]]&amp;"S"),FIND("+",Tasks[[#This Row],[_Pred1Text]]&amp;"+"),FIND("-",Tasks[[#This Row],[_Pred1Text]]&amp;"-"))-1)),""))</f>
        <v/>
      </c>
      <c r="CP11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1" s="42" t="str">
        <f aca="false">IF(Tasks[[#This Row],[_Pred1Text]]="","",TRIM(MID(SUBSTITUTE(SUBSTITUTE(SUBSTITUTE(UPPER(Tasks[[#This Row],[_Predecessors]]),";",",")," ",""),",",REPT(" ",99)),100,99)))</f>
        <v/>
      </c>
      <c r="CS111" s="42" t="str">
        <f aca="false">IF(Tasks[[#This Row],[_Pred2Text]]="","",IFERROR(VALUE(LEFT(Tasks[[#This Row],[_Pred2Text]],MIN(FIND("F",Tasks[[#This Row],[_Pred2Text]]&amp;"F"),FIND("S",Tasks[[#This Row],[_Pred2Text]]&amp;"S"),FIND("+",Tasks[[#This Row],[_Pred2Text]]&amp;"+"),FIND("-",Tasks[[#This Row],[_Pred2Text]]&amp;"-"))-1)),""))</f>
        <v/>
      </c>
      <c r="CT11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1" s="42" t="str">
        <f aca="false">IF(Tasks[[#This Row],[_Pred2Text]]="","",TRIM(MID(SUBSTITUTE(SUBSTITUTE(SUBSTITUTE(UPPER(Tasks[[#This Row],[_Predecessors]]),";",",")," ",""),",",REPT(" ",99)),199,99)))</f>
        <v/>
      </c>
      <c r="CW111" s="42" t="str">
        <f aca="false">IF(Tasks[[#This Row],[_Pred3Text]]="","",IFERROR(VALUE(LEFT(Tasks[[#This Row],[_Pred3Text]],MIN(FIND("F",Tasks[[#This Row],[_Pred3Text]]&amp;"F"),FIND("S",Tasks[[#This Row],[_Pred3Text]]&amp;"S"),FIND("+",Tasks[[#This Row],[_Pred3Text]]&amp;"+"),FIND("-",Tasks[[#This Row],[_Pred3Text]]&amp;"-"))-1)),""))</f>
        <v/>
      </c>
      <c r="CX11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1" s="42" t="str">
        <f aca="false">IF(Tasks[[#This Row],[_Pred3Text]]="","",TRIM(MID(SUBSTITUTE(SUBSTITUTE(SUBSTITUTE(UPPER(Tasks[[#This Row],[_Predecessors]]),";",",")," ",""),",",REPT(" ",99)),298,99)))</f>
        <v/>
      </c>
      <c r="DA111" s="42" t="str">
        <f aca="false">IF(Tasks[[#This Row],[_Pred4Text]]="","",IFERROR(VALUE(LEFT(Tasks[[#This Row],[_Pred4Text]],MIN(FIND("F",Tasks[[#This Row],[_Pred4Text]]&amp;"F"),FIND("S",Tasks[[#This Row],[_Pred4Text]]&amp;"S"),FIND("+",Tasks[[#This Row],[_Pred4Text]]&amp;"+"),FIND("-",Tasks[[#This Row],[_Pred4Text]]&amp;"-"))-1)),""))</f>
        <v/>
      </c>
      <c r="DB11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1" s="42" t="str">
        <f aca="false">IF(OR(Tasks[[#This Row],[Task Name]]="",Tasks[[#This Row],[_Resources]]=""),"",TRIM(MID(SUBSTITUTE(Tasks[[#This Row],[_Resources]],",",REPT(" ",99)),1,99)))</f>
        <v/>
      </c>
      <c r="DE111" s="42" t="str">
        <f aca="false">IF(Tasks[[#This Row],[_Res1Text]]="","",TRIM(MID(SUBSTITUTE(Tasks[[#This Row],[_Resources]],",",REPT(" ",99)),100,99)))</f>
        <v/>
      </c>
      <c r="DF111" s="42" t="str">
        <f aca="false">IF(Tasks[[#This Row],[_Res2Text]]="","",TRIM(MID(SUBSTITUTE(Tasks[[#This Row],[_Resources]],",",REPT(" ",99)),199,99)))</f>
        <v/>
      </c>
      <c r="DG111" s="42" t="str">
        <f aca="false">IF(Tasks[[#This Row],[_Res3Text]]="","",TRIM(MID(SUBSTITUTE(Tasks[[#This Row],[_Resources]],",",REPT(" ",99)),298,99)))</f>
        <v/>
      </c>
      <c r="DH111" s="42" t="n">
        <f aca="false">IF(Tasks[[#This Row],[_Res1Text]]="",0,IFERROR(MATCH(TRIM(LEFT(Tasks[[#This Row],[_Res1Text]],FIND("[",Tasks[[#This Row],[_Res1Text]]&amp;"[")-1)),res_Name,0),IFERROR(MATCH(TRIM(LEFT(Tasks[[#This Row],[_Res1Text]],FIND("[",Tasks[[#This Row],[_Res1Text]]&amp;"[")-1)),res_Initials,0),0)))</f>
        <v>0</v>
      </c>
      <c r="DI111" s="42" t="n">
        <f aca="false">IF(Tasks[[#This Row],[_Res2Text]]="",0,IFERROR(MATCH(TRIM(LEFT(Tasks[[#This Row],[_Res2Text]],FIND("[",Tasks[[#This Row],[_Res2Text]]&amp;"[")-1)),res_Name,0),IFERROR(MATCH(TRIM(LEFT(Tasks[[#This Row],[_Res2Text]],FIND("[",Tasks[[#This Row],[_Res2Text]]&amp;"[")-1)),res_Initials,0),0)))</f>
        <v>0</v>
      </c>
      <c r="DJ111" s="42" t="n">
        <f aca="false">IF(Tasks[[#This Row],[_Res3Text]]="",0,IFERROR(MATCH(TRIM(LEFT(Tasks[[#This Row],[_Res3Text]],FIND("[",Tasks[[#This Row],[_Res3Text]]&amp;"[")-1)),res_Name,0),IFERROR(MATCH(TRIM(LEFT(Tasks[[#This Row],[_Res3Text]],FIND("[",Tasks[[#This Row],[_Res3Text]]&amp;"[")-1)),res_Initials,0),0)))</f>
        <v>0</v>
      </c>
      <c r="DK111" s="42" t="n">
        <f aca="false">IF(Tasks[[#This Row],[_Res4Text]]="",0,IFERROR(MATCH(TRIM(LEFT(Tasks[[#This Row],[_Res4Text]],FIND("[",Tasks[[#This Row],[_Res4Text]]&amp;"[")-1)),res_Name,0),IFERROR(MATCH(TRIM(LEFT(Tasks[[#This Row],[_Res4Text]],FIND("[",Tasks[[#This Row],[_Res4Text]]&amp;"[")-1)),res_Initials,0),0)))</f>
        <v>0</v>
      </c>
      <c r="DL111" s="42" t="str">
        <f aca="false">IF(Tasks[[#This Row],[_Res1Text]]="","",IF(Tasks[[#This Row],[_Res1Row]]&gt;0,INDEX(res_Name,Tasks[[#This Row],[_Res1Row]]),TRIM(LEFT(Tasks[[#This Row],[_Res1Text]],FIND("[",Tasks[[#This Row],[_Res1Text]]&amp;"[")-1))))</f>
        <v/>
      </c>
      <c r="DM11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1" s="42" t="n">
        <f aca="false">IF(NOT(Tasks[[#This Row],[_IsLeaf]]=1),0,(Tasks[[#This Row],[_Resource1]]&lt;&gt;"")+(Tasks[[#This Row],[_Res2]]&lt;&gt;"")+(Tasks[[#This Row],[_Res3]]&lt;&gt;"")+(Tasks[[#This Row],[_Res4]]&lt;&gt;""))</f>
        <v>0</v>
      </c>
      <c r="DO111" s="42" t="str">
        <f aca="false">IF(Tasks[[#This Row],[_Res2Text]]="","",IF(Tasks[[#This Row],[_Res2Row]]&gt;0,INDEX(res_Name,Tasks[[#This Row],[_Res2Row]]),TRIM(LEFT(Tasks[[#This Row],[_Res2Text]],FIND("[",Tasks[[#This Row],[_Res2Text]]&amp;"[")-1))))</f>
        <v/>
      </c>
      <c r="DP11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1" s="42" t="n">
        <f aca="false">IF(OR(NOT(Tasks[[#This Row],[_IsLeaf]]=1),Tasks[[#This Row],[_Res2Row]]=0),0,N(Tasks[[#This Row],[_Days]])*HoursPerDay*IF(Tasks[[#This Row],[_Res2Units]]="",DefaultUnits,Tasks[[#This Row],[_Res2Units]]))</f>
        <v>0</v>
      </c>
      <c r="DR111" s="42" t="n">
        <f aca="false">IF(AND(AND(Tasks[[#This Row],[_IsLeaf]]=1,Tasks[[#This Row],[_LeafTotalWork]]&gt;0),Tasks[[#This Row],[_Res2Work]]&gt;0),Tasks[[#This Row],[_Res2Work]]/(Tasks[[#This Row],[_FinishWorkday]]-Tasks[[#This Row],[_StartWorkday]]+1),0)</f>
        <v>0</v>
      </c>
      <c r="DS111" s="42" t="n">
        <f aca="false">Tasks[[#This Row],[_Res2WorkPerWD]]*MAX(0,Tasks[[#This Row],[_StartWorkday]]-1)</f>
        <v>0</v>
      </c>
      <c r="DT111" s="42" t="n">
        <f aca="false">Tasks[[#This Row],[_Res2Work]]*Tasks[[#This Row],[_LeafProgress]]</f>
        <v>0</v>
      </c>
      <c r="DU111" s="42" t="str">
        <f aca="false">IF(Tasks[[#This Row],[_Res3Text]]="","",IF(Tasks[[#This Row],[_Res3Row]]&gt;0,INDEX(res_Name,Tasks[[#This Row],[_Res3Row]]),TRIM(LEFT(Tasks[[#This Row],[_Res3Text]],FIND("[",Tasks[[#This Row],[_Res3Text]]&amp;"[")-1))))</f>
        <v/>
      </c>
      <c r="DV11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1" s="42" t="n">
        <f aca="false">IF(OR(NOT(Tasks[[#This Row],[_IsLeaf]]=1),Tasks[[#This Row],[_Res3Row]]=0),0,N(Tasks[[#This Row],[_Days]])*HoursPerDay*IF(Tasks[[#This Row],[_Res3Units]]="",DefaultUnits,Tasks[[#This Row],[_Res3Units]]))</f>
        <v>0</v>
      </c>
      <c r="DX111" s="42" t="n">
        <f aca="false">IF(AND(AND(Tasks[[#This Row],[_IsLeaf]]=1,Tasks[[#This Row],[_LeafTotalWork]]&gt;0),Tasks[[#This Row],[_Res3Work]]&gt;0),Tasks[[#This Row],[_Res3Work]]/(Tasks[[#This Row],[_FinishWorkday]]-Tasks[[#This Row],[_StartWorkday]]+1),0)</f>
        <v>0</v>
      </c>
      <c r="DY111" s="42" t="n">
        <f aca="false">Tasks[[#This Row],[_Res3WorkPerWD]]*MAX(0,Tasks[[#This Row],[_StartWorkday]]-1)</f>
        <v>0</v>
      </c>
      <c r="DZ111" s="42" t="n">
        <f aca="false">Tasks[[#This Row],[_Res3Work]]*Tasks[[#This Row],[_LeafProgress]]</f>
        <v>0</v>
      </c>
      <c r="EA111" s="42" t="str">
        <f aca="false">IF(Tasks[[#This Row],[_Res4Text]]="","",IF(Tasks[[#This Row],[_Res4Row]]&gt;0,INDEX(res_Name,Tasks[[#This Row],[_Res4Row]]),TRIM(LEFT(Tasks[[#This Row],[_Res4Text]],FIND("[",Tasks[[#This Row],[_Res4Text]]&amp;"[")-1))))</f>
        <v/>
      </c>
      <c r="EB11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1" s="42" t="n">
        <f aca="false">IF(OR(NOT(Tasks[[#This Row],[_IsLeaf]]=1),Tasks[[#This Row],[_Res4Row]]=0),0,N(Tasks[[#This Row],[_Days]])*HoursPerDay*IF(Tasks[[#This Row],[_Res4Units]]="",DefaultUnits,Tasks[[#This Row],[_Res4Units]]))</f>
        <v>0</v>
      </c>
      <c r="ED111" s="42" t="n">
        <f aca="false">IF(AND(AND(Tasks[[#This Row],[_IsLeaf]]=1,Tasks[[#This Row],[_LeafTotalWork]]&gt;0),Tasks[[#This Row],[_Res4Work]]&gt;0),Tasks[[#This Row],[_Res4Work]]/(Tasks[[#This Row],[_FinishWorkday]]-Tasks[[#This Row],[_StartWorkday]]+1),0)</f>
        <v>0</v>
      </c>
      <c r="EE111" s="42" t="n">
        <f aca="false">Tasks[[#This Row],[_Res4WorkPerWD]]*MAX(0,Tasks[[#This Row],[_StartWorkday]]-1)</f>
        <v>0</v>
      </c>
      <c r="EF111" s="42" t="n">
        <f aca="false">Tasks[[#This Row],[_Res4Work]]*Tasks[[#This Row],[_LeafProgress]]</f>
        <v>0</v>
      </c>
      <c r="EG111" s="42" t="n">
        <f aca="false">IF(ISNUMBER(Tasks[[#This Row],[% Complete]]),Tasks[[#This Row],[% Complete]],IF(Tasks[[#This Row],[Stage]]="",0,IFERROR(INDEX(stg_Pct,MATCH(Tasks[[#This Row],[Stage]],stg_Name,0)),0)))</f>
        <v>0</v>
      </c>
      <c r="EH111" s="42" t="n">
        <f aca="false">IF(NOT(Tasks[[#This Row],[_IsLeaf]]=1),0,IF(N(Tasks[[#This Row],[Actual Finish]])&gt;0,1,MIN(1,Tasks[[#This Row],[_Pct]])))</f>
        <v>0</v>
      </c>
      <c r="EI111" s="42" t="n">
        <f aca="false">IF(OR(NOT(Tasks[[#This Row],[_IsLeaf]]=1),Tasks[[#This Row],[_Res1Row]]=0),0,N(Tasks[[#This Row],[_Days]])*HoursPerDay*IF(Tasks[[#This Row],[_Units1]]="",DefaultUnits,Tasks[[#This Row],[_Units1]]))</f>
        <v>0</v>
      </c>
      <c r="EJ111" s="42" t="n">
        <f aca="false">Tasks[[#This Row],[_LeafWork]]+Tasks[[#This Row],[_Res2Work]]+Tasks[[#This Row],[_Res3Work]]+Tasks[[#This Row],[_Res4Work]]</f>
        <v>0</v>
      </c>
      <c r="EK11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1" s="42" t="n">
        <f aca="false">IF(NOT(Tasks[[#This Row],[_IsLeaf]]=1),0,MAX(_xlfn.MAXIFS(Tasks[_Row],Tasks[_Pred1UID],Tasks[[#This Row],[UID]]),_xlfn.MAXIFS(Tasks[_Row],Tasks[_Pred2UID],Tasks[[#This Row],[UID]]),_xlfn.MAXIFS(Tasks[_Row],Tasks[_Pred3UID],Tasks[[#This Row],[UID]]),_xlfn.MAXIFS(Tasks[_Row],Tasks[_Pred4UID],Tasks[[#This Row],[UID]])))</f>
        <v>0</v>
      </c>
      <c r="ET11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1" s="89" t="str">
        <f aca="false">IF(NOT(Tasks[[#This Row],[_IsLeaf]]=1),"",IF(N(Tasks[[#This Row],[_Days]])&lt;=0,Tasks[[#This Row],[_LeafLateFinish]],WORKDAY.INTL(Tasks[[#This Row],[_LeafLateFinish]],-(Tasks[[#This Row],[_Days]]-1),WorkWeek,Holidays)))</f>
        <v/>
      </c>
      <c r="EW11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1" s="88" t="b">
        <f aca="false">AND(Tasks[[#This Row],[_IsLeaf]]=1,Tasks[[#This Row],[_LeafProgress]]&lt;1,N(Tasks[[#This Row],[_LeafTotalSlack]])&lt;=CriticalSlackDays)</f>
        <v>0</v>
      </c>
      <c r="EY111" s="42" t="n">
        <f aca="false">IF(AND(Tasks[[#This Row],[_IsLeaf]]=1,Tasks[[#This Row],[_ConstraintCode]]=1,Tasks[[#This Row],[Mode]]&lt;&gt;"Manual",N(Tasks[[#This Row],[Actual Start]])=0),MAX(0,N(Tasks[[#This Row],[Free Slack]])),0)</f>
        <v>0</v>
      </c>
      <c r="EZ111" s="89" t="str">
        <f aca="false">IF(NOT(Tasks[[#This Row],[_IsLeaf]]=1),"",IF(Tasks[[#This Row],[_AlapShift]]=0,Tasks[[#This Row],[_LeafCalcStart]],WORKDAY.INTL(Tasks[[#This Row],[_LeafCalcStart]],Tasks[[#This Row],[_AlapShift]],WorkWeek,Holidays)))</f>
        <v/>
      </c>
      <c r="FA111" s="89" t="str">
        <f aca="false">IF(NOT(Tasks[[#This Row],[_IsLeaf]]=1),"",IF(Tasks[[#This Row],[_AlapShift]]=0,Tasks[[#This Row],[_LeafCalcFinish]],WORKDAY.INTL(Tasks[[#This Row],[_LeafCalcFinish]],Tasks[[#This Row],[_AlapShift]],WorkWeek,Holidays)))</f>
        <v/>
      </c>
      <c r="FB111" s="89" t="str">
        <f aca="false">IF(NOT(Tasks[[#This Row],[_IsLeaf]]=1),"",IF(Tasks[[#This Row],[_AlapShift]]=0,Tasks[[#This Row],[_LeafFcstStart]],WORKDAY.INTL(Tasks[[#This Row],[_LeafFcstStart]],Tasks[[#This Row],[_AlapShift]],WorkWeek,Holidays)))</f>
        <v/>
      </c>
      <c r="FC111" s="89" t="str">
        <f aca="false">IF(NOT(Tasks[[#This Row],[_IsLeaf]]=1),"",IF(Tasks[[#This Row],[_AlapShift]]=0,Tasks[[#This Row],[_LeafFcstFinish]],WORKDAY.INTL(Tasks[[#This Row],[_LeafFcstFinish]],Tasks[[#This Row],[_AlapShift]],WorkWeek,Holidays)))</f>
        <v/>
      </c>
      <c r="FD111" s="89" t="str">
        <f aca="false">IF(Tasks[[#This Row],[Task Name]]="","",IF(Tasks[[#This Row],[_IsSummary]],MIN(INDEX(Tasks[_ShownCalcStart],Tasks[[#This Row],[_Row]]+1):INDEX(Tasks[_ShownCalcStart],Tasks[[#This Row],[_Row]]+Tasks[[#This Row],[_Descendants]])),Tasks[[#This Row],[_ShownCalcStart]]))</f>
        <v/>
      </c>
      <c r="FE111" s="89" t="str">
        <f aca="false">IF(Tasks[[#This Row],[Task Name]]="","",IF(Tasks[[#This Row],[_IsSummary]],MAX(INDEX(Tasks[_ShownCalcFinish],Tasks[[#This Row],[_Row]]+1):INDEX(Tasks[_ShownCalcFinish],Tasks[[#This Row],[_Row]]+Tasks[[#This Row],[_Descendants]])),Tasks[[#This Row],[_ShownCalcFinish]]))</f>
        <v/>
      </c>
      <c r="FF11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1" s="42" t="n">
        <f aca="false">IF(AND(Tasks[[#This Row],[_IsLeaf]]=1,Tasks[[#This Row],[_LeafTotalWork]]&gt;0),NETWORKDAYS.INTL(ProjectStart,Tasks[[#This Row],[_ShownFcstStart]],WorkWeek,Holidays),0)</f>
        <v>0</v>
      </c>
      <c r="FS111" s="42" t="n">
        <f aca="false">IF(AND(Tasks[[#This Row],[_IsLeaf]]=1,Tasks[[#This Row],[_LeafTotalWork]]&gt;0),MAX(Tasks[[#This Row],[_StartWorkday]],NETWORKDAYS.INTL(ProjectStart,Tasks[[#This Row],[_ShownFcstFinish]],WorkWeek,Holidays)),0)</f>
        <v>0</v>
      </c>
      <c r="FT111" s="42" t="n">
        <f aca="false">IF(AND(Tasks[[#This Row],[_IsLeaf]]=1,Tasks[[#This Row],[_LeafTotalWork]]&gt;0),Tasks[[#This Row],[_LeafWork]]/(Tasks[[#This Row],[_FinishWorkday]]-Tasks[[#This Row],[_StartWorkday]]+1),0)</f>
        <v>0</v>
      </c>
      <c r="FU111" s="42" t="n">
        <f aca="false">Tasks[[#This Row],[_WorkPerWorkday]]*(Tasks[[#This Row],[_StartWorkday]]-1)</f>
        <v>-0</v>
      </c>
      <c r="FV111" s="42" t="n">
        <f aca="false">IF(Tasks[[#This Row],[_IsLeaf]]=1,MAX(N(Tasks[[#This Row],[_Days]]),0.1),0)</f>
        <v>0</v>
      </c>
      <c r="FW111" s="42" t="n">
        <f aca="false">Tasks[[#This Row],[_WeightDur]]*Tasks[[#This Row],[_LeafProgress]]</f>
        <v>0</v>
      </c>
      <c r="FX111" s="42" t="n">
        <f aca="false">Tasks[[#This Row],[_WeightDur]]*Tasks[[#This Row],[_PlannedPct]]</f>
        <v>0</v>
      </c>
      <c r="FY11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1" s="42" t="str">
        <f aca="false">IF(AND(Tasks[[#This Row],[_IsLeaf]]=1,N(Tasks[[#This Row],[_Days]])=0,Tasks[[#This Row],[_LeafProgress]]&lt;1),Tasks[[#This Row],[_ShownFcstFinish]]+Tasks[[#This Row],[_Row]]/100000,"")</f>
        <v/>
      </c>
      <c r="GA11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1" s="42" t="str">
        <f aca="false">IF(Tasks[[#This Row],[Task Name]]="","",LEFT(Tasks[[#This Row],[WBS]],FIND(".",Tasks[[#This Row],[WBS]]&amp;".")-1))</f>
        <v/>
      </c>
      <c r="GC111" s="42" t="str">
        <f aca="false">IF(AND(Tasks[[#This Row],[Task Name]]&lt;&gt;"",Tasks[[#This Row],[_Level]]=1),Tasks[[#This Row],[_Row]],"")</f>
        <v/>
      </c>
      <c r="GD111" s="42" t="str">
        <f aca="false">IF(AND(Tasks[[#This Row],[_IsLeaf]]=1,N(Tasks[[#This Row],[_Days]])=0),Tasks[[#This Row],[Planned Finish]]+Tasks[[#This Row],[_Row]]/100000,"")</f>
        <v/>
      </c>
      <c r="GE111" s="42" t="str">
        <f aca="false">IF(AND(Tasks[[#This Row],[_IsLeaf]]=1,Tasks[[#This Row],[_LeafProgress]]&lt;1,OR(N(Tasks[[#This Row],[Finish Var]])&gt;0,Tasks[[#This Row],[Status]]="Late Start")),MAX(0,Tasks[[#This Row],[Finish Var]])+1-Tasks[[#This Row],[_Row]]/1000000,"")</f>
        <v/>
      </c>
      <c r="GF111" s="42" t="str">
        <f aca="false">IF(AND(Tasks[[#This Row],[_IsLeaf]]=1,N(Tasks[[#This Row],[Actual Start]])=0,Tasks[[#This Row],[_ShownFcstStart]]&gt;=StatusDate,Tasks[[#This Row],[_ShownFcstStart]]&lt;=LookaheadEnd),Tasks[[#This Row],[_ShownFcstStart]]+Tasks[[#This Row],[_Row]]/100000,"")</f>
        <v/>
      </c>
      <c r="GG111" s="42" t="str">
        <f aca="false">IF(AND(Tasks[[#This Row],[_IsLeaf]]=1,Tasks[[#This Row],[_LeafProgress]]&lt;1,Tasks[[#This Row],[_ShownFcstFinish]]&gt;=StatusDate,Tasks[[#This Row],[_ShownFcstFinish]]&lt;=LookaheadEnd),Tasks[[#This Row],[_ShownFcstFinish]]+Tasks[[#This Row],[_Row]]/100000,"")</f>
        <v/>
      </c>
      <c r="GH111" s="42" t="str">
        <f aca="false">IF(Tasks[[#This Row],[_LeafCritical]],Tasks[[#This Row],[_ShownFcstStart]]+Tasks[[#This Row],[_Row]]/100000,"")</f>
        <v/>
      </c>
      <c r="GI111" s="42" t="n">
        <f aca="false">Tasks[[#This Row],[_LeafWork]]*Tasks[[#This Row],[_LeafProgress]]</f>
        <v>0</v>
      </c>
      <c r="GJ111" s="89" t="str">
        <f aca="false">IF(AND(Tasks[[#This Row],[_IsLeaf]]=1,Tasks[[#This Row],[_LeafProgress]]&gt;=1),IF(N(Tasks[[#This Row],[Actual Finish]])&gt;0,Tasks[[#This Row],[Actual Finish]],Tasks[[#This Row],[_ShownFcstFinish]]),"")</f>
        <v/>
      </c>
      <c r="GK111" s="42" t="n">
        <f aca="false">IF(Tasks[[#This Row],[_IsLeaf]]=1,N(Tasks[[#This Row],[Story Points]]),0)</f>
        <v>0</v>
      </c>
      <c r="GL111" s="42" t="str">
        <f aca="false">""</f>
        <v/>
      </c>
      <c r="GM111" s="88" t="b">
        <f aca="false">IF(Tasks[[#This Row],[Task Name]]="",FALSE(),AND(Tasks[[#This Row],[_IsLeaf]]=1,N(Tasks[[#This Row],[_Days]])=0))</f>
        <v>0</v>
      </c>
      <c r="GN111" s="89" t="n">
        <f aca="false">IF(Tasks[[#This Row],[Task Name]]="",0,IF(AND(Tasks[[#This Row],[_IsLeaf]]=1,NOT(Tasks[[#This Row],[_IsMilestone]]),N(Tasks[[#This Row],[Progress]])&gt;0),Tasks[[#This Row],[Start]],0))</f>
        <v>0</v>
      </c>
      <c r="GO111" s="89" t="n">
        <f aca="false">IF(Tasks[[#This Row],[_DoneFrom]]=0,0,IF(Tasks[[#This Row],[Progress]]&gt;=1,Tasks[[#This Row],[Finish]],MAX(Tasks[[#This Row],[_DoneFrom]],Tasks[[#This Row],[Start]]+ROUND((Tasks[[#This Row],[Finish]]-Tasks[[#This Row],[Start]]+1)*Tasks[[#This Row],[Progress]],0)-1)))</f>
        <v>0</v>
      </c>
      <c r="GP111" s="89" t="n">
        <f aca="false">IF(Tasks[[#This Row],[Task Name]]="",0,IF(OR(NOT(Tasks[[#This Row],[_IsLeaf]]=1),Tasks[[#This Row],[_IsMilestone]],N(Tasks[[#This Row],[Progress]])&gt;=1),0,IF(Tasks[[#This Row],[_DoneTo]]&gt;0,Tasks[[#This Row],[_DoneTo]]+1,Tasks[[#This Row],[Start]])))</f>
        <v>0</v>
      </c>
      <c r="GQ111" s="89" t="n">
        <f aca="false">IF(Tasks[[#This Row],[_RemFrom]]=0,0,Tasks[[#This Row],[Finish]])</f>
        <v>0</v>
      </c>
      <c r="GR111" s="88" t="b">
        <f aca="false">IF(Tasks[[#This Row],[Task Name]]="",FALSE(),OR(NOT(BaselineSet),N(Tasks[[#This Row],[Baseline Start]])&gt;0))</f>
        <v>0</v>
      </c>
      <c r="GS11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1" s="90" t="str">
        <f aca="false">IF(Tasks[[#This Row],[_IsLeaf]]=1,Tasks[[#This Row],[_Row]],"")</f>
        <v/>
      </c>
      <c r="GW111" s="90" t="str">
        <f aca="false">IFERROR(INDEX(Tasks[UID],SMALL(Tasks[_PickKey],Tasks[[#This Row],[_Row]]))&amp;" "&amp;INDEX(Tasks[Task Name],SMALL(Tasks[_PickKey],Tasks[[#This Row],[_Row]])),"")</f>
        <v/>
      </c>
      <c r="GX111" s="42" t="str">
        <f aca="false">IF(Tasks[[#This Row],[Task Name]]="","",IF(Tasks[[#This Row],[_IsSummary]],NETWORKDAYS.INTL(Tasks[[#This Row],[Start]],Tasks[[#This Row],[Finish]],WorkWeek,Holidays),N(Tasks[[#This Row],[_Days]])))</f>
        <v/>
      </c>
    </row>
    <row r="112" customFormat="false" ht="15" hidden="false" customHeight="false" outlineLevel="0" collapsed="false">
      <c r="A112" s="21" t="str">
        <f aca="false">IF(Tasks[[#This Row],[Task Name]]="","",COUNTA(Tasks[[#Headers],[Task Name]]:Tasks[[#This Row],[Task Name]])-1)</f>
        <v/>
      </c>
      <c r="B112" s="22" t="n">
        <v>120</v>
      </c>
      <c r="C112" s="22"/>
      <c r="D112" s="23"/>
      <c r="E112" s="22"/>
      <c r="F112" s="23"/>
      <c r="G112" s="22"/>
      <c r="H112" s="22"/>
      <c r="I112" s="23"/>
      <c r="J112" s="22"/>
      <c r="K112" s="22"/>
      <c r="L112" s="23"/>
      <c r="M112" s="22"/>
      <c r="N112" s="22"/>
      <c r="O112" s="23"/>
      <c r="P112" s="22"/>
      <c r="Q112" s="22"/>
      <c r="R112" s="23"/>
      <c r="S112" s="23"/>
      <c r="T112" s="83"/>
      <c r="U112" s="23"/>
      <c r="V112" s="83"/>
      <c r="W112" s="23"/>
      <c r="X112" s="83"/>
      <c r="Y112" s="23"/>
      <c r="Z112" s="83"/>
      <c r="AA112" s="23"/>
      <c r="AB112" s="23"/>
      <c r="AC112" s="7"/>
      <c r="AD112" s="7"/>
      <c r="AE112" s="62" t="str">
        <f aca="false">IF(Tasks[[#This Row],[Task Name]]="","",IF(Tasks[[#This Row],[_IsSummary]],MIN(INDEX(Tasks[_ShownFcstStart],Tasks[[#This Row],[_Row]]+1):INDEX(Tasks[_ShownFcstStart],Tasks[[#This Row],[_Row]]+Tasks[[#This Row],[_Descendants]])),Tasks[[#This Row],[_ShownFcstStart]]))</f>
        <v/>
      </c>
      <c r="AF112" s="62" t="str">
        <f aca="false">IF(Tasks[[#This Row],[Task Name]]="","",IF(Tasks[[#This Row],[_IsSummary]],MAX(INDEX(Tasks[_ShownFcstFinish],Tasks[[#This Row],[_Row]]+1):INDEX(Tasks[_ShownFcstFinish],Tasks[[#This Row],[_Row]]+Tasks[[#This Row],[_Descendants]])),Tasks[[#This Row],[_ShownFcstFinish]]))</f>
        <v/>
      </c>
      <c r="AG112" s="21" t="str">
        <f aca="false">""</f>
        <v/>
      </c>
      <c r="AH112" s="23"/>
      <c r="AI11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2" s="7"/>
      <c r="AK112" s="22"/>
      <c r="AL112" s="23"/>
      <c r="AM112" s="7"/>
      <c r="AN112" s="46" t="str">
        <f aca="false">IF(Tasks[[#This Row],[Task Name]]="","",IF(Tasks[[#This Row],[Finish]]&gt;=Tasks[[#This Row],[Planned Finish]],NETWORKDAYS.INTL(Tasks[[#This Row],[Planned Finish]],Tasks[[#This Row],[Finish]],WorkWeek,Holidays)-1,1-NETWORKDAYS.INTL(Tasks[[#This Row],[Finish]],Tasks[[#This Row],[Planned Finish]],WorkWeek,Holidays)))</f>
        <v/>
      </c>
      <c r="AO112" s="21" t="str">
        <f aca="false">IF(Tasks[[#This Row],[Task Name]]="","",IF(Tasks[[#This Row],[Progress]]&gt;=1,"Complete",IF(OR(N(Tasks[[#This Row],[Actual Start]])&gt;0,Tasks[[#This Row],[Progress]]&gt;0),IF(Tasks[[#This Row],[Finish Var]]&gt;0,"Behind","In Progress"),IF(Tasks[[#This Row],[Planned Start]]&lt;StatusDate,"Late Start","Not Started"))))</f>
        <v/>
      </c>
      <c r="AP112" s="21" t="str">
        <f aca="false">IF(Tasks[[#This Row],[Task Name]]="","",IF(IF(Tasks[[#This Row],[_IsSummary]],COUNTIF(INDEX(Tasks[_LeafCritical],Tasks[[#This Row],[_Row]]+1):INDEX(Tasks[_LeafCritical],Tasks[[#This Row],[_Row]]+Tasks[[#This Row],[_Descendants]]),TRUE())&gt;0,Tasks[[#This Row],[_LeafCritical]]),"Yes",""))</f>
        <v/>
      </c>
      <c r="AQ112" s="62" t="str">
        <f aca="false">IF(Tasks[[#This Row],[Task Name]]="","",IF(N(Tasks[[#This Row],[Baseline Start]])&gt;0,Tasks[[#This Row],[Baseline Start]],Tasks[[#This Row],[_CalcStart]]))</f>
        <v/>
      </c>
      <c r="AR112" s="62" t="str">
        <f aca="false">IF(Tasks[[#This Row],[Task Name]]="","",IF(N(Tasks[[#This Row],[Baseline Finish]])&gt;0,Tasks[[#This Row],[Baseline Finish]],Tasks[[#This Row],[_CalcFinish]]))</f>
        <v/>
      </c>
      <c r="AS112" s="46" t="str">
        <f aca="false">IF(Tasks[[#This Row],[Task Name]]="","",IF(Tasks[[#This Row],[Start]]&gt;=Tasks[[#This Row],[Planned Start]],NETWORKDAYS.INTL(Tasks[[#This Row],[Planned Start]],Tasks[[#This Row],[Start]],WorkWeek,Holidays)-1,1-NETWORKDAYS.INTL(Tasks[[#This Row],[Start]],Tasks[[#This Row],[Planned Start]],WorkWeek,Holidays)))</f>
        <v/>
      </c>
      <c r="AT112" s="62" t="str">
        <f aca="false">IF(Tasks[[#This Row],[Task Name]]="","",IF(Tasks[[#This Row],[_IsSummary]],MIN(INDEX(Tasks[_LeafLateStart],Tasks[[#This Row],[_Row]]+1):INDEX(Tasks[_LeafLateStart],Tasks[[#This Row],[_Row]]+Tasks[[#This Row],[_Descendants]])),Tasks[[#This Row],[_LeafLateStart]]))</f>
        <v/>
      </c>
      <c r="AU112" s="62" t="str">
        <f aca="false">IF(Tasks[[#This Row],[Task Name]]="","",IF(Tasks[[#This Row],[_IsSummary]],MAX(INDEX(Tasks[_LeafLateFinish],Tasks[[#This Row],[_Row]]+1):INDEX(Tasks[_LeafLateFinish],Tasks[[#This Row],[_Row]]+Tasks[[#This Row],[_Descendants]])),Tasks[[#This Row],[_LeafLateFinish]]))</f>
        <v/>
      </c>
      <c r="AV112" s="46" t="str">
        <f aca="false">IF(Tasks[[#This Row],[Task Name]]="","",IF(Tasks[[#This Row],[_IsSummary]],MIN(INDEX(Tasks[_LeafTotalSlack],Tasks[[#This Row],[_Row]]+1):INDEX(Tasks[_LeafTotalSlack],Tasks[[#This Row],[_Row]]+Tasks[[#This Row],[_Descendants]])),Tasks[[#This Row],[_LeafTotalSlack]]))</f>
        <v/>
      </c>
      <c r="AW11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4"/>
      <c r="BA11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t="str">
        <f aca="false">IF(Tasks[[#This Row],[Task Name]]="","",IF(Tasks[[#This Row],[_Level]]&lt;=OutlineShowLevel,"Yes","No"))</f>
        <v/>
      </c>
      <c r="BE112" s="85" t="str">
        <f aca="false">IF(Tasks[[#This Row],[Task Name]]="","",IF(Tasks[[#This Row],[_IsSummary]],SUM(INDEX(Tasks[_LeafTotalWork],Tasks[[#This Row],[_Row]]+1):INDEX(Tasks[_LeafTotalWork],Tasks[[#This Row],[_Row]]+Tasks[[#This Row],[_Descendants]])),Tasks[[#This Row],[_LeafTotalWork]]))</f>
        <v/>
      </c>
      <c r="BF112" s="23"/>
      <c r="BG11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t="str">
        <f aca="false">""</f>
        <v/>
      </c>
      <c r="BI112" s="86"/>
      <c r="BJ112" s="22"/>
      <c r="BK112" s="46" t="str">
        <f aca="false">IF(OR(Tasks[[#This Row],[Task Name]]="",Tasks[[#This Row],[Baseline Duration]]=""),"",Tasks[[#This Row],[_SpanDays]]-N(Tasks[[#This Row],[Baseline Duration]]))</f>
        <v/>
      </c>
      <c r="BL112" s="85" t="str">
        <f aca="false">IF(OR(Tasks[[#This Row],[Task Name]]="",Tasks[[#This Row],[Baseline Work]]=""),"",Tasks[[#This Row],[Work]]-N(Tasks[[#This Row],[Baseline Work]]))</f>
        <v/>
      </c>
      <c r="BM112" s="62" t="str">
        <f aca="false">IF(Tasks[[#This Row],[Task Name]]="","",IF(OR(TakeBaseline="Yes",N(Tasks[[#This Row],[Baseline Start]])=0),Tasks[[#This Row],[Start]],Tasks[[#This Row],[Baseline Start]]))</f>
        <v/>
      </c>
      <c r="BN112" s="62" t="str">
        <f aca="false">IF(Tasks[[#This Row],[Task Name]]="","",IF(OR(TakeBaseline="Yes",N(Tasks[[#This Row],[Baseline Finish]])=0),Tasks[[#This Row],[Finish]],Tasks[[#This Row],[Baseline Finish]]))</f>
        <v/>
      </c>
      <c r="BO112" s="21" t="str">
        <f aca="false">IF(Tasks[[#This Row],[Task Name]]="","",IF(OR(TakeBaseline="Yes",N(Tasks[[#This Row],[Baseline Duration]])=0),Tasks[[#This Row],[_SpanDays]],Tasks[[#This Row],[Baseline Duration]]))</f>
        <v/>
      </c>
      <c r="BP112" s="85" t="str">
        <f aca="false">IF(Tasks[[#This Row],[Task Name]]="","",IF(OR(TakeBaseline="Yes",N(Tasks[[#This Row],[Baseline Work]])=0),Tasks[[#This Row],[Work]],Tasks[[#This Row],[Baseline Work]]))</f>
        <v/>
      </c>
      <c r="BQ112" s="7"/>
      <c r="BR112" s="7"/>
      <c r="BS112" s="22"/>
      <c r="BT112" s="87"/>
      <c r="BU112" s="42" t="str">
        <f aca="false">IF(Tasks[[#This Row],[Task Name]]="","",MAX(1,N(Tasks[[#This Row],[Level]])))</f>
        <v/>
      </c>
      <c r="BV112" s="42" t="n">
        <f aca="false">ROW()-ROW(Tasks[[#Headers],[ID]])</f>
        <v>107</v>
      </c>
      <c r="BW112" s="42" t="n">
        <f aca="false">IF(OR(Tasks[[#This Row],[Task Name]]="",Tasks[[#This Row],[_Level]]&lt;=1),0,IFERROR(LOOKUP(2,1/(Tasks[[#Headers],[_Level]]:Tasks[[#This Row],[_Level]]=Tasks[[#This Row],[_Level]]-1),ROW(Tasks[[#Headers],[_Level]]:Tasks[[#This Row],[_Level]])),0))</f>
        <v>0</v>
      </c>
      <c r="BX112" s="42" t="n">
        <f aca="false">IFERROR(N(INDEX(Tasks[_Level],Tasks[[#This Row],[_Row]]+1)),0)</f>
        <v>0</v>
      </c>
      <c r="BY112" s="88" t="b">
        <f aca="false">AND(Tasks[[#This Row],[Task Name]]&lt;&gt;"",Tasks[[#This Row],[_NextLevel]]&gt;Tasks[[#This Row],[_Level]])</f>
        <v>0</v>
      </c>
      <c r="BZ112" s="42" t="n">
        <f aca="false">IF(Tasks[[#This Row],[_IsSummary]],COUNTIF(Tasks[WBS],Tasks[[#This Row],[WBS]]&amp;".*"),0)</f>
        <v>0</v>
      </c>
      <c r="CA112" s="42" t="n">
        <f aca="false">IF(AND(Tasks[[#This Row],[Task Name]]&lt;&gt;"",NOT(Tasks[[#This Row],[_IsSummary]])),1,0)</f>
        <v>0</v>
      </c>
      <c r="CB112" s="42" t="n">
        <f aca="false">IF(N(Tasks[[#This Row],[_Pred1UID]])=0,0,IFERROR(MATCH(Tasks[[#This Row],[_Pred1UID]],Tasks[UID],0),-1))</f>
        <v>0</v>
      </c>
      <c r="CC112" s="42" t="n">
        <f aca="false">IF(N(Tasks[[#This Row],[_Pred2UID]])=0,0,IFERROR(MATCH(Tasks[[#This Row],[_Pred2UID]],Tasks[UID],0),-1))</f>
        <v>0</v>
      </c>
      <c r="CD112" s="42" t="n">
        <f aca="false">IF(N(Tasks[[#This Row],[_Pred3UID]])=0,0,IFERROR(MATCH(Tasks[[#This Row],[_Pred3UID]],Tasks[UID],0),-1))</f>
        <v>0</v>
      </c>
      <c r="CE112" s="42" t="n">
        <f aca="false">IF(N(Tasks[[#This Row],[_Pred4UID]])=0,0,IFERROR(MATCH(Tasks[[#This Row],[_Pred4UID]],Tasks[UID],0),-1))</f>
        <v>0</v>
      </c>
      <c r="CF11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2" s="89" t="n">
        <f aca="false">IF(OR(Tasks[[#This Row],[_ConstraintCode]]=2,Tasks[[#This Row],[_ConstraintCode]]=3,Tasks[[#This Row],[_ConstraintCode]]=4,Tasks[[#This Row],[_ConstraintCode]]=6),Tasks[[#This Row],[_ConstraintStart]],0)</f>
        <v>0</v>
      </c>
      <c r="CI112" s="89" t="n">
        <f aca="false">IF(OR(Tasks[[#This Row],[_ConstraintCode]]=2,Tasks[[#This Row],[_ConstraintCode]]=3,Tasks[[#This Row],[_ConstraintCode]]=5,Tasks[[#This Row],[_ConstraintCode]]=7),Tasks[[#This Row],[_ConstraintStart]],2958465)</f>
        <v>2958465</v>
      </c>
      <c r="CJ11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2" s="89" t="str">
        <f aca="false">IF(NOT(Tasks[[#This Row],[_IsLeaf]]=1),"",IF(N(Tasks[[#This Row],[_Days]])&lt;=0,Tasks[[#This Row],[_LeafCalcStart]],WORKDAY.INTL(Tasks[[#This Row],[_LeafCalcStart]],Tasks[[#This Row],[_Days]]-1,WorkWeek,Holidays)))</f>
        <v/>
      </c>
      <c r="CL11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2" s="42" t="str">
        <f aca="false">IF(Tasks[[#This Row],[_Predecessors]]="","",TRIM(MID(SUBSTITUTE(SUBSTITUTE(SUBSTITUTE(UPPER(Tasks[[#This Row],[_Predecessors]]),";",",")," ",""),",",REPT(" ",99)),1,99)))</f>
        <v/>
      </c>
      <c r="CO112" s="42" t="str">
        <f aca="false">IF(Tasks[[#This Row],[_Pred1Text]]="","",IFERROR(VALUE(LEFT(Tasks[[#This Row],[_Pred1Text]],MIN(FIND("F",Tasks[[#This Row],[_Pred1Text]]&amp;"F"),FIND("S",Tasks[[#This Row],[_Pred1Text]]&amp;"S"),FIND("+",Tasks[[#This Row],[_Pred1Text]]&amp;"+"),FIND("-",Tasks[[#This Row],[_Pred1Text]]&amp;"-"))-1)),""))</f>
        <v/>
      </c>
      <c r="CP11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2" s="42" t="str">
        <f aca="false">IF(Tasks[[#This Row],[_Pred1Text]]="","",TRIM(MID(SUBSTITUTE(SUBSTITUTE(SUBSTITUTE(UPPER(Tasks[[#This Row],[_Predecessors]]),";",",")," ",""),",",REPT(" ",99)),100,99)))</f>
        <v/>
      </c>
      <c r="CS112" s="42" t="str">
        <f aca="false">IF(Tasks[[#This Row],[_Pred2Text]]="","",IFERROR(VALUE(LEFT(Tasks[[#This Row],[_Pred2Text]],MIN(FIND("F",Tasks[[#This Row],[_Pred2Text]]&amp;"F"),FIND("S",Tasks[[#This Row],[_Pred2Text]]&amp;"S"),FIND("+",Tasks[[#This Row],[_Pred2Text]]&amp;"+"),FIND("-",Tasks[[#This Row],[_Pred2Text]]&amp;"-"))-1)),""))</f>
        <v/>
      </c>
      <c r="CT11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2" s="42" t="str">
        <f aca="false">IF(Tasks[[#This Row],[_Pred2Text]]="","",TRIM(MID(SUBSTITUTE(SUBSTITUTE(SUBSTITUTE(UPPER(Tasks[[#This Row],[_Predecessors]]),";",",")," ",""),",",REPT(" ",99)),199,99)))</f>
        <v/>
      </c>
      <c r="CW112" s="42" t="str">
        <f aca="false">IF(Tasks[[#This Row],[_Pred3Text]]="","",IFERROR(VALUE(LEFT(Tasks[[#This Row],[_Pred3Text]],MIN(FIND("F",Tasks[[#This Row],[_Pred3Text]]&amp;"F"),FIND("S",Tasks[[#This Row],[_Pred3Text]]&amp;"S"),FIND("+",Tasks[[#This Row],[_Pred3Text]]&amp;"+"),FIND("-",Tasks[[#This Row],[_Pred3Text]]&amp;"-"))-1)),""))</f>
        <v/>
      </c>
      <c r="CX11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2" s="42" t="str">
        <f aca="false">IF(Tasks[[#This Row],[_Pred3Text]]="","",TRIM(MID(SUBSTITUTE(SUBSTITUTE(SUBSTITUTE(UPPER(Tasks[[#This Row],[_Predecessors]]),";",",")," ",""),",",REPT(" ",99)),298,99)))</f>
        <v/>
      </c>
      <c r="DA112" s="42" t="str">
        <f aca="false">IF(Tasks[[#This Row],[_Pred4Text]]="","",IFERROR(VALUE(LEFT(Tasks[[#This Row],[_Pred4Text]],MIN(FIND("F",Tasks[[#This Row],[_Pred4Text]]&amp;"F"),FIND("S",Tasks[[#This Row],[_Pred4Text]]&amp;"S"),FIND("+",Tasks[[#This Row],[_Pred4Text]]&amp;"+"),FIND("-",Tasks[[#This Row],[_Pred4Text]]&amp;"-"))-1)),""))</f>
        <v/>
      </c>
      <c r="DB11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2" s="42" t="str">
        <f aca="false">IF(OR(Tasks[[#This Row],[Task Name]]="",Tasks[[#This Row],[_Resources]]=""),"",TRIM(MID(SUBSTITUTE(Tasks[[#This Row],[_Resources]],",",REPT(" ",99)),1,99)))</f>
        <v/>
      </c>
      <c r="DE112" s="42" t="str">
        <f aca="false">IF(Tasks[[#This Row],[_Res1Text]]="","",TRIM(MID(SUBSTITUTE(Tasks[[#This Row],[_Resources]],",",REPT(" ",99)),100,99)))</f>
        <v/>
      </c>
      <c r="DF112" s="42" t="str">
        <f aca="false">IF(Tasks[[#This Row],[_Res2Text]]="","",TRIM(MID(SUBSTITUTE(Tasks[[#This Row],[_Resources]],",",REPT(" ",99)),199,99)))</f>
        <v/>
      </c>
      <c r="DG112" s="42" t="str">
        <f aca="false">IF(Tasks[[#This Row],[_Res3Text]]="","",TRIM(MID(SUBSTITUTE(Tasks[[#This Row],[_Resources]],",",REPT(" ",99)),298,99)))</f>
        <v/>
      </c>
      <c r="DH112" s="42" t="n">
        <f aca="false">IF(Tasks[[#This Row],[_Res1Text]]="",0,IFERROR(MATCH(TRIM(LEFT(Tasks[[#This Row],[_Res1Text]],FIND("[",Tasks[[#This Row],[_Res1Text]]&amp;"[")-1)),res_Name,0),IFERROR(MATCH(TRIM(LEFT(Tasks[[#This Row],[_Res1Text]],FIND("[",Tasks[[#This Row],[_Res1Text]]&amp;"[")-1)),res_Initials,0),0)))</f>
        <v>0</v>
      </c>
      <c r="DI112" s="42" t="n">
        <f aca="false">IF(Tasks[[#This Row],[_Res2Text]]="",0,IFERROR(MATCH(TRIM(LEFT(Tasks[[#This Row],[_Res2Text]],FIND("[",Tasks[[#This Row],[_Res2Text]]&amp;"[")-1)),res_Name,0),IFERROR(MATCH(TRIM(LEFT(Tasks[[#This Row],[_Res2Text]],FIND("[",Tasks[[#This Row],[_Res2Text]]&amp;"[")-1)),res_Initials,0),0)))</f>
        <v>0</v>
      </c>
      <c r="DJ112" s="42" t="n">
        <f aca="false">IF(Tasks[[#This Row],[_Res3Text]]="",0,IFERROR(MATCH(TRIM(LEFT(Tasks[[#This Row],[_Res3Text]],FIND("[",Tasks[[#This Row],[_Res3Text]]&amp;"[")-1)),res_Name,0),IFERROR(MATCH(TRIM(LEFT(Tasks[[#This Row],[_Res3Text]],FIND("[",Tasks[[#This Row],[_Res3Text]]&amp;"[")-1)),res_Initials,0),0)))</f>
        <v>0</v>
      </c>
      <c r="DK112" s="42" t="n">
        <f aca="false">IF(Tasks[[#This Row],[_Res4Text]]="",0,IFERROR(MATCH(TRIM(LEFT(Tasks[[#This Row],[_Res4Text]],FIND("[",Tasks[[#This Row],[_Res4Text]]&amp;"[")-1)),res_Name,0),IFERROR(MATCH(TRIM(LEFT(Tasks[[#This Row],[_Res4Text]],FIND("[",Tasks[[#This Row],[_Res4Text]]&amp;"[")-1)),res_Initials,0),0)))</f>
        <v>0</v>
      </c>
      <c r="DL112" s="42" t="str">
        <f aca="false">IF(Tasks[[#This Row],[_Res1Text]]="","",IF(Tasks[[#This Row],[_Res1Row]]&gt;0,INDEX(res_Name,Tasks[[#This Row],[_Res1Row]]),TRIM(LEFT(Tasks[[#This Row],[_Res1Text]],FIND("[",Tasks[[#This Row],[_Res1Text]]&amp;"[")-1))))</f>
        <v/>
      </c>
      <c r="DM11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2" s="42" t="n">
        <f aca="false">IF(NOT(Tasks[[#This Row],[_IsLeaf]]=1),0,(Tasks[[#This Row],[_Resource1]]&lt;&gt;"")+(Tasks[[#This Row],[_Res2]]&lt;&gt;"")+(Tasks[[#This Row],[_Res3]]&lt;&gt;"")+(Tasks[[#This Row],[_Res4]]&lt;&gt;""))</f>
        <v>0</v>
      </c>
      <c r="DO112" s="42" t="str">
        <f aca="false">IF(Tasks[[#This Row],[_Res2Text]]="","",IF(Tasks[[#This Row],[_Res2Row]]&gt;0,INDEX(res_Name,Tasks[[#This Row],[_Res2Row]]),TRIM(LEFT(Tasks[[#This Row],[_Res2Text]],FIND("[",Tasks[[#This Row],[_Res2Text]]&amp;"[")-1))))</f>
        <v/>
      </c>
      <c r="DP11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2" s="42" t="n">
        <f aca="false">IF(OR(NOT(Tasks[[#This Row],[_IsLeaf]]=1),Tasks[[#This Row],[_Res2Row]]=0),0,N(Tasks[[#This Row],[_Days]])*HoursPerDay*IF(Tasks[[#This Row],[_Res2Units]]="",DefaultUnits,Tasks[[#This Row],[_Res2Units]]))</f>
        <v>0</v>
      </c>
      <c r="DR112" s="42" t="n">
        <f aca="false">IF(AND(AND(Tasks[[#This Row],[_IsLeaf]]=1,Tasks[[#This Row],[_LeafTotalWork]]&gt;0),Tasks[[#This Row],[_Res2Work]]&gt;0),Tasks[[#This Row],[_Res2Work]]/(Tasks[[#This Row],[_FinishWorkday]]-Tasks[[#This Row],[_StartWorkday]]+1),0)</f>
        <v>0</v>
      </c>
      <c r="DS112" s="42" t="n">
        <f aca="false">Tasks[[#This Row],[_Res2WorkPerWD]]*MAX(0,Tasks[[#This Row],[_StartWorkday]]-1)</f>
        <v>0</v>
      </c>
      <c r="DT112" s="42" t="n">
        <f aca="false">Tasks[[#This Row],[_Res2Work]]*Tasks[[#This Row],[_LeafProgress]]</f>
        <v>0</v>
      </c>
      <c r="DU112" s="42" t="str">
        <f aca="false">IF(Tasks[[#This Row],[_Res3Text]]="","",IF(Tasks[[#This Row],[_Res3Row]]&gt;0,INDEX(res_Name,Tasks[[#This Row],[_Res3Row]]),TRIM(LEFT(Tasks[[#This Row],[_Res3Text]],FIND("[",Tasks[[#This Row],[_Res3Text]]&amp;"[")-1))))</f>
        <v/>
      </c>
      <c r="DV11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2" s="42" t="n">
        <f aca="false">IF(OR(NOT(Tasks[[#This Row],[_IsLeaf]]=1),Tasks[[#This Row],[_Res3Row]]=0),0,N(Tasks[[#This Row],[_Days]])*HoursPerDay*IF(Tasks[[#This Row],[_Res3Units]]="",DefaultUnits,Tasks[[#This Row],[_Res3Units]]))</f>
        <v>0</v>
      </c>
      <c r="DX112" s="42" t="n">
        <f aca="false">IF(AND(AND(Tasks[[#This Row],[_IsLeaf]]=1,Tasks[[#This Row],[_LeafTotalWork]]&gt;0),Tasks[[#This Row],[_Res3Work]]&gt;0),Tasks[[#This Row],[_Res3Work]]/(Tasks[[#This Row],[_FinishWorkday]]-Tasks[[#This Row],[_StartWorkday]]+1),0)</f>
        <v>0</v>
      </c>
      <c r="DY112" s="42" t="n">
        <f aca="false">Tasks[[#This Row],[_Res3WorkPerWD]]*MAX(0,Tasks[[#This Row],[_StartWorkday]]-1)</f>
        <v>0</v>
      </c>
      <c r="DZ112" s="42" t="n">
        <f aca="false">Tasks[[#This Row],[_Res3Work]]*Tasks[[#This Row],[_LeafProgress]]</f>
        <v>0</v>
      </c>
      <c r="EA112" s="42" t="str">
        <f aca="false">IF(Tasks[[#This Row],[_Res4Text]]="","",IF(Tasks[[#This Row],[_Res4Row]]&gt;0,INDEX(res_Name,Tasks[[#This Row],[_Res4Row]]),TRIM(LEFT(Tasks[[#This Row],[_Res4Text]],FIND("[",Tasks[[#This Row],[_Res4Text]]&amp;"[")-1))))</f>
        <v/>
      </c>
      <c r="EB11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2" s="42" t="n">
        <f aca="false">IF(OR(NOT(Tasks[[#This Row],[_IsLeaf]]=1),Tasks[[#This Row],[_Res4Row]]=0),0,N(Tasks[[#This Row],[_Days]])*HoursPerDay*IF(Tasks[[#This Row],[_Res4Units]]="",DefaultUnits,Tasks[[#This Row],[_Res4Units]]))</f>
        <v>0</v>
      </c>
      <c r="ED112" s="42" t="n">
        <f aca="false">IF(AND(AND(Tasks[[#This Row],[_IsLeaf]]=1,Tasks[[#This Row],[_LeafTotalWork]]&gt;0),Tasks[[#This Row],[_Res4Work]]&gt;0),Tasks[[#This Row],[_Res4Work]]/(Tasks[[#This Row],[_FinishWorkday]]-Tasks[[#This Row],[_StartWorkday]]+1),0)</f>
        <v>0</v>
      </c>
      <c r="EE112" s="42" t="n">
        <f aca="false">Tasks[[#This Row],[_Res4WorkPerWD]]*MAX(0,Tasks[[#This Row],[_StartWorkday]]-1)</f>
        <v>0</v>
      </c>
      <c r="EF112" s="42" t="n">
        <f aca="false">Tasks[[#This Row],[_Res4Work]]*Tasks[[#This Row],[_LeafProgress]]</f>
        <v>0</v>
      </c>
      <c r="EG112" s="42" t="n">
        <f aca="false">IF(ISNUMBER(Tasks[[#This Row],[% Complete]]),Tasks[[#This Row],[% Complete]],IF(Tasks[[#This Row],[Stage]]="",0,IFERROR(INDEX(stg_Pct,MATCH(Tasks[[#This Row],[Stage]],stg_Name,0)),0)))</f>
        <v>0</v>
      </c>
      <c r="EH112" s="42" t="n">
        <f aca="false">IF(NOT(Tasks[[#This Row],[_IsLeaf]]=1),0,IF(N(Tasks[[#This Row],[Actual Finish]])&gt;0,1,MIN(1,Tasks[[#This Row],[_Pct]])))</f>
        <v>0</v>
      </c>
      <c r="EI112" s="42" t="n">
        <f aca="false">IF(OR(NOT(Tasks[[#This Row],[_IsLeaf]]=1),Tasks[[#This Row],[_Res1Row]]=0),0,N(Tasks[[#This Row],[_Days]])*HoursPerDay*IF(Tasks[[#This Row],[_Units1]]="",DefaultUnits,Tasks[[#This Row],[_Units1]]))</f>
        <v>0</v>
      </c>
      <c r="EJ112" s="42" t="n">
        <f aca="false">Tasks[[#This Row],[_LeafWork]]+Tasks[[#This Row],[_Res2Work]]+Tasks[[#This Row],[_Res3Work]]+Tasks[[#This Row],[_Res4Work]]</f>
        <v>0</v>
      </c>
      <c r="EK11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2" s="42" t="n">
        <f aca="false">IF(NOT(Tasks[[#This Row],[_IsLeaf]]=1),0,MAX(_xlfn.MAXIFS(Tasks[_Row],Tasks[_Pred1UID],Tasks[[#This Row],[UID]]),_xlfn.MAXIFS(Tasks[_Row],Tasks[_Pred2UID],Tasks[[#This Row],[UID]]),_xlfn.MAXIFS(Tasks[_Row],Tasks[_Pred3UID],Tasks[[#This Row],[UID]]),_xlfn.MAXIFS(Tasks[_Row],Tasks[_Pred4UID],Tasks[[#This Row],[UID]])))</f>
        <v>0</v>
      </c>
      <c r="ET11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2" s="89" t="str">
        <f aca="false">IF(NOT(Tasks[[#This Row],[_IsLeaf]]=1),"",IF(N(Tasks[[#This Row],[_Days]])&lt;=0,Tasks[[#This Row],[_LeafLateFinish]],WORKDAY.INTL(Tasks[[#This Row],[_LeafLateFinish]],-(Tasks[[#This Row],[_Days]]-1),WorkWeek,Holidays)))</f>
        <v/>
      </c>
      <c r="EW11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2" s="88" t="b">
        <f aca="false">AND(Tasks[[#This Row],[_IsLeaf]]=1,Tasks[[#This Row],[_LeafProgress]]&lt;1,N(Tasks[[#This Row],[_LeafTotalSlack]])&lt;=CriticalSlackDays)</f>
        <v>0</v>
      </c>
      <c r="EY112" s="42" t="n">
        <f aca="false">IF(AND(Tasks[[#This Row],[_IsLeaf]]=1,Tasks[[#This Row],[_ConstraintCode]]=1,Tasks[[#This Row],[Mode]]&lt;&gt;"Manual",N(Tasks[[#This Row],[Actual Start]])=0),MAX(0,N(Tasks[[#This Row],[Free Slack]])),0)</f>
        <v>0</v>
      </c>
      <c r="EZ112" s="89" t="str">
        <f aca="false">IF(NOT(Tasks[[#This Row],[_IsLeaf]]=1),"",IF(Tasks[[#This Row],[_AlapShift]]=0,Tasks[[#This Row],[_LeafCalcStart]],WORKDAY.INTL(Tasks[[#This Row],[_LeafCalcStart]],Tasks[[#This Row],[_AlapShift]],WorkWeek,Holidays)))</f>
        <v/>
      </c>
      <c r="FA112" s="89" t="str">
        <f aca="false">IF(NOT(Tasks[[#This Row],[_IsLeaf]]=1),"",IF(Tasks[[#This Row],[_AlapShift]]=0,Tasks[[#This Row],[_LeafCalcFinish]],WORKDAY.INTL(Tasks[[#This Row],[_LeafCalcFinish]],Tasks[[#This Row],[_AlapShift]],WorkWeek,Holidays)))</f>
        <v/>
      </c>
      <c r="FB112" s="89" t="str">
        <f aca="false">IF(NOT(Tasks[[#This Row],[_IsLeaf]]=1),"",IF(Tasks[[#This Row],[_AlapShift]]=0,Tasks[[#This Row],[_LeafFcstStart]],WORKDAY.INTL(Tasks[[#This Row],[_LeafFcstStart]],Tasks[[#This Row],[_AlapShift]],WorkWeek,Holidays)))</f>
        <v/>
      </c>
      <c r="FC112" s="89" t="str">
        <f aca="false">IF(NOT(Tasks[[#This Row],[_IsLeaf]]=1),"",IF(Tasks[[#This Row],[_AlapShift]]=0,Tasks[[#This Row],[_LeafFcstFinish]],WORKDAY.INTL(Tasks[[#This Row],[_LeafFcstFinish]],Tasks[[#This Row],[_AlapShift]],WorkWeek,Holidays)))</f>
        <v/>
      </c>
      <c r="FD112" s="89" t="str">
        <f aca="false">IF(Tasks[[#This Row],[Task Name]]="","",IF(Tasks[[#This Row],[_IsSummary]],MIN(INDEX(Tasks[_ShownCalcStart],Tasks[[#This Row],[_Row]]+1):INDEX(Tasks[_ShownCalcStart],Tasks[[#This Row],[_Row]]+Tasks[[#This Row],[_Descendants]])),Tasks[[#This Row],[_ShownCalcStart]]))</f>
        <v/>
      </c>
      <c r="FE112" s="89" t="str">
        <f aca="false">IF(Tasks[[#This Row],[Task Name]]="","",IF(Tasks[[#This Row],[_IsSummary]],MAX(INDEX(Tasks[_ShownCalcFinish],Tasks[[#This Row],[_Row]]+1):INDEX(Tasks[_ShownCalcFinish],Tasks[[#This Row],[_Row]]+Tasks[[#This Row],[_Descendants]])),Tasks[[#This Row],[_ShownCalcFinish]]))</f>
        <v/>
      </c>
      <c r="FF11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2" s="42" t="n">
        <f aca="false">IF(AND(Tasks[[#This Row],[_IsLeaf]]=1,Tasks[[#This Row],[_LeafTotalWork]]&gt;0),NETWORKDAYS.INTL(ProjectStart,Tasks[[#This Row],[_ShownFcstStart]],WorkWeek,Holidays),0)</f>
        <v>0</v>
      </c>
      <c r="FS112" s="42" t="n">
        <f aca="false">IF(AND(Tasks[[#This Row],[_IsLeaf]]=1,Tasks[[#This Row],[_LeafTotalWork]]&gt;0),MAX(Tasks[[#This Row],[_StartWorkday]],NETWORKDAYS.INTL(ProjectStart,Tasks[[#This Row],[_ShownFcstFinish]],WorkWeek,Holidays)),0)</f>
        <v>0</v>
      </c>
      <c r="FT112" s="42" t="n">
        <f aca="false">IF(AND(Tasks[[#This Row],[_IsLeaf]]=1,Tasks[[#This Row],[_LeafTotalWork]]&gt;0),Tasks[[#This Row],[_LeafWork]]/(Tasks[[#This Row],[_FinishWorkday]]-Tasks[[#This Row],[_StartWorkday]]+1),0)</f>
        <v>0</v>
      </c>
      <c r="FU112" s="42" t="n">
        <f aca="false">Tasks[[#This Row],[_WorkPerWorkday]]*(Tasks[[#This Row],[_StartWorkday]]-1)</f>
        <v>-0</v>
      </c>
      <c r="FV112" s="42" t="n">
        <f aca="false">IF(Tasks[[#This Row],[_IsLeaf]]=1,MAX(N(Tasks[[#This Row],[_Days]]),0.1),0)</f>
        <v>0</v>
      </c>
      <c r="FW112" s="42" t="n">
        <f aca="false">Tasks[[#This Row],[_WeightDur]]*Tasks[[#This Row],[_LeafProgress]]</f>
        <v>0</v>
      </c>
      <c r="FX112" s="42" t="n">
        <f aca="false">Tasks[[#This Row],[_WeightDur]]*Tasks[[#This Row],[_PlannedPct]]</f>
        <v>0</v>
      </c>
      <c r="FY11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2" s="42" t="str">
        <f aca="false">IF(AND(Tasks[[#This Row],[_IsLeaf]]=1,N(Tasks[[#This Row],[_Days]])=0,Tasks[[#This Row],[_LeafProgress]]&lt;1),Tasks[[#This Row],[_ShownFcstFinish]]+Tasks[[#This Row],[_Row]]/100000,"")</f>
        <v/>
      </c>
      <c r="GA11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2" s="42" t="str">
        <f aca="false">IF(Tasks[[#This Row],[Task Name]]="","",LEFT(Tasks[[#This Row],[WBS]],FIND(".",Tasks[[#This Row],[WBS]]&amp;".")-1))</f>
        <v/>
      </c>
      <c r="GC112" s="42" t="str">
        <f aca="false">IF(AND(Tasks[[#This Row],[Task Name]]&lt;&gt;"",Tasks[[#This Row],[_Level]]=1),Tasks[[#This Row],[_Row]],"")</f>
        <v/>
      </c>
      <c r="GD112" s="42" t="str">
        <f aca="false">IF(AND(Tasks[[#This Row],[_IsLeaf]]=1,N(Tasks[[#This Row],[_Days]])=0),Tasks[[#This Row],[Planned Finish]]+Tasks[[#This Row],[_Row]]/100000,"")</f>
        <v/>
      </c>
      <c r="GE112" s="42" t="str">
        <f aca="false">IF(AND(Tasks[[#This Row],[_IsLeaf]]=1,Tasks[[#This Row],[_LeafProgress]]&lt;1,OR(N(Tasks[[#This Row],[Finish Var]])&gt;0,Tasks[[#This Row],[Status]]="Late Start")),MAX(0,Tasks[[#This Row],[Finish Var]])+1-Tasks[[#This Row],[_Row]]/1000000,"")</f>
        <v/>
      </c>
      <c r="GF112" s="42" t="str">
        <f aca="false">IF(AND(Tasks[[#This Row],[_IsLeaf]]=1,N(Tasks[[#This Row],[Actual Start]])=0,Tasks[[#This Row],[_ShownFcstStart]]&gt;=StatusDate,Tasks[[#This Row],[_ShownFcstStart]]&lt;=LookaheadEnd),Tasks[[#This Row],[_ShownFcstStart]]+Tasks[[#This Row],[_Row]]/100000,"")</f>
        <v/>
      </c>
      <c r="GG112" s="42" t="str">
        <f aca="false">IF(AND(Tasks[[#This Row],[_IsLeaf]]=1,Tasks[[#This Row],[_LeafProgress]]&lt;1,Tasks[[#This Row],[_ShownFcstFinish]]&gt;=StatusDate,Tasks[[#This Row],[_ShownFcstFinish]]&lt;=LookaheadEnd),Tasks[[#This Row],[_ShownFcstFinish]]+Tasks[[#This Row],[_Row]]/100000,"")</f>
        <v/>
      </c>
      <c r="GH112" s="42" t="str">
        <f aca="false">IF(Tasks[[#This Row],[_LeafCritical]],Tasks[[#This Row],[_ShownFcstStart]]+Tasks[[#This Row],[_Row]]/100000,"")</f>
        <v/>
      </c>
      <c r="GI112" s="42" t="n">
        <f aca="false">Tasks[[#This Row],[_LeafWork]]*Tasks[[#This Row],[_LeafProgress]]</f>
        <v>0</v>
      </c>
      <c r="GJ112" s="89" t="str">
        <f aca="false">IF(AND(Tasks[[#This Row],[_IsLeaf]]=1,Tasks[[#This Row],[_LeafProgress]]&gt;=1),IF(N(Tasks[[#This Row],[Actual Finish]])&gt;0,Tasks[[#This Row],[Actual Finish]],Tasks[[#This Row],[_ShownFcstFinish]]),"")</f>
        <v/>
      </c>
      <c r="GK112" s="42" t="n">
        <f aca="false">IF(Tasks[[#This Row],[_IsLeaf]]=1,N(Tasks[[#This Row],[Story Points]]),0)</f>
        <v>0</v>
      </c>
      <c r="GL112" s="42" t="str">
        <f aca="false">""</f>
        <v/>
      </c>
      <c r="GM112" s="88" t="b">
        <f aca="false">IF(Tasks[[#This Row],[Task Name]]="",FALSE(),AND(Tasks[[#This Row],[_IsLeaf]]=1,N(Tasks[[#This Row],[_Days]])=0))</f>
        <v>0</v>
      </c>
      <c r="GN112" s="89" t="n">
        <f aca="false">IF(Tasks[[#This Row],[Task Name]]="",0,IF(AND(Tasks[[#This Row],[_IsLeaf]]=1,NOT(Tasks[[#This Row],[_IsMilestone]]),N(Tasks[[#This Row],[Progress]])&gt;0),Tasks[[#This Row],[Start]],0))</f>
        <v>0</v>
      </c>
      <c r="GO112" s="89" t="n">
        <f aca="false">IF(Tasks[[#This Row],[_DoneFrom]]=0,0,IF(Tasks[[#This Row],[Progress]]&gt;=1,Tasks[[#This Row],[Finish]],MAX(Tasks[[#This Row],[_DoneFrom]],Tasks[[#This Row],[Start]]+ROUND((Tasks[[#This Row],[Finish]]-Tasks[[#This Row],[Start]]+1)*Tasks[[#This Row],[Progress]],0)-1)))</f>
        <v>0</v>
      </c>
      <c r="GP112" s="89" t="n">
        <f aca="false">IF(Tasks[[#This Row],[Task Name]]="",0,IF(OR(NOT(Tasks[[#This Row],[_IsLeaf]]=1),Tasks[[#This Row],[_IsMilestone]],N(Tasks[[#This Row],[Progress]])&gt;=1),0,IF(Tasks[[#This Row],[_DoneTo]]&gt;0,Tasks[[#This Row],[_DoneTo]]+1,Tasks[[#This Row],[Start]])))</f>
        <v>0</v>
      </c>
      <c r="GQ112" s="89" t="n">
        <f aca="false">IF(Tasks[[#This Row],[_RemFrom]]=0,0,Tasks[[#This Row],[Finish]])</f>
        <v>0</v>
      </c>
      <c r="GR112" s="88" t="b">
        <f aca="false">IF(Tasks[[#This Row],[Task Name]]="",FALSE(),OR(NOT(BaselineSet),N(Tasks[[#This Row],[Baseline Start]])&gt;0))</f>
        <v>0</v>
      </c>
      <c r="GS11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2" s="90" t="str">
        <f aca="false">IF(Tasks[[#This Row],[_IsLeaf]]=1,Tasks[[#This Row],[_Row]],"")</f>
        <v/>
      </c>
      <c r="GW112" s="90" t="str">
        <f aca="false">IFERROR(INDEX(Tasks[UID],SMALL(Tasks[_PickKey],Tasks[[#This Row],[_Row]]))&amp;" "&amp;INDEX(Tasks[Task Name],SMALL(Tasks[_PickKey],Tasks[[#This Row],[_Row]])),"")</f>
        <v/>
      </c>
      <c r="GX112" s="42" t="str">
        <f aca="false">IF(Tasks[[#This Row],[Task Name]]="","",IF(Tasks[[#This Row],[_IsSummary]],NETWORKDAYS.INTL(Tasks[[#This Row],[Start]],Tasks[[#This Row],[Finish]],WorkWeek,Holidays),N(Tasks[[#This Row],[_Days]])))</f>
        <v/>
      </c>
    </row>
    <row r="113" customFormat="false" ht="15" hidden="false" customHeight="false" outlineLevel="0" collapsed="false">
      <c r="A113" s="21" t="str">
        <f aca="false">IF(Tasks[[#This Row],[Task Name]]="","",COUNTA(Tasks[[#Headers],[Task Name]]:Tasks[[#This Row],[Task Name]])-1)</f>
        <v/>
      </c>
      <c r="B113" s="22" t="n">
        <v>121</v>
      </c>
      <c r="C113" s="22"/>
      <c r="D113" s="23"/>
      <c r="E113" s="22"/>
      <c r="F113" s="23"/>
      <c r="G113" s="22"/>
      <c r="H113" s="22"/>
      <c r="I113" s="23"/>
      <c r="J113" s="22"/>
      <c r="K113" s="22"/>
      <c r="L113" s="23"/>
      <c r="M113" s="22"/>
      <c r="N113" s="22"/>
      <c r="O113" s="23"/>
      <c r="P113" s="22"/>
      <c r="Q113" s="22"/>
      <c r="R113" s="23"/>
      <c r="S113" s="23"/>
      <c r="T113" s="83"/>
      <c r="U113" s="23"/>
      <c r="V113" s="83"/>
      <c r="W113" s="23"/>
      <c r="X113" s="83"/>
      <c r="Y113" s="23"/>
      <c r="Z113" s="83"/>
      <c r="AA113" s="23"/>
      <c r="AB113" s="23"/>
      <c r="AC113" s="7"/>
      <c r="AD113" s="7"/>
      <c r="AE113" s="62" t="str">
        <f aca="false">IF(Tasks[[#This Row],[Task Name]]="","",IF(Tasks[[#This Row],[_IsSummary]],MIN(INDEX(Tasks[_ShownFcstStart],Tasks[[#This Row],[_Row]]+1):INDEX(Tasks[_ShownFcstStart],Tasks[[#This Row],[_Row]]+Tasks[[#This Row],[_Descendants]])),Tasks[[#This Row],[_ShownFcstStart]]))</f>
        <v/>
      </c>
      <c r="AF113" s="62" t="str">
        <f aca="false">IF(Tasks[[#This Row],[Task Name]]="","",IF(Tasks[[#This Row],[_IsSummary]],MAX(INDEX(Tasks[_ShownFcstFinish],Tasks[[#This Row],[_Row]]+1):INDEX(Tasks[_ShownFcstFinish],Tasks[[#This Row],[_Row]]+Tasks[[#This Row],[_Descendants]])),Tasks[[#This Row],[_ShownFcstFinish]]))</f>
        <v/>
      </c>
      <c r="AG113" s="21" t="str">
        <f aca="false">""</f>
        <v/>
      </c>
      <c r="AH113" s="23"/>
      <c r="AI11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3" s="7"/>
      <c r="AK113" s="22"/>
      <c r="AL113" s="23"/>
      <c r="AM113" s="7"/>
      <c r="AN113" s="46" t="str">
        <f aca="false">IF(Tasks[[#This Row],[Task Name]]="","",IF(Tasks[[#This Row],[Finish]]&gt;=Tasks[[#This Row],[Planned Finish]],NETWORKDAYS.INTL(Tasks[[#This Row],[Planned Finish]],Tasks[[#This Row],[Finish]],WorkWeek,Holidays)-1,1-NETWORKDAYS.INTL(Tasks[[#This Row],[Finish]],Tasks[[#This Row],[Planned Finish]],WorkWeek,Holidays)))</f>
        <v/>
      </c>
      <c r="AO113" s="21" t="str">
        <f aca="false">IF(Tasks[[#This Row],[Task Name]]="","",IF(Tasks[[#This Row],[Progress]]&gt;=1,"Complete",IF(OR(N(Tasks[[#This Row],[Actual Start]])&gt;0,Tasks[[#This Row],[Progress]]&gt;0),IF(Tasks[[#This Row],[Finish Var]]&gt;0,"Behind","In Progress"),IF(Tasks[[#This Row],[Planned Start]]&lt;StatusDate,"Late Start","Not Started"))))</f>
        <v/>
      </c>
      <c r="AP113" s="21" t="str">
        <f aca="false">IF(Tasks[[#This Row],[Task Name]]="","",IF(IF(Tasks[[#This Row],[_IsSummary]],COUNTIF(INDEX(Tasks[_LeafCritical],Tasks[[#This Row],[_Row]]+1):INDEX(Tasks[_LeafCritical],Tasks[[#This Row],[_Row]]+Tasks[[#This Row],[_Descendants]]),TRUE())&gt;0,Tasks[[#This Row],[_LeafCritical]]),"Yes",""))</f>
        <v/>
      </c>
      <c r="AQ113" s="62" t="str">
        <f aca="false">IF(Tasks[[#This Row],[Task Name]]="","",IF(N(Tasks[[#This Row],[Baseline Start]])&gt;0,Tasks[[#This Row],[Baseline Start]],Tasks[[#This Row],[_CalcStart]]))</f>
        <v/>
      </c>
      <c r="AR113" s="62" t="str">
        <f aca="false">IF(Tasks[[#This Row],[Task Name]]="","",IF(N(Tasks[[#This Row],[Baseline Finish]])&gt;0,Tasks[[#This Row],[Baseline Finish]],Tasks[[#This Row],[_CalcFinish]]))</f>
        <v/>
      </c>
      <c r="AS113" s="46" t="str">
        <f aca="false">IF(Tasks[[#This Row],[Task Name]]="","",IF(Tasks[[#This Row],[Start]]&gt;=Tasks[[#This Row],[Planned Start]],NETWORKDAYS.INTL(Tasks[[#This Row],[Planned Start]],Tasks[[#This Row],[Start]],WorkWeek,Holidays)-1,1-NETWORKDAYS.INTL(Tasks[[#This Row],[Start]],Tasks[[#This Row],[Planned Start]],WorkWeek,Holidays)))</f>
        <v/>
      </c>
      <c r="AT113" s="62" t="str">
        <f aca="false">IF(Tasks[[#This Row],[Task Name]]="","",IF(Tasks[[#This Row],[_IsSummary]],MIN(INDEX(Tasks[_LeafLateStart],Tasks[[#This Row],[_Row]]+1):INDEX(Tasks[_LeafLateStart],Tasks[[#This Row],[_Row]]+Tasks[[#This Row],[_Descendants]])),Tasks[[#This Row],[_LeafLateStart]]))</f>
        <v/>
      </c>
      <c r="AU113" s="62" t="str">
        <f aca="false">IF(Tasks[[#This Row],[Task Name]]="","",IF(Tasks[[#This Row],[_IsSummary]],MAX(INDEX(Tasks[_LeafLateFinish],Tasks[[#This Row],[_Row]]+1):INDEX(Tasks[_LeafLateFinish],Tasks[[#This Row],[_Row]]+Tasks[[#This Row],[_Descendants]])),Tasks[[#This Row],[_LeafLateFinish]]))</f>
        <v/>
      </c>
      <c r="AV113" s="46" t="str">
        <f aca="false">IF(Tasks[[#This Row],[Task Name]]="","",IF(Tasks[[#This Row],[_IsSummary]],MIN(INDEX(Tasks[_LeafTotalSlack],Tasks[[#This Row],[_Row]]+1):INDEX(Tasks[_LeafTotalSlack],Tasks[[#This Row],[_Row]]+Tasks[[#This Row],[_Descendants]])),Tasks[[#This Row],[_LeafTotalSlack]]))</f>
        <v/>
      </c>
      <c r="AW11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4"/>
      <c r="BA11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t="str">
        <f aca="false">IF(Tasks[[#This Row],[Task Name]]="","",IF(Tasks[[#This Row],[_Level]]&lt;=OutlineShowLevel,"Yes","No"))</f>
        <v/>
      </c>
      <c r="BE113" s="85" t="str">
        <f aca="false">IF(Tasks[[#This Row],[Task Name]]="","",IF(Tasks[[#This Row],[_IsSummary]],SUM(INDEX(Tasks[_LeafTotalWork],Tasks[[#This Row],[_Row]]+1):INDEX(Tasks[_LeafTotalWork],Tasks[[#This Row],[_Row]]+Tasks[[#This Row],[_Descendants]])),Tasks[[#This Row],[_LeafTotalWork]]))</f>
        <v/>
      </c>
      <c r="BF113" s="23"/>
      <c r="BG11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t="str">
        <f aca="false">""</f>
        <v/>
      </c>
      <c r="BI113" s="86"/>
      <c r="BJ113" s="22"/>
      <c r="BK113" s="46" t="str">
        <f aca="false">IF(OR(Tasks[[#This Row],[Task Name]]="",Tasks[[#This Row],[Baseline Duration]]=""),"",Tasks[[#This Row],[_SpanDays]]-N(Tasks[[#This Row],[Baseline Duration]]))</f>
        <v/>
      </c>
      <c r="BL113" s="85" t="str">
        <f aca="false">IF(OR(Tasks[[#This Row],[Task Name]]="",Tasks[[#This Row],[Baseline Work]]=""),"",Tasks[[#This Row],[Work]]-N(Tasks[[#This Row],[Baseline Work]]))</f>
        <v/>
      </c>
      <c r="BM113" s="62" t="str">
        <f aca="false">IF(Tasks[[#This Row],[Task Name]]="","",IF(OR(TakeBaseline="Yes",N(Tasks[[#This Row],[Baseline Start]])=0),Tasks[[#This Row],[Start]],Tasks[[#This Row],[Baseline Start]]))</f>
        <v/>
      </c>
      <c r="BN113" s="62" t="str">
        <f aca="false">IF(Tasks[[#This Row],[Task Name]]="","",IF(OR(TakeBaseline="Yes",N(Tasks[[#This Row],[Baseline Finish]])=0),Tasks[[#This Row],[Finish]],Tasks[[#This Row],[Baseline Finish]]))</f>
        <v/>
      </c>
      <c r="BO113" s="21" t="str">
        <f aca="false">IF(Tasks[[#This Row],[Task Name]]="","",IF(OR(TakeBaseline="Yes",N(Tasks[[#This Row],[Baseline Duration]])=0),Tasks[[#This Row],[_SpanDays]],Tasks[[#This Row],[Baseline Duration]]))</f>
        <v/>
      </c>
      <c r="BP113" s="85" t="str">
        <f aca="false">IF(Tasks[[#This Row],[Task Name]]="","",IF(OR(TakeBaseline="Yes",N(Tasks[[#This Row],[Baseline Work]])=0),Tasks[[#This Row],[Work]],Tasks[[#This Row],[Baseline Work]]))</f>
        <v/>
      </c>
      <c r="BQ113" s="7"/>
      <c r="BR113" s="7"/>
      <c r="BS113" s="22"/>
      <c r="BT113" s="87"/>
      <c r="BU113" s="42" t="str">
        <f aca="false">IF(Tasks[[#This Row],[Task Name]]="","",MAX(1,N(Tasks[[#This Row],[Level]])))</f>
        <v/>
      </c>
      <c r="BV113" s="42" t="n">
        <f aca="false">ROW()-ROW(Tasks[[#Headers],[ID]])</f>
        <v>108</v>
      </c>
      <c r="BW113" s="42" t="n">
        <f aca="false">IF(OR(Tasks[[#This Row],[Task Name]]="",Tasks[[#This Row],[_Level]]&lt;=1),0,IFERROR(LOOKUP(2,1/(Tasks[[#Headers],[_Level]]:Tasks[[#This Row],[_Level]]=Tasks[[#This Row],[_Level]]-1),ROW(Tasks[[#Headers],[_Level]]:Tasks[[#This Row],[_Level]])),0))</f>
        <v>0</v>
      </c>
      <c r="BX113" s="42" t="n">
        <f aca="false">IFERROR(N(INDEX(Tasks[_Level],Tasks[[#This Row],[_Row]]+1)),0)</f>
        <v>0</v>
      </c>
      <c r="BY113" s="88" t="b">
        <f aca="false">AND(Tasks[[#This Row],[Task Name]]&lt;&gt;"",Tasks[[#This Row],[_NextLevel]]&gt;Tasks[[#This Row],[_Level]])</f>
        <v>0</v>
      </c>
      <c r="BZ113" s="42" t="n">
        <f aca="false">IF(Tasks[[#This Row],[_IsSummary]],COUNTIF(Tasks[WBS],Tasks[[#This Row],[WBS]]&amp;".*"),0)</f>
        <v>0</v>
      </c>
      <c r="CA113" s="42" t="n">
        <f aca="false">IF(AND(Tasks[[#This Row],[Task Name]]&lt;&gt;"",NOT(Tasks[[#This Row],[_IsSummary]])),1,0)</f>
        <v>0</v>
      </c>
      <c r="CB113" s="42" t="n">
        <f aca="false">IF(N(Tasks[[#This Row],[_Pred1UID]])=0,0,IFERROR(MATCH(Tasks[[#This Row],[_Pred1UID]],Tasks[UID],0),-1))</f>
        <v>0</v>
      </c>
      <c r="CC113" s="42" t="n">
        <f aca="false">IF(N(Tasks[[#This Row],[_Pred2UID]])=0,0,IFERROR(MATCH(Tasks[[#This Row],[_Pred2UID]],Tasks[UID],0),-1))</f>
        <v>0</v>
      </c>
      <c r="CD113" s="42" t="n">
        <f aca="false">IF(N(Tasks[[#This Row],[_Pred3UID]])=0,0,IFERROR(MATCH(Tasks[[#This Row],[_Pred3UID]],Tasks[UID],0),-1))</f>
        <v>0</v>
      </c>
      <c r="CE113" s="42" t="n">
        <f aca="false">IF(N(Tasks[[#This Row],[_Pred4UID]])=0,0,IFERROR(MATCH(Tasks[[#This Row],[_Pred4UID]],Tasks[UID],0),-1))</f>
        <v>0</v>
      </c>
      <c r="CF11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3" s="89" t="n">
        <f aca="false">IF(OR(Tasks[[#This Row],[_ConstraintCode]]=2,Tasks[[#This Row],[_ConstraintCode]]=3,Tasks[[#This Row],[_ConstraintCode]]=4,Tasks[[#This Row],[_ConstraintCode]]=6),Tasks[[#This Row],[_ConstraintStart]],0)</f>
        <v>0</v>
      </c>
      <c r="CI113" s="89" t="n">
        <f aca="false">IF(OR(Tasks[[#This Row],[_ConstraintCode]]=2,Tasks[[#This Row],[_ConstraintCode]]=3,Tasks[[#This Row],[_ConstraintCode]]=5,Tasks[[#This Row],[_ConstraintCode]]=7),Tasks[[#This Row],[_ConstraintStart]],2958465)</f>
        <v>2958465</v>
      </c>
      <c r="CJ11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3" s="89" t="str">
        <f aca="false">IF(NOT(Tasks[[#This Row],[_IsLeaf]]=1),"",IF(N(Tasks[[#This Row],[_Days]])&lt;=0,Tasks[[#This Row],[_LeafCalcStart]],WORKDAY.INTL(Tasks[[#This Row],[_LeafCalcStart]],Tasks[[#This Row],[_Days]]-1,WorkWeek,Holidays)))</f>
        <v/>
      </c>
      <c r="CL11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3" s="42" t="str">
        <f aca="false">IF(Tasks[[#This Row],[_Predecessors]]="","",TRIM(MID(SUBSTITUTE(SUBSTITUTE(SUBSTITUTE(UPPER(Tasks[[#This Row],[_Predecessors]]),";",",")," ",""),",",REPT(" ",99)),1,99)))</f>
        <v/>
      </c>
      <c r="CO113" s="42" t="str">
        <f aca="false">IF(Tasks[[#This Row],[_Pred1Text]]="","",IFERROR(VALUE(LEFT(Tasks[[#This Row],[_Pred1Text]],MIN(FIND("F",Tasks[[#This Row],[_Pred1Text]]&amp;"F"),FIND("S",Tasks[[#This Row],[_Pred1Text]]&amp;"S"),FIND("+",Tasks[[#This Row],[_Pred1Text]]&amp;"+"),FIND("-",Tasks[[#This Row],[_Pred1Text]]&amp;"-"))-1)),""))</f>
        <v/>
      </c>
      <c r="CP11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3" s="42" t="str">
        <f aca="false">IF(Tasks[[#This Row],[_Pred1Text]]="","",TRIM(MID(SUBSTITUTE(SUBSTITUTE(SUBSTITUTE(UPPER(Tasks[[#This Row],[_Predecessors]]),";",",")," ",""),",",REPT(" ",99)),100,99)))</f>
        <v/>
      </c>
      <c r="CS113" s="42" t="str">
        <f aca="false">IF(Tasks[[#This Row],[_Pred2Text]]="","",IFERROR(VALUE(LEFT(Tasks[[#This Row],[_Pred2Text]],MIN(FIND("F",Tasks[[#This Row],[_Pred2Text]]&amp;"F"),FIND("S",Tasks[[#This Row],[_Pred2Text]]&amp;"S"),FIND("+",Tasks[[#This Row],[_Pred2Text]]&amp;"+"),FIND("-",Tasks[[#This Row],[_Pred2Text]]&amp;"-"))-1)),""))</f>
        <v/>
      </c>
      <c r="CT11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3" s="42" t="str">
        <f aca="false">IF(Tasks[[#This Row],[_Pred2Text]]="","",TRIM(MID(SUBSTITUTE(SUBSTITUTE(SUBSTITUTE(UPPER(Tasks[[#This Row],[_Predecessors]]),";",",")," ",""),",",REPT(" ",99)),199,99)))</f>
        <v/>
      </c>
      <c r="CW113" s="42" t="str">
        <f aca="false">IF(Tasks[[#This Row],[_Pred3Text]]="","",IFERROR(VALUE(LEFT(Tasks[[#This Row],[_Pred3Text]],MIN(FIND("F",Tasks[[#This Row],[_Pred3Text]]&amp;"F"),FIND("S",Tasks[[#This Row],[_Pred3Text]]&amp;"S"),FIND("+",Tasks[[#This Row],[_Pred3Text]]&amp;"+"),FIND("-",Tasks[[#This Row],[_Pred3Text]]&amp;"-"))-1)),""))</f>
        <v/>
      </c>
      <c r="CX11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3" s="42" t="str">
        <f aca="false">IF(Tasks[[#This Row],[_Pred3Text]]="","",TRIM(MID(SUBSTITUTE(SUBSTITUTE(SUBSTITUTE(UPPER(Tasks[[#This Row],[_Predecessors]]),";",",")," ",""),",",REPT(" ",99)),298,99)))</f>
        <v/>
      </c>
      <c r="DA113" s="42" t="str">
        <f aca="false">IF(Tasks[[#This Row],[_Pred4Text]]="","",IFERROR(VALUE(LEFT(Tasks[[#This Row],[_Pred4Text]],MIN(FIND("F",Tasks[[#This Row],[_Pred4Text]]&amp;"F"),FIND("S",Tasks[[#This Row],[_Pred4Text]]&amp;"S"),FIND("+",Tasks[[#This Row],[_Pred4Text]]&amp;"+"),FIND("-",Tasks[[#This Row],[_Pred4Text]]&amp;"-"))-1)),""))</f>
        <v/>
      </c>
      <c r="DB11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3" s="42" t="str">
        <f aca="false">IF(OR(Tasks[[#This Row],[Task Name]]="",Tasks[[#This Row],[_Resources]]=""),"",TRIM(MID(SUBSTITUTE(Tasks[[#This Row],[_Resources]],",",REPT(" ",99)),1,99)))</f>
        <v/>
      </c>
      <c r="DE113" s="42" t="str">
        <f aca="false">IF(Tasks[[#This Row],[_Res1Text]]="","",TRIM(MID(SUBSTITUTE(Tasks[[#This Row],[_Resources]],",",REPT(" ",99)),100,99)))</f>
        <v/>
      </c>
      <c r="DF113" s="42" t="str">
        <f aca="false">IF(Tasks[[#This Row],[_Res2Text]]="","",TRIM(MID(SUBSTITUTE(Tasks[[#This Row],[_Resources]],",",REPT(" ",99)),199,99)))</f>
        <v/>
      </c>
      <c r="DG113" s="42" t="str">
        <f aca="false">IF(Tasks[[#This Row],[_Res3Text]]="","",TRIM(MID(SUBSTITUTE(Tasks[[#This Row],[_Resources]],",",REPT(" ",99)),298,99)))</f>
        <v/>
      </c>
      <c r="DH113" s="42" t="n">
        <f aca="false">IF(Tasks[[#This Row],[_Res1Text]]="",0,IFERROR(MATCH(TRIM(LEFT(Tasks[[#This Row],[_Res1Text]],FIND("[",Tasks[[#This Row],[_Res1Text]]&amp;"[")-1)),res_Name,0),IFERROR(MATCH(TRIM(LEFT(Tasks[[#This Row],[_Res1Text]],FIND("[",Tasks[[#This Row],[_Res1Text]]&amp;"[")-1)),res_Initials,0),0)))</f>
        <v>0</v>
      </c>
      <c r="DI113" s="42" t="n">
        <f aca="false">IF(Tasks[[#This Row],[_Res2Text]]="",0,IFERROR(MATCH(TRIM(LEFT(Tasks[[#This Row],[_Res2Text]],FIND("[",Tasks[[#This Row],[_Res2Text]]&amp;"[")-1)),res_Name,0),IFERROR(MATCH(TRIM(LEFT(Tasks[[#This Row],[_Res2Text]],FIND("[",Tasks[[#This Row],[_Res2Text]]&amp;"[")-1)),res_Initials,0),0)))</f>
        <v>0</v>
      </c>
      <c r="DJ113" s="42" t="n">
        <f aca="false">IF(Tasks[[#This Row],[_Res3Text]]="",0,IFERROR(MATCH(TRIM(LEFT(Tasks[[#This Row],[_Res3Text]],FIND("[",Tasks[[#This Row],[_Res3Text]]&amp;"[")-1)),res_Name,0),IFERROR(MATCH(TRIM(LEFT(Tasks[[#This Row],[_Res3Text]],FIND("[",Tasks[[#This Row],[_Res3Text]]&amp;"[")-1)),res_Initials,0),0)))</f>
        <v>0</v>
      </c>
      <c r="DK113" s="42" t="n">
        <f aca="false">IF(Tasks[[#This Row],[_Res4Text]]="",0,IFERROR(MATCH(TRIM(LEFT(Tasks[[#This Row],[_Res4Text]],FIND("[",Tasks[[#This Row],[_Res4Text]]&amp;"[")-1)),res_Name,0),IFERROR(MATCH(TRIM(LEFT(Tasks[[#This Row],[_Res4Text]],FIND("[",Tasks[[#This Row],[_Res4Text]]&amp;"[")-1)),res_Initials,0),0)))</f>
        <v>0</v>
      </c>
      <c r="DL113" s="42" t="str">
        <f aca="false">IF(Tasks[[#This Row],[_Res1Text]]="","",IF(Tasks[[#This Row],[_Res1Row]]&gt;0,INDEX(res_Name,Tasks[[#This Row],[_Res1Row]]),TRIM(LEFT(Tasks[[#This Row],[_Res1Text]],FIND("[",Tasks[[#This Row],[_Res1Text]]&amp;"[")-1))))</f>
        <v/>
      </c>
      <c r="DM11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3" s="42" t="n">
        <f aca="false">IF(NOT(Tasks[[#This Row],[_IsLeaf]]=1),0,(Tasks[[#This Row],[_Resource1]]&lt;&gt;"")+(Tasks[[#This Row],[_Res2]]&lt;&gt;"")+(Tasks[[#This Row],[_Res3]]&lt;&gt;"")+(Tasks[[#This Row],[_Res4]]&lt;&gt;""))</f>
        <v>0</v>
      </c>
      <c r="DO113" s="42" t="str">
        <f aca="false">IF(Tasks[[#This Row],[_Res2Text]]="","",IF(Tasks[[#This Row],[_Res2Row]]&gt;0,INDEX(res_Name,Tasks[[#This Row],[_Res2Row]]),TRIM(LEFT(Tasks[[#This Row],[_Res2Text]],FIND("[",Tasks[[#This Row],[_Res2Text]]&amp;"[")-1))))</f>
        <v/>
      </c>
      <c r="DP11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3" s="42" t="n">
        <f aca="false">IF(OR(NOT(Tasks[[#This Row],[_IsLeaf]]=1),Tasks[[#This Row],[_Res2Row]]=0),0,N(Tasks[[#This Row],[_Days]])*HoursPerDay*IF(Tasks[[#This Row],[_Res2Units]]="",DefaultUnits,Tasks[[#This Row],[_Res2Units]]))</f>
        <v>0</v>
      </c>
      <c r="DR113" s="42" t="n">
        <f aca="false">IF(AND(AND(Tasks[[#This Row],[_IsLeaf]]=1,Tasks[[#This Row],[_LeafTotalWork]]&gt;0),Tasks[[#This Row],[_Res2Work]]&gt;0),Tasks[[#This Row],[_Res2Work]]/(Tasks[[#This Row],[_FinishWorkday]]-Tasks[[#This Row],[_StartWorkday]]+1),0)</f>
        <v>0</v>
      </c>
      <c r="DS113" s="42" t="n">
        <f aca="false">Tasks[[#This Row],[_Res2WorkPerWD]]*MAX(0,Tasks[[#This Row],[_StartWorkday]]-1)</f>
        <v>0</v>
      </c>
      <c r="DT113" s="42" t="n">
        <f aca="false">Tasks[[#This Row],[_Res2Work]]*Tasks[[#This Row],[_LeafProgress]]</f>
        <v>0</v>
      </c>
      <c r="DU113" s="42" t="str">
        <f aca="false">IF(Tasks[[#This Row],[_Res3Text]]="","",IF(Tasks[[#This Row],[_Res3Row]]&gt;0,INDEX(res_Name,Tasks[[#This Row],[_Res3Row]]),TRIM(LEFT(Tasks[[#This Row],[_Res3Text]],FIND("[",Tasks[[#This Row],[_Res3Text]]&amp;"[")-1))))</f>
        <v/>
      </c>
      <c r="DV11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3" s="42" t="n">
        <f aca="false">IF(OR(NOT(Tasks[[#This Row],[_IsLeaf]]=1),Tasks[[#This Row],[_Res3Row]]=0),0,N(Tasks[[#This Row],[_Days]])*HoursPerDay*IF(Tasks[[#This Row],[_Res3Units]]="",DefaultUnits,Tasks[[#This Row],[_Res3Units]]))</f>
        <v>0</v>
      </c>
      <c r="DX113" s="42" t="n">
        <f aca="false">IF(AND(AND(Tasks[[#This Row],[_IsLeaf]]=1,Tasks[[#This Row],[_LeafTotalWork]]&gt;0),Tasks[[#This Row],[_Res3Work]]&gt;0),Tasks[[#This Row],[_Res3Work]]/(Tasks[[#This Row],[_FinishWorkday]]-Tasks[[#This Row],[_StartWorkday]]+1),0)</f>
        <v>0</v>
      </c>
      <c r="DY113" s="42" t="n">
        <f aca="false">Tasks[[#This Row],[_Res3WorkPerWD]]*MAX(0,Tasks[[#This Row],[_StartWorkday]]-1)</f>
        <v>0</v>
      </c>
      <c r="DZ113" s="42" t="n">
        <f aca="false">Tasks[[#This Row],[_Res3Work]]*Tasks[[#This Row],[_LeafProgress]]</f>
        <v>0</v>
      </c>
      <c r="EA113" s="42" t="str">
        <f aca="false">IF(Tasks[[#This Row],[_Res4Text]]="","",IF(Tasks[[#This Row],[_Res4Row]]&gt;0,INDEX(res_Name,Tasks[[#This Row],[_Res4Row]]),TRIM(LEFT(Tasks[[#This Row],[_Res4Text]],FIND("[",Tasks[[#This Row],[_Res4Text]]&amp;"[")-1))))</f>
        <v/>
      </c>
      <c r="EB11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3" s="42" t="n">
        <f aca="false">IF(OR(NOT(Tasks[[#This Row],[_IsLeaf]]=1),Tasks[[#This Row],[_Res4Row]]=0),0,N(Tasks[[#This Row],[_Days]])*HoursPerDay*IF(Tasks[[#This Row],[_Res4Units]]="",DefaultUnits,Tasks[[#This Row],[_Res4Units]]))</f>
        <v>0</v>
      </c>
      <c r="ED113" s="42" t="n">
        <f aca="false">IF(AND(AND(Tasks[[#This Row],[_IsLeaf]]=1,Tasks[[#This Row],[_LeafTotalWork]]&gt;0),Tasks[[#This Row],[_Res4Work]]&gt;0),Tasks[[#This Row],[_Res4Work]]/(Tasks[[#This Row],[_FinishWorkday]]-Tasks[[#This Row],[_StartWorkday]]+1),0)</f>
        <v>0</v>
      </c>
      <c r="EE113" s="42" t="n">
        <f aca="false">Tasks[[#This Row],[_Res4WorkPerWD]]*MAX(0,Tasks[[#This Row],[_StartWorkday]]-1)</f>
        <v>0</v>
      </c>
      <c r="EF113" s="42" t="n">
        <f aca="false">Tasks[[#This Row],[_Res4Work]]*Tasks[[#This Row],[_LeafProgress]]</f>
        <v>0</v>
      </c>
      <c r="EG113" s="42" t="n">
        <f aca="false">IF(ISNUMBER(Tasks[[#This Row],[% Complete]]),Tasks[[#This Row],[% Complete]],IF(Tasks[[#This Row],[Stage]]="",0,IFERROR(INDEX(stg_Pct,MATCH(Tasks[[#This Row],[Stage]],stg_Name,0)),0)))</f>
        <v>0</v>
      </c>
      <c r="EH113" s="42" t="n">
        <f aca="false">IF(NOT(Tasks[[#This Row],[_IsLeaf]]=1),0,IF(N(Tasks[[#This Row],[Actual Finish]])&gt;0,1,MIN(1,Tasks[[#This Row],[_Pct]])))</f>
        <v>0</v>
      </c>
      <c r="EI113" s="42" t="n">
        <f aca="false">IF(OR(NOT(Tasks[[#This Row],[_IsLeaf]]=1),Tasks[[#This Row],[_Res1Row]]=0),0,N(Tasks[[#This Row],[_Days]])*HoursPerDay*IF(Tasks[[#This Row],[_Units1]]="",DefaultUnits,Tasks[[#This Row],[_Units1]]))</f>
        <v>0</v>
      </c>
      <c r="EJ113" s="42" t="n">
        <f aca="false">Tasks[[#This Row],[_LeafWork]]+Tasks[[#This Row],[_Res2Work]]+Tasks[[#This Row],[_Res3Work]]+Tasks[[#This Row],[_Res4Work]]</f>
        <v>0</v>
      </c>
      <c r="EK11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3" s="42" t="n">
        <f aca="false">IF(NOT(Tasks[[#This Row],[_IsLeaf]]=1),0,MAX(_xlfn.MAXIFS(Tasks[_Row],Tasks[_Pred1UID],Tasks[[#This Row],[UID]]),_xlfn.MAXIFS(Tasks[_Row],Tasks[_Pred2UID],Tasks[[#This Row],[UID]]),_xlfn.MAXIFS(Tasks[_Row],Tasks[_Pred3UID],Tasks[[#This Row],[UID]]),_xlfn.MAXIFS(Tasks[_Row],Tasks[_Pred4UID],Tasks[[#This Row],[UID]])))</f>
        <v>0</v>
      </c>
      <c r="ET11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3" s="89" t="str">
        <f aca="false">IF(NOT(Tasks[[#This Row],[_IsLeaf]]=1),"",IF(N(Tasks[[#This Row],[_Days]])&lt;=0,Tasks[[#This Row],[_LeafLateFinish]],WORKDAY.INTL(Tasks[[#This Row],[_LeafLateFinish]],-(Tasks[[#This Row],[_Days]]-1),WorkWeek,Holidays)))</f>
        <v/>
      </c>
      <c r="EW11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3" s="88" t="b">
        <f aca="false">AND(Tasks[[#This Row],[_IsLeaf]]=1,Tasks[[#This Row],[_LeafProgress]]&lt;1,N(Tasks[[#This Row],[_LeafTotalSlack]])&lt;=CriticalSlackDays)</f>
        <v>0</v>
      </c>
      <c r="EY113" s="42" t="n">
        <f aca="false">IF(AND(Tasks[[#This Row],[_IsLeaf]]=1,Tasks[[#This Row],[_ConstraintCode]]=1,Tasks[[#This Row],[Mode]]&lt;&gt;"Manual",N(Tasks[[#This Row],[Actual Start]])=0),MAX(0,N(Tasks[[#This Row],[Free Slack]])),0)</f>
        <v>0</v>
      </c>
      <c r="EZ113" s="89" t="str">
        <f aca="false">IF(NOT(Tasks[[#This Row],[_IsLeaf]]=1),"",IF(Tasks[[#This Row],[_AlapShift]]=0,Tasks[[#This Row],[_LeafCalcStart]],WORKDAY.INTL(Tasks[[#This Row],[_LeafCalcStart]],Tasks[[#This Row],[_AlapShift]],WorkWeek,Holidays)))</f>
        <v/>
      </c>
      <c r="FA113" s="89" t="str">
        <f aca="false">IF(NOT(Tasks[[#This Row],[_IsLeaf]]=1),"",IF(Tasks[[#This Row],[_AlapShift]]=0,Tasks[[#This Row],[_LeafCalcFinish]],WORKDAY.INTL(Tasks[[#This Row],[_LeafCalcFinish]],Tasks[[#This Row],[_AlapShift]],WorkWeek,Holidays)))</f>
        <v/>
      </c>
      <c r="FB113" s="89" t="str">
        <f aca="false">IF(NOT(Tasks[[#This Row],[_IsLeaf]]=1),"",IF(Tasks[[#This Row],[_AlapShift]]=0,Tasks[[#This Row],[_LeafFcstStart]],WORKDAY.INTL(Tasks[[#This Row],[_LeafFcstStart]],Tasks[[#This Row],[_AlapShift]],WorkWeek,Holidays)))</f>
        <v/>
      </c>
      <c r="FC113" s="89" t="str">
        <f aca="false">IF(NOT(Tasks[[#This Row],[_IsLeaf]]=1),"",IF(Tasks[[#This Row],[_AlapShift]]=0,Tasks[[#This Row],[_LeafFcstFinish]],WORKDAY.INTL(Tasks[[#This Row],[_LeafFcstFinish]],Tasks[[#This Row],[_AlapShift]],WorkWeek,Holidays)))</f>
        <v/>
      </c>
      <c r="FD113" s="89" t="str">
        <f aca="false">IF(Tasks[[#This Row],[Task Name]]="","",IF(Tasks[[#This Row],[_IsSummary]],MIN(INDEX(Tasks[_ShownCalcStart],Tasks[[#This Row],[_Row]]+1):INDEX(Tasks[_ShownCalcStart],Tasks[[#This Row],[_Row]]+Tasks[[#This Row],[_Descendants]])),Tasks[[#This Row],[_ShownCalcStart]]))</f>
        <v/>
      </c>
      <c r="FE113" s="89" t="str">
        <f aca="false">IF(Tasks[[#This Row],[Task Name]]="","",IF(Tasks[[#This Row],[_IsSummary]],MAX(INDEX(Tasks[_ShownCalcFinish],Tasks[[#This Row],[_Row]]+1):INDEX(Tasks[_ShownCalcFinish],Tasks[[#This Row],[_Row]]+Tasks[[#This Row],[_Descendants]])),Tasks[[#This Row],[_ShownCalcFinish]]))</f>
        <v/>
      </c>
      <c r="FF11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3" s="42" t="n">
        <f aca="false">IF(AND(Tasks[[#This Row],[_IsLeaf]]=1,Tasks[[#This Row],[_LeafTotalWork]]&gt;0),NETWORKDAYS.INTL(ProjectStart,Tasks[[#This Row],[_ShownFcstStart]],WorkWeek,Holidays),0)</f>
        <v>0</v>
      </c>
      <c r="FS113" s="42" t="n">
        <f aca="false">IF(AND(Tasks[[#This Row],[_IsLeaf]]=1,Tasks[[#This Row],[_LeafTotalWork]]&gt;0),MAX(Tasks[[#This Row],[_StartWorkday]],NETWORKDAYS.INTL(ProjectStart,Tasks[[#This Row],[_ShownFcstFinish]],WorkWeek,Holidays)),0)</f>
        <v>0</v>
      </c>
      <c r="FT113" s="42" t="n">
        <f aca="false">IF(AND(Tasks[[#This Row],[_IsLeaf]]=1,Tasks[[#This Row],[_LeafTotalWork]]&gt;0),Tasks[[#This Row],[_LeafWork]]/(Tasks[[#This Row],[_FinishWorkday]]-Tasks[[#This Row],[_StartWorkday]]+1),0)</f>
        <v>0</v>
      </c>
      <c r="FU113" s="42" t="n">
        <f aca="false">Tasks[[#This Row],[_WorkPerWorkday]]*(Tasks[[#This Row],[_StartWorkday]]-1)</f>
        <v>-0</v>
      </c>
      <c r="FV113" s="42" t="n">
        <f aca="false">IF(Tasks[[#This Row],[_IsLeaf]]=1,MAX(N(Tasks[[#This Row],[_Days]]),0.1),0)</f>
        <v>0</v>
      </c>
      <c r="FW113" s="42" t="n">
        <f aca="false">Tasks[[#This Row],[_WeightDur]]*Tasks[[#This Row],[_LeafProgress]]</f>
        <v>0</v>
      </c>
      <c r="FX113" s="42" t="n">
        <f aca="false">Tasks[[#This Row],[_WeightDur]]*Tasks[[#This Row],[_PlannedPct]]</f>
        <v>0</v>
      </c>
      <c r="FY11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3" s="42" t="str">
        <f aca="false">IF(AND(Tasks[[#This Row],[_IsLeaf]]=1,N(Tasks[[#This Row],[_Days]])=0,Tasks[[#This Row],[_LeafProgress]]&lt;1),Tasks[[#This Row],[_ShownFcstFinish]]+Tasks[[#This Row],[_Row]]/100000,"")</f>
        <v/>
      </c>
      <c r="GA11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3" s="42" t="str">
        <f aca="false">IF(Tasks[[#This Row],[Task Name]]="","",LEFT(Tasks[[#This Row],[WBS]],FIND(".",Tasks[[#This Row],[WBS]]&amp;".")-1))</f>
        <v/>
      </c>
      <c r="GC113" s="42" t="str">
        <f aca="false">IF(AND(Tasks[[#This Row],[Task Name]]&lt;&gt;"",Tasks[[#This Row],[_Level]]=1),Tasks[[#This Row],[_Row]],"")</f>
        <v/>
      </c>
      <c r="GD113" s="42" t="str">
        <f aca="false">IF(AND(Tasks[[#This Row],[_IsLeaf]]=1,N(Tasks[[#This Row],[_Days]])=0),Tasks[[#This Row],[Planned Finish]]+Tasks[[#This Row],[_Row]]/100000,"")</f>
        <v/>
      </c>
      <c r="GE113" s="42" t="str">
        <f aca="false">IF(AND(Tasks[[#This Row],[_IsLeaf]]=1,Tasks[[#This Row],[_LeafProgress]]&lt;1,OR(N(Tasks[[#This Row],[Finish Var]])&gt;0,Tasks[[#This Row],[Status]]="Late Start")),MAX(0,Tasks[[#This Row],[Finish Var]])+1-Tasks[[#This Row],[_Row]]/1000000,"")</f>
        <v/>
      </c>
      <c r="GF113" s="42" t="str">
        <f aca="false">IF(AND(Tasks[[#This Row],[_IsLeaf]]=1,N(Tasks[[#This Row],[Actual Start]])=0,Tasks[[#This Row],[_ShownFcstStart]]&gt;=StatusDate,Tasks[[#This Row],[_ShownFcstStart]]&lt;=LookaheadEnd),Tasks[[#This Row],[_ShownFcstStart]]+Tasks[[#This Row],[_Row]]/100000,"")</f>
        <v/>
      </c>
      <c r="GG113" s="42" t="str">
        <f aca="false">IF(AND(Tasks[[#This Row],[_IsLeaf]]=1,Tasks[[#This Row],[_LeafProgress]]&lt;1,Tasks[[#This Row],[_ShownFcstFinish]]&gt;=StatusDate,Tasks[[#This Row],[_ShownFcstFinish]]&lt;=LookaheadEnd),Tasks[[#This Row],[_ShownFcstFinish]]+Tasks[[#This Row],[_Row]]/100000,"")</f>
        <v/>
      </c>
      <c r="GH113" s="42" t="str">
        <f aca="false">IF(Tasks[[#This Row],[_LeafCritical]],Tasks[[#This Row],[_ShownFcstStart]]+Tasks[[#This Row],[_Row]]/100000,"")</f>
        <v/>
      </c>
      <c r="GI113" s="42" t="n">
        <f aca="false">Tasks[[#This Row],[_LeafWork]]*Tasks[[#This Row],[_LeafProgress]]</f>
        <v>0</v>
      </c>
      <c r="GJ113" s="89" t="str">
        <f aca="false">IF(AND(Tasks[[#This Row],[_IsLeaf]]=1,Tasks[[#This Row],[_LeafProgress]]&gt;=1),IF(N(Tasks[[#This Row],[Actual Finish]])&gt;0,Tasks[[#This Row],[Actual Finish]],Tasks[[#This Row],[_ShownFcstFinish]]),"")</f>
        <v/>
      </c>
      <c r="GK113" s="42" t="n">
        <f aca="false">IF(Tasks[[#This Row],[_IsLeaf]]=1,N(Tasks[[#This Row],[Story Points]]),0)</f>
        <v>0</v>
      </c>
      <c r="GL113" s="42" t="str">
        <f aca="false">""</f>
        <v/>
      </c>
      <c r="GM113" s="88" t="b">
        <f aca="false">IF(Tasks[[#This Row],[Task Name]]="",FALSE(),AND(Tasks[[#This Row],[_IsLeaf]]=1,N(Tasks[[#This Row],[_Days]])=0))</f>
        <v>0</v>
      </c>
      <c r="GN113" s="89" t="n">
        <f aca="false">IF(Tasks[[#This Row],[Task Name]]="",0,IF(AND(Tasks[[#This Row],[_IsLeaf]]=1,NOT(Tasks[[#This Row],[_IsMilestone]]),N(Tasks[[#This Row],[Progress]])&gt;0),Tasks[[#This Row],[Start]],0))</f>
        <v>0</v>
      </c>
      <c r="GO113" s="89" t="n">
        <f aca="false">IF(Tasks[[#This Row],[_DoneFrom]]=0,0,IF(Tasks[[#This Row],[Progress]]&gt;=1,Tasks[[#This Row],[Finish]],MAX(Tasks[[#This Row],[_DoneFrom]],Tasks[[#This Row],[Start]]+ROUND((Tasks[[#This Row],[Finish]]-Tasks[[#This Row],[Start]]+1)*Tasks[[#This Row],[Progress]],0)-1)))</f>
        <v>0</v>
      </c>
      <c r="GP113" s="89" t="n">
        <f aca="false">IF(Tasks[[#This Row],[Task Name]]="",0,IF(OR(NOT(Tasks[[#This Row],[_IsLeaf]]=1),Tasks[[#This Row],[_IsMilestone]],N(Tasks[[#This Row],[Progress]])&gt;=1),0,IF(Tasks[[#This Row],[_DoneTo]]&gt;0,Tasks[[#This Row],[_DoneTo]]+1,Tasks[[#This Row],[Start]])))</f>
        <v>0</v>
      </c>
      <c r="GQ113" s="89" t="n">
        <f aca="false">IF(Tasks[[#This Row],[_RemFrom]]=0,0,Tasks[[#This Row],[Finish]])</f>
        <v>0</v>
      </c>
      <c r="GR113" s="88" t="b">
        <f aca="false">IF(Tasks[[#This Row],[Task Name]]="",FALSE(),OR(NOT(BaselineSet),N(Tasks[[#This Row],[Baseline Start]])&gt;0))</f>
        <v>0</v>
      </c>
      <c r="GS11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3" s="90" t="str">
        <f aca="false">IF(Tasks[[#This Row],[_IsLeaf]]=1,Tasks[[#This Row],[_Row]],"")</f>
        <v/>
      </c>
      <c r="GW113" s="90" t="str">
        <f aca="false">IFERROR(INDEX(Tasks[UID],SMALL(Tasks[_PickKey],Tasks[[#This Row],[_Row]]))&amp;" "&amp;INDEX(Tasks[Task Name],SMALL(Tasks[_PickKey],Tasks[[#This Row],[_Row]])),"")</f>
        <v/>
      </c>
      <c r="GX113" s="42" t="str">
        <f aca="false">IF(Tasks[[#This Row],[Task Name]]="","",IF(Tasks[[#This Row],[_IsSummary]],NETWORKDAYS.INTL(Tasks[[#This Row],[Start]],Tasks[[#This Row],[Finish]],WorkWeek,Holidays),N(Tasks[[#This Row],[_Days]])))</f>
        <v/>
      </c>
    </row>
    <row r="114" customFormat="false" ht="15" hidden="false" customHeight="false" outlineLevel="0" collapsed="false">
      <c r="A114" s="21" t="str">
        <f aca="false">IF(Tasks[[#This Row],[Task Name]]="","",COUNTA(Tasks[[#Headers],[Task Name]]:Tasks[[#This Row],[Task Name]])-1)</f>
        <v/>
      </c>
      <c r="B114" s="22" t="n">
        <v>122</v>
      </c>
      <c r="C114" s="22"/>
      <c r="D114" s="23"/>
      <c r="E114" s="22"/>
      <c r="F114" s="23"/>
      <c r="G114" s="22"/>
      <c r="H114" s="22"/>
      <c r="I114" s="23"/>
      <c r="J114" s="22"/>
      <c r="K114" s="22"/>
      <c r="L114" s="23"/>
      <c r="M114" s="22"/>
      <c r="N114" s="22"/>
      <c r="O114" s="23"/>
      <c r="P114" s="22"/>
      <c r="Q114" s="22"/>
      <c r="R114" s="23"/>
      <c r="S114" s="23"/>
      <c r="T114" s="83"/>
      <c r="U114" s="23"/>
      <c r="V114" s="83"/>
      <c r="W114" s="23"/>
      <c r="X114" s="83"/>
      <c r="Y114" s="23"/>
      <c r="Z114" s="83"/>
      <c r="AA114" s="23"/>
      <c r="AB114" s="23"/>
      <c r="AC114" s="7"/>
      <c r="AD114" s="7"/>
      <c r="AE114" s="62" t="str">
        <f aca="false">IF(Tasks[[#This Row],[Task Name]]="","",IF(Tasks[[#This Row],[_IsSummary]],MIN(INDEX(Tasks[_ShownFcstStart],Tasks[[#This Row],[_Row]]+1):INDEX(Tasks[_ShownFcstStart],Tasks[[#This Row],[_Row]]+Tasks[[#This Row],[_Descendants]])),Tasks[[#This Row],[_ShownFcstStart]]))</f>
        <v/>
      </c>
      <c r="AF114" s="62" t="str">
        <f aca="false">IF(Tasks[[#This Row],[Task Name]]="","",IF(Tasks[[#This Row],[_IsSummary]],MAX(INDEX(Tasks[_ShownFcstFinish],Tasks[[#This Row],[_Row]]+1):INDEX(Tasks[_ShownFcstFinish],Tasks[[#This Row],[_Row]]+Tasks[[#This Row],[_Descendants]])),Tasks[[#This Row],[_ShownFcstFinish]]))</f>
        <v/>
      </c>
      <c r="AG114" s="21" t="str">
        <f aca="false">""</f>
        <v/>
      </c>
      <c r="AH114" s="23"/>
      <c r="AI11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4" s="7"/>
      <c r="AK114" s="22"/>
      <c r="AL114" s="23"/>
      <c r="AM114" s="7"/>
      <c r="AN114" s="46" t="str">
        <f aca="false">IF(Tasks[[#This Row],[Task Name]]="","",IF(Tasks[[#This Row],[Finish]]&gt;=Tasks[[#This Row],[Planned Finish]],NETWORKDAYS.INTL(Tasks[[#This Row],[Planned Finish]],Tasks[[#This Row],[Finish]],WorkWeek,Holidays)-1,1-NETWORKDAYS.INTL(Tasks[[#This Row],[Finish]],Tasks[[#This Row],[Planned Finish]],WorkWeek,Holidays)))</f>
        <v/>
      </c>
      <c r="AO114" s="21" t="str">
        <f aca="false">IF(Tasks[[#This Row],[Task Name]]="","",IF(Tasks[[#This Row],[Progress]]&gt;=1,"Complete",IF(OR(N(Tasks[[#This Row],[Actual Start]])&gt;0,Tasks[[#This Row],[Progress]]&gt;0),IF(Tasks[[#This Row],[Finish Var]]&gt;0,"Behind","In Progress"),IF(Tasks[[#This Row],[Planned Start]]&lt;StatusDate,"Late Start","Not Started"))))</f>
        <v/>
      </c>
      <c r="AP114" s="21" t="str">
        <f aca="false">IF(Tasks[[#This Row],[Task Name]]="","",IF(IF(Tasks[[#This Row],[_IsSummary]],COUNTIF(INDEX(Tasks[_LeafCritical],Tasks[[#This Row],[_Row]]+1):INDEX(Tasks[_LeafCritical],Tasks[[#This Row],[_Row]]+Tasks[[#This Row],[_Descendants]]),TRUE())&gt;0,Tasks[[#This Row],[_LeafCritical]]),"Yes",""))</f>
        <v/>
      </c>
      <c r="AQ114" s="62" t="str">
        <f aca="false">IF(Tasks[[#This Row],[Task Name]]="","",IF(N(Tasks[[#This Row],[Baseline Start]])&gt;0,Tasks[[#This Row],[Baseline Start]],Tasks[[#This Row],[_CalcStart]]))</f>
        <v/>
      </c>
      <c r="AR114" s="62" t="str">
        <f aca="false">IF(Tasks[[#This Row],[Task Name]]="","",IF(N(Tasks[[#This Row],[Baseline Finish]])&gt;0,Tasks[[#This Row],[Baseline Finish]],Tasks[[#This Row],[_CalcFinish]]))</f>
        <v/>
      </c>
      <c r="AS114" s="46" t="str">
        <f aca="false">IF(Tasks[[#This Row],[Task Name]]="","",IF(Tasks[[#This Row],[Start]]&gt;=Tasks[[#This Row],[Planned Start]],NETWORKDAYS.INTL(Tasks[[#This Row],[Planned Start]],Tasks[[#This Row],[Start]],WorkWeek,Holidays)-1,1-NETWORKDAYS.INTL(Tasks[[#This Row],[Start]],Tasks[[#This Row],[Planned Start]],WorkWeek,Holidays)))</f>
        <v/>
      </c>
      <c r="AT114" s="62" t="str">
        <f aca="false">IF(Tasks[[#This Row],[Task Name]]="","",IF(Tasks[[#This Row],[_IsSummary]],MIN(INDEX(Tasks[_LeafLateStart],Tasks[[#This Row],[_Row]]+1):INDEX(Tasks[_LeafLateStart],Tasks[[#This Row],[_Row]]+Tasks[[#This Row],[_Descendants]])),Tasks[[#This Row],[_LeafLateStart]]))</f>
        <v/>
      </c>
      <c r="AU114" s="62" t="str">
        <f aca="false">IF(Tasks[[#This Row],[Task Name]]="","",IF(Tasks[[#This Row],[_IsSummary]],MAX(INDEX(Tasks[_LeafLateFinish],Tasks[[#This Row],[_Row]]+1):INDEX(Tasks[_LeafLateFinish],Tasks[[#This Row],[_Row]]+Tasks[[#This Row],[_Descendants]])),Tasks[[#This Row],[_LeafLateFinish]]))</f>
        <v/>
      </c>
      <c r="AV114" s="46" t="str">
        <f aca="false">IF(Tasks[[#This Row],[Task Name]]="","",IF(Tasks[[#This Row],[_IsSummary]],MIN(INDEX(Tasks[_LeafTotalSlack],Tasks[[#This Row],[_Row]]+1):INDEX(Tasks[_LeafTotalSlack],Tasks[[#This Row],[_Row]]+Tasks[[#This Row],[_Descendants]])),Tasks[[#This Row],[_LeafTotalSlack]]))</f>
        <v/>
      </c>
      <c r="AW11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4"/>
      <c r="BA11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t="str">
        <f aca="false">IF(Tasks[[#This Row],[Task Name]]="","",IF(Tasks[[#This Row],[_Level]]&lt;=OutlineShowLevel,"Yes","No"))</f>
        <v/>
      </c>
      <c r="BE114" s="85" t="str">
        <f aca="false">IF(Tasks[[#This Row],[Task Name]]="","",IF(Tasks[[#This Row],[_IsSummary]],SUM(INDEX(Tasks[_LeafTotalWork],Tasks[[#This Row],[_Row]]+1):INDEX(Tasks[_LeafTotalWork],Tasks[[#This Row],[_Row]]+Tasks[[#This Row],[_Descendants]])),Tasks[[#This Row],[_LeafTotalWork]]))</f>
        <v/>
      </c>
      <c r="BF114" s="23"/>
      <c r="BG11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t="str">
        <f aca="false">""</f>
        <v/>
      </c>
      <c r="BI114" s="86"/>
      <c r="BJ114" s="22"/>
      <c r="BK114" s="46" t="str">
        <f aca="false">IF(OR(Tasks[[#This Row],[Task Name]]="",Tasks[[#This Row],[Baseline Duration]]=""),"",Tasks[[#This Row],[_SpanDays]]-N(Tasks[[#This Row],[Baseline Duration]]))</f>
        <v/>
      </c>
      <c r="BL114" s="85" t="str">
        <f aca="false">IF(OR(Tasks[[#This Row],[Task Name]]="",Tasks[[#This Row],[Baseline Work]]=""),"",Tasks[[#This Row],[Work]]-N(Tasks[[#This Row],[Baseline Work]]))</f>
        <v/>
      </c>
      <c r="BM114" s="62" t="str">
        <f aca="false">IF(Tasks[[#This Row],[Task Name]]="","",IF(OR(TakeBaseline="Yes",N(Tasks[[#This Row],[Baseline Start]])=0),Tasks[[#This Row],[Start]],Tasks[[#This Row],[Baseline Start]]))</f>
        <v/>
      </c>
      <c r="BN114" s="62" t="str">
        <f aca="false">IF(Tasks[[#This Row],[Task Name]]="","",IF(OR(TakeBaseline="Yes",N(Tasks[[#This Row],[Baseline Finish]])=0),Tasks[[#This Row],[Finish]],Tasks[[#This Row],[Baseline Finish]]))</f>
        <v/>
      </c>
      <c r="BO114" s="21" t="str">
        <f aca="false">IF(Tasks[[#This Row],[Task Name]]="","",IF(OR(TakeBaseline="Yes",N(Tasks[[#This Row],[Baseline Duration]])=0),Tasks[[#This Row],[_SpanDays]],Tasks[[#This Row],[Baseline Duration]]))</f>
        <v/>
      </c>
      <c r="BP114" s="85" t="str">
        <f aca="false">IF(Tasks[[#This Row],[Task Name]]="","",IF(OR(TakeBaseline="Yes",N(Tasks[[#This Row],[Baseline Work]])=0),Tasks[[#This Row],[Work]],Tasks[[#This Row],[Baseline Work]]))</f>
        <v/>
      </c>
      <c r="BQ114" s="7"/>
      <c r="BR114" s="7"/>
      <c r="BS114" s="22"/>
      <c r="BT114" s="87"/>
      <c r="BU114" s="42" t="str">
        <f aca="false">IF(Tasks[[#This Row],[Task Name]]="","",MAX(1,N(Tasks[[#This Row],[Level]])))</f>
        <v/>
      </c>
      <c r="BV114" s="42" t="n">
        <f aca="false">ROW()-ROW(Tasks[[#Headers],[ID]])</f>
        <v>109</v>
      </c>
      <c r="BW114" s="42" t="n">
        <f aca="false">IF(OR(Tasks[[#This Row],[Task Name]]="",Tasks[[#This Row],[_Level]]&lt;=1),0,IFERROR(LOOKUP(2,1/(Tasks[[#Headers],[_Level]]:Tasks[[#This Row],[_Level]]=Tasks[[#This Row],[_Level]]-1),ROW(Tasks[[#Headers],[_Level]]:Tasks[[#This Row],[_Level]])),0))</f>
        <v>0</v>
      </c>
      <c r="BX114" s="42" t="n">
        <f aca="false">IFERROR(N(INDEX(Tasks[_Level],Tasks[[#This Row],[_Row]]+1)),0)</f>
        <v>0</v>
      </c>
      <c r="BY114" s="88" t="b">
        <f aca="false">AND(Tasks[[#This Row],[Task Name]]&lt;&gt;"",Tasks[[#This Row],[_NextLevel]]&gt;Tasks[[#This Row],[_Level]])</f>
        <v>0</v>
      </c>
      <c r="BZ114" s="42" t="n">
        <f aca="false">IF(Tasks[[#This Row],[_IsSummary]],COUNTIF(Tasks[WBS],Tasks[[#This Row],[WBS]]&amp;".*"),0)</f>
        <v>0</v>
      </c>
      <c r="CA114" s="42" t="n">
        <f aca="false">IF(AND(Tasks[[#This Row],[Task Name]]&lt;&gt;"",NOT(Tasks[[#This Row],[_IsSummary]])),1,0)</f>
        <v>0</v>
      </c>
      <c r="CB114" s="42" t="n">
        <f aca="false">IF(N(Tasks[[#This Row],[_Pred1UID]])=0,0,IFERROR(MATCH(Tasks[[#This Row],[_Pred1UID]],Tasks[UID],0),-1))</f>
        <v>0</v>
      </c>
      <c r="CC114" s="42" t="n">
        <f aca="false">IF(N(Tasks[[#This Row],[_Pred2UID]])=0,0,IFERROR(MATCH(Tasks[[#This Row],[_Pred2UID]],Tasks[UID],0),-1))</f>
        <v>0</v>
      </c>
      <c r="CD114" s="42" t="n">
        <f aca="false">IF(N(Tasks[[#This Row],[_Pred3UID]])=0,0,IFERROR(MATCH(Tasks[[#This Row],[_Pred3UID]],Tasks[UID],0),-1))</f>
        <v>0</v>
      </c>
      <c r="CE114" s="42" t="n">
        <f aca="false">IF(N(Tasks[[#This Row],[_Pred4UID]])=0,0,IFERROR(MATCH(Tasks[[#This Row],[_Pred4UID]],Tasks[UID],0),-1))</f>
        <v>0</v>
      </c>
      <c r="CF11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4" s="89" t="n">
        <f aca="false">IF(OR(Tasks[[#This Row],[_ConstraintCode]]=2,Tasks[[#This Row],[_ConstraintCode]]=3,Tasks[[#This Row],[_ConstraintCode]]=4,Tasks[[#This Row],[_ConstraintCode]]=6),Tasks[[#This Row],[_ConstraintStart]],0)</f>
        <v>0</v>
      </c>
      <c r="CI114" s="89" t="n">
        <f aca="false">IF(OR(Tasks[[#This Row],[_ConstraintCode]]=2,Tasks[[#This Row],[_ConstraintCode]]=3,Tasks[[#This Row],[_ConstraintCode]]=5,Tasks[[#This Row],[_ConstraintCode]]=7),Tasks[[#This Row],[_ConstraintStart]],2958465)</f>
        <v>2958465</v>
      </c>
      <c r="CJ11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4" s="89" t="str">
        <f aca="false">IF(NOT(Tasks[[#This Row],[_IsLeaf]]=1),"",IF(N(Tasks[[#This Row],[_Days]])&lt;=0,Tasks[[#This Row],[_LeafCalcStart]],WORKDAY.INTL(Tasks[[#This Row],[_LeafCalcStart]],Tasks[[#This Row],[_Days]]-1,WorkWeek,Holidays)))</f>
        <v/>
      </c>
      <c r="CL11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4" s="42" t="str">
        <f aca="false">IF(Tasks[[#This Row],[_Predecessors]]="","",TRIM(MID(SUBSTITUTE(SUBSTITUTE(SUBSTITUTE(UPPER(Tasks[[#This Row],[_Predecessors]]),";",",")," ",""),",",REPT(" ",99)),1,99)))</f>
        <v/>
      </c>
      <c r="CO114" s="42" t="str">
        <f aca="false">IF(Tasks[[#This Row],[_Pred1Text]]="","",IFERROR(VALUE(LEFT(Tasks[[#This Row],[_Pred1Text]],MIN(FIND("F",Tasks[[#This Row],[_Pred1Text]]&amp;"F"),FIND("S",Tasks[[#This Row],[_Pred1Text]]&amp;"S"),FIND("+",Tasks[[#This Row],[_Pred1Text]]&amp;"+"),FIND("-",Tasks[[#This Row],[_Pred1Text]]&amp;"-"))-1)),""))</f>
        <v/>
      </c>
      <c r="CP11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4" s="42" t="str">
        <f aca="false">IF(Tasks[[#This Row],[_Pred1Text]]="","",TRIM(MID(SUBSTITUTE(SUBSTITUTE(SUBSTITUTE(UPPER(Tasks[[#This Row],[_Predecessors]]),";",",")," ",""),",",REPT(" ",99)),100,99)))</f>
        <v/>
      </c>
      <c r="CS114" s="42" t="str">
        <f aca="false">IF(Tasks[[#This Row],[_Pred2Text]]="","",IFERROR(VALUE(LEFT(Tasks[[#This Row],[_Pred2Text]],MIN(FIND("F",Tasks[[#This Row],[_Pred2Text]]&amp;"F"),FIND("S",Tasks[[#This Row],[_Pred2Text]]&amp;"S"),FIND("+",Tasks[[#This Row],[_Pred2Text]]&amp;"+"),FIND("-",Tasks[[#This Row],[_Pred2Text]]&amp;"-"))-1)),""))</f>
        <v/>
      </c>
      <c r="CT11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4" s="42" t="str">
        <f aca="false">IF(Tasks[[#This Row],[_Pred2Text]]="","",TRIM(MID(SUBSTITUTE(SUBSTITUTE(SUBSTITUTE(UPPER(Tasks[[#This Row],[_Predecessors]]),";",",")," ",""),",",REPT(" ",99)),199,99)))</f>
        <v/>
      </c>
      <c r="CW114" s="42" t="str">
        <f aca="false">IF(Tasks[[#This Row],[_Pred3Text]]="","",IFERROR(VALUE(LEFT(Tasks[[#This Row],[_Pred3Text]],MIN(FIND("F",Tasks[[#This Row],[_Pred3Text]]&amp;"F"),FIND("S",Tasks[[#This Row],[_Pred3Text]]&amp;"S"),FIND("+",Tasks[[#This Row],[_Pred3Text]]&amp;"+"),FIND("-",Tasks[[#This Row],[_Pred3Text]]&amp;"-"))-1)),""))</f>
        <v/>
      </c>
      <c r="CX11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4" s="42" t="str">
        <f aca="false">IF(Tasks[[#This Row],[_Pred3Text]]="","",TRIM(MID(SUBSTITUTE(SUBSTITUTE(SUBSTITUTE(UPPER(Tasks[[#This Row],[_Predecessors]]),";",",")," ",""),",",REPT(" ",99)),298,99)))</f>
        <v/>
      </c>
      <c r="DA114" s="42" t="str">
        <f aca="false">IF(Tasks[[#This Row],[_Pred4Text]]="","",IFERROR(VALUE(LEFT(Tasks[[#This Row],[_Pred4Text]],MIN(FIND("F",Tasks[[#This Row],[_Pred4Text]]&amp;"F"),FIND("S",Tasks[[#This Row],[_Pred4Text]]&amp;"S"),FIND("+",Tasks[[#This Row],[_Pred4Text]]&amp;"+"),FIND("-",Tasks[[#This Row],[_Pred4Text]]&amp;"-"))-1)),""))</f>
        <v/>
      </c>
      <c r="DB11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4" s="42" t="str">
        <f aca="false">IF(OR(Tasks[[#This Row],[Task Name]]="",Tasks[[#This Row],[_Resources]]=""),"",TRIM(MID(SUBSTITUTE(Tasks[[#This Row],[_Resources]],",",REPT(" ",99)),1,99)))</f>
        <v/>
      </c>
      <c r="DE114" s="42" t="str">
        <f aca="false">IF(Tasks[[#This Row],[_Res1Text]]="","",TRIM(MID(SUBSTITUTE(Tasks[[#This Row],[_Resources]],",",REPT(" ",99)),100,99)))</f>
        <v/>
      </c>
      <c r="DF114" s="42" t="str">
        <f aca="false">IF(Tasks[[#This Row],[_Res2Text]]="","",TRIM(MID(SUBSTITUTE(Tasks[[#This Row],[_Resources]],",",REPT(" ",99)),199,99)))</f>
        <v/>
      </c>
      <c r="DG114" s="42" t="str">
        <f aca="false">IF(Tasks[[#This Row],[_Res3Text]]="","",TRIM(MID(SUBSTITUTE(Tasks[[#This Row],[_Resources]],",",REPT(" ",99)),298,99)))</f>
        <v/>
      </c>
      <c r="DH114" s="42" t="n">
        <f aca="false">IF(Tasks[[#This Row],[_Res1Text]]="",0,IFERROR(MATCH(TRIM(LEFT(Tasks[[#This Row],[_Res1Text]],FIND("[",Tasks[[#This Row],[_Res1Text]]&amp;"[")-1)),res_Name,0),IFERROR(MATCH(TRIM(LEFT(Tasks[[#This Row],[_Res1Text]],FIND("[",Tasks[[#This Row],[_Res1Text]]&amp;"[")-1)),res_Initials,0),0)))</f>
        <v>0</v>
      </c>
      <c r="DI114" s="42" t="n">
        <f aca="false">IF(Tasks[[#This Row],[_Res2Text]]="",0,IFERROR(MATCH(TRIM(LEFT(Tasks[[#This Row],[_Res2Text]],FIND("[",Tasks[[#This Row],[_Res2Text]]&amp;"[")-1)),res_Name,0),IFERROR(MATCH(TRIM(LEFT(Tasks[[#This Row],[_Res2Text]],FIND("[",Tasks[[#This Row],[_Res2Text]]&amp;"[")-1)),res_Initials,0),0)))</f>
        <v>0</v>
      </c>
      <c r="DJ114" s="42" t="n">
        <f aca="false">IF(Tasks[[#This Row],[_Res3Text]]="",0,IFERROR(MATCH(TRIM(LEFT(Tasks[[#This Row],[_Res3Text]],FIND("[",Tasks[[#This Row],[_Res3Text]]&amp;"[")-1)),res_Name,0),IFERROR(MATCH(TRIM(LEFT(Tasks[[#This Row],[_Res3Text]],FIND("[",Tasks[[#This Row],[_Res3Text]]&amp;"[")-1)),res_Initials,0),0)))</f>
        <v>0</v>
      </c>
      <c r="DK114" s="42" t="n">
        <f aca="false">IF(Tasks[[#This Row],[_Res4Text]]="",0,IFERROR(MATCH(TRIM(LEFT(Tasks[[#This Row],[_Res4Text]],FIND("[",Tasks[[#This Row],[_Res4Text]]&amp;"[")-1)),res_Name,0),IFERROR(MATCH(TRIM(LEFT(Tasks[[#This Row],[_Res4Text]],FIND("[",Tasks[[#This Row],[_Res4Text]]&amp;"[")-1)),res_Initials,0),0)))</f>
        <v>0</v>
      </c>
      <c r="DL114" s="42" t="str">
        <f aca="false">IF(Tasks[[#This Row],[_Res1Text]]="","",IF(Tasks[[#This Row],[_Res1Row]]&gt;0,INDEX(res_Name,Tasks[[#This Row],[_Res1Row]]),TRIM(LEFT(Tasks[[#This Row],[_Res1Text]],FIND("[",Tasks[[#This Row],[_Res1Text]]&amp;"[")-1))))</f>
        <v/>
      </c>
      <c r="DM11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4" s="42" t="n">
        <f aca="false">IF(NOT(Tasks[[#This Row],[_IsLeaf]]=1),0,(Tasks[[#This Row],[_Resource1]]&lt;&gt;"")+(Tasks[[#This Row],[_Res2]]&lt;&gt;"")+(Tasks[[#This Row],[_Res3]]&lt;&gt;"")+(Tasks[[#This Row],[_Res4]]&lt;&gt;""))</f>
        <v>0</v>
      </c>
      <c r="DO114" s="42" t="str">
        <f aca="false">IF(Tasks[[#This Row],[_Res2Text]]="","",IF(Tasks[[#This Row],[_Res2Row]]&gt;0,INDEX(res_Name,Tasks[[#This Row],[_Res2Row]]),TRIM(LEFT(Tasks[[#This Row],[_Res2Text]],FIND("[",Tasks[[#This Row],[_Res2Text]]&amp;"[")-1))))</f>
        <v/>
      </c>
      <c r="DP11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4" s="42" t="n">
        <f aca="false">IF(OR(NOT(Tasks[[#This Row],[_IsLeaf]]=1),Tasks[[#This Row],[_Res2Row]]=0),0,N(Tasks[[#This Row],[_Days]])*HoursPerDay*IF(Tasks[[#This Row],[_Res2Units]]="",DefaultUnits,Tasks[[#This Row],[_Res2Units]]))</f>
        <v>0</v>
      </c>
      <c r="DR114" s="42" t="n">
        <f aca="false">IF(AND(AND(Tasks[[#This Row],[_IsLeaf]]=1,Tasks[[#This Row],[_LeafTotalWork]]&gt;0),Tasks[[#This Row],[_Res2Work]]&gt;0),Tasks[[#This Row],[_Res2Work]]/(Tasks[[#This Row],[_FinishWorkday]]-Tasks[[#This Row],[_StartWorkday]]+1),0)</f>
        <v>0</v>
      </c>
      <c r="DS114" s="42" t="n">
        <f aca="false">Tasks[[#This Row],[_Res2WorkPerWD]]*MAX(0,Tasks[[#This Row],[_StartWorkday]]-1)</f>
        <v>0</v>
      </c>
      <c r="DT114" s="42" t="n">
        <f aca="false">Tasks[[#This Row],[_Res2Work]]*Tasks[[#This Row],[_LeafProgress]]</f>
        <v>0</v>
      </c>
      <c r="DU114" s="42" t="str">
        <f aca="false">IF(Tasks[[#This Row],[_Res3Text]]="","",IF(Tasks[[#This Row],[_Res3Row]]&gt;0,INDEX(res_Name,Tasks[[#This Row],[_Res3Row]]),TRIM(LEFT(Tasks[[#This Row],[_Res3Text]],FIND("[",Tasks[[#This Row],[_Res3Text]]&amp;"[")-1))))</f>
        <v/>
      </c>
      <c r="DV11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4" s="42" t="n">
        <f aca="false">IF(OR(NOT(Tasks[[#This Row],[_IsLeaf]]=1),Tasks[[#This Row],[_Res3Row]]=0),0,N(Tasks[[#This Row],[_Days]])*HoursPerDay*IF(Tasks[[#This Row],[_Res3Units]]="",DefaultUnits,Tasks[[#This Row],[_Res3Units]]))</f>
        <v>0</v>
      </c>
      <c r="DX114" s="42" t="n">
        <f aca="false">IF(AND(AND(Tasks[[#This Row],[_IsLeaf]]=1,Tasks[[#This Row],[_LeafTotalWork]]&gt;0),Tasks[[#This Row],[_Res3Work]]&gt;0),Tasks[[#This Row],[_Res3Work]]/(Tasks[[#This Row],[_FinishWorkday]]-Tasks[[#This Row],[_StartWorkday]]+1),0)</f>
        <v>0</v>
      </c>
      <c r="DY114" s="42" t="n">
        <f aca="false">Tasks[[#This Row],[_Res3WorkPerWD]]*MAX(0,Tasks[[#This Row],[_StartWorkday]]-1)</f>
        <v>0</v>
      </c>
      <c r="DZ114" s="42" t="n">
        <f aca="false">Tasks[[#This Row],[_Res3Work]]*Tasks[[#This Row],[_LeafProgress]]</f>
        <v>0</v>
      </c>
      <c r="EA114" s="42" t="str">
        <f aca="false">IF(Tasks[[#This Row],[_Res4Text]]="","",IF(Tasks[[#This Row],[_Res4Row]]&gt;0,INDEX(res_Name,Tasks[[#This Row],[_Res4Row]]),TRIM(LEFT(Tasks[[#This Row],[_Res4Text]],FIND("[",Tasks[[#This Row],[_Res4Text]]&amp;"[")-1))))</f>
        <v/>
      </c>
      <c r="EB11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4" s="42" t="n">
        <f aca="false">IF(OR(NOT(Tasks[[#This Row],[_IsLeaf]]=1),Tasks[[#This Row],[_Res4Row]]=0),0,N(Tasks[[#This Row],[_Days]])*HoursPerDay*IF(Tasks[[#This Row],[_Res4Units]]="",DefaultUnits,Tasks[[#This Row],[_Res4Units]]))</f>
        <v>0</v>
      </c>
      <c r="ED114" s="42" t="n">
        <f aca="false">IF(AND(AND(Tasks[[#This Row],[_IsLeaf]]=1,Tasks[[#This Row],[_LeafTotalWork]]&gt;0),Tasks[[#This Row],[_Res4Work]]&gt;0),Tasks[[#This Row],[_Res4Work]]/(Tasks[[#This Row],[_FinishWorkday]]-Tasks[[#This Row],[_StartWorkday]]+1),0)</f>
        <v>0</v>
      </c>
      <c r="EE114" s="42" t="n">
        <f aca="false">Tasks[[#This Row],[_Res4WorkPerWD]]*MAX(0,Tasks[[#This Row],[_StartWorkday]]-1)</f>
        <v>0</v>
      </c>
      <c r="EF114" s="42" t="n">
        <f aca="false">Tasks[[#This Row],[_Res4Work]]*Tasks[[#This Row],[_LeafProgress]]</f>
        <v>0</v>
      </c>
      <c r="EG114" s="42" t="n">
        <f aca="false">IF(ISNUMBER(Tasks[[#This Row],[% Complete]]),Tasks[[#This Row],[% Complete]],IF(Tasks[[#This Row],[Stage]]="",0,IFERROR(INDEX(stg_Pct,MATCH(Tasks[[#This Row],[Stage]],stg_Name,0)),0)))</f>
        <v>0</v>
      </c>
      <c r="EH114" s="42" t="n">
        <f aca="false">IF(NOT(Tasks[[#This Row],[_IsLeaf]]=1),0,IF(N(Tasks[[#This Row],[Actual Finish]])&gt;0,1,MIN(1,Tasks[[#This Row],[_Pct]])))</f>
        <v>0</v>
      </c>
      <c r="EI114" s="42" t="n">
        <f aca="false">IF(OR(NOT(Tasks[[#This Row],[_IsLeaf]]=1),Tasks[[#This Row],[_Res1Row]]=0),0,N(Tasks[[#This Row],[_Days]])*HoursPerDay*IF(Tasks[[#This Row],[_Units1]]="",DefaultUnits,Tasks[[#This Row],[_Units1]]))</f>
        <v>0</v>
      </c>
      <c r="EJ114" s="42" t="n">
        <f aca="false">Tasks[[#This Row],[_LeafWork]]+Tasks[[#This Row],[_Res2Work]]+Tasks[[#This Row],[_Res3Work]]+Tasks[[#This Row],[_Res4Work]]</f>
        <v>0</v>
      </c>
      <c r="EK11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4" s="42" t="n">
        <f aca="false">IF(NOT(Tasks[[#This Row],[_IsLeaf]]=1),0,MAX(_xlfn.MAXIFS(Tasks[_Row],Tasks[_Pred1UID],Tasks[[#This Row],[UID]]),_xlfn.MAXIFS(Tasks[_Row],Tasks[_Pred2UID],Tasks[[#This Row],[UID]]),_xlfn.MAXIFS(Tasks[_Row],Tasks[_Pred3UID],Tasks[[#This Row],[UID]]),_xlfn.MAXIFS(Tasks[_Row],Tasks[_Pred4UID],Tasks[[#This Row],[UID]])))</f>
        <v>0</v>
      </c>
      <c r="ET11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4" s="89" t="str">
        <f aca="false">IF(NOT(Tasks[[#This Row],[_IsLeaf]]=1),"",IF(N(Tasks[[#This Row],[_Days]])&lt;=0,Tasks[[#This Row],[_LeafLateFinish]],WORKDAY.INTL(Tasks[[#This Row],[_LeafLateFinish]],-(Tasks[[#This Row],[_Days]]-1),WorkWeek,Holidays)))</f>
        <v/>
      </c>
      <c r="EW11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4" s="88" t="b">
        <f aca="false">AND(Tasks[[#This Row],[_IsLeaf]]=1,Tasks[[#This Row],[_LeafProgress]]&lt;1,N(Tasks[[#This Row],[_LeafTotalSlack]])&lt;=CriticalSlackDays)</f>
        <v>0</v>
      </c>
      <c r="EY114" s="42" t="n">
        <f aca="false">IF(AND(Tasks[[#This Row],[_IsLeaf]]=1,Tasks[[#This Row],[_ConstraintCode]]=1,Tasks[[#This Row],[Mode]]&lt;&gt;"Manual",N(Tasks[[#This Row],[Actual Start]])=0),MAX(0,N(Tasks[[#This Row],[Free Slack]])),0)</f>
        <v>0</v>
      </c>
      <c r="EZ114" s="89" t="str">
        <f aca="false">IF(NOT(Tasks[[#This Row],[_IsLeaf]]=1),"",IF(Tasks[[#This Row],[_AlapShift]]=0,Tasks[[#This Row],[_LeafCalcStart]],WORKDAY.INTL(Tasks[[#This Row],[_LeafCalcStart]],Tasks[[#This Row],[_AlapShift]],WorkWeek,Holidays)))</f>
        <v/>
      </c>
      <c r="FA114" s="89" t="str">
        <f aca="false">IF(NOT(Tasks[[#This Row],[_IsLeaf]]=1),"",IF(Tasks[[#This Row],[_AlapShift]]=0,Tasks[[#This Row],[_LeafCalcFinish]],WORKDAY.INTL(Tasks[[#This Row],[_LeafCalcFinish]],Tasks[[#This Row],[_AlapShift]],WorkWeek,Holidays)))</f>
        <v/>
      </c>
      <c r="FB114" s="89" t="str">
        <f aca="false">IF(NOT(Tasks[[#This Row],[_IsLeaf]]=1),"",IF(Tasks[[#This Row],[_AlapShift]]=0,Tasks[[#This Row],[_LeafFcstStart]],WORKDAY.INTL(Tasks[[#This Row],[_LeafFcstStart]],Tasks[[#This Row],[_AlapShift]],WorkWeek,Holidays)))</f>
        <v/>
      </c>
      <c r="FC114" s="89" t="str">
        <f aca="false">IF(NOT(Tasks[[#This Row],[_IsLeaf]]=1),"",IF(Tasks[[#This Row],[_AlapShift]]=0,Tasks[[#This Row],[_LeafFcstFinish]],WORKDAY.INTL(Tasks[[#This Row],[_LeafFcstFinish]],Tasks[[#This Row],[_AlapShift]],WorkWeek,Holidays)))</f>
        <v/>
      </c>
      <c r="FD114" s="89" t="str">
        <f aca="false">IF(Tasks[[#This Row],[Task Name]]="","",IF(Tasks[[#This Row],[_IsSummary]],MIN(INDEX(Tasks[_ShownCalcStart],Tasks[[#This Row],[_Row]]+1):INDEX(Tasks[_ShownCalcStart],Tasks[[#This Row],[_Row]]+Tasks[[#This Row],[_Descendants]])),Tasks[[#This Row],[_ShownCalcStart]]))</f>
        <v/>
      </c>
      <c r="FE114" s="89" t="str">
        <f aca="false">IF(Tasks[[#This Row],[Task Name]]="","",IF(Tasks[[#This Row],[_IsSummary]],MAX(INDEX(Tasks[_ShownCalcFinish],Tasks[[#This Row],[_Row]]+1):INDEX(Tasks[_ShownCalcFinish],Tasks[[#This Row],[_Row]]+Tasks[[#This Row],[_Descendants]])),Tasks[[#This Row],[_ShownCalcFinish]]))</f>
        <v/>
      </c>
      <c r="FF11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4" s="42" t="n">
        <f aca="false">IF(AND(Tasks[[#This Row],[_IsLeaf]]=1,Tasks[[#This Row],[_LeafTotalWork]]&gt;0),NETWORKDAYS.INTL(ProjectStart,Tasks[[#This Row],[_ShownFcstStart]],WorkWeek,Holidays),0)</f>
        <v>0</v>
      </c>
      <c r="FS114" s="42" t="n">
        <f aca="false">IF(AND(Tasks[[#This Row],[_IsLeaf]]=1,Tasks[[#This Row],[_LeafTotalWork]]&gt;0),MAX(Tasks[[#This Row],[_StartWorkday]],NETWORKDAYS.INTL(ProjectStart,Tasks[[#This Row],[_ShownFcstFinish]],WorkWeek,Holidays)),0)</f>
        <v>0</v>
      </c>
      <c r="FT114" s="42" t="n">
        <f aca="false">IF(AND(Tasks[[#This Row],[_IsLeaf]]=1,Tasks[[#This Row],[_LeafTotalWork]]&gt;0),Tasks[[#This Row],[_LeafWork]]/(Tasks[[#This Row],[_FinishWorkday]]-Tasks[[#This Row],[_StartWorkday]]+1),0)</f>
        <v>0</v>
      </c>
      <c r="FU114" s="42" t="n">
        <f aca="false">Tasks[[#This Row],[_WorkPerWorkday]]*(Tasks[[#This Row],[_StartWorkday]]-1)</f>
        <v>-0</v>
      </c>
      <c r="FV114" s="42" t="n">
        <f aca="false">IF(Tasks[[#This Row],[_IsLeaf]]=1,MAX(N(Tasks[[#This Row],[_Days]]),0.1),0)</f>
        <v>0</v>
      </c>
      <c r="FW114" s="42" t="n">
        <f aca="false">Tasks[[#This Row],[_WeightDur]]*Tasks[[#This Row],[_LeafProgress]]</f>
        <v>0</v>
      </c>
      <c r="FX114" s="42" t="n">
        <f aca="false">Tasks[[#This Row],[_WeightDur]]*Tasks[[#This Row],[_PlannedPct]]</f>
        <v>0</v>
      </c>
      <c r="FY11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4" s="42" t="str">
        <f aca="false">IF(AND(Tasks[[#This Row],[_IsLeaf]]=1,N(Tasks[[#This Row],[_Days]])=0,Tasks[[#This Row],[_LeafProgress]]&lt;1),Tasks[[#This Row],[_ShownFcstFinish]]+Tasks[[#This Row],[_Row]]/100000,"")</f>
        <v/>
      </c>
      <c r="GA11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4" s="42" t="str">
        <f aca="false">IF(Tasks[[#This Row],[Task Name]]="","",LEFT(Tasks[[#This Row],[WBS]],FIND(".",Tasks[[#This Row],[WBS]]&amp;".")-1))</f>
        <v/>
      </c>
      <c r="GC114" s="42" t="str">
        <f aca="false">IF(AND(Tasks[[#This Row],[Task Name]]&lt;&gt;"",Tasks[[#This Row],[_Level]]=1),Tasks[[#This Row],[_Row]],"")</f>
        <v/>
      </c>
      <c r="GD114" s="42" t="str">
        <f aca="false">IF(AND(Tasks[[#This Row],[_IsLeaf]]=1,N(Tasks[[#This Row],[_Days]])=0),Tasks[[#This Row],[Planned Finish]]+Tasks[[#This Row],[_Row]]/100000,"")</f>
        <v/>
      </c>
      <c r="GE114" s="42" t="str">
        <f aca="false">IF(AND(Tasks[[#This Row],[_IsLeaf]]=1,Tasks[[#This Row],[_LeafProgress]]&lt;1,OR(N(Tasks[[#This Row],[Finish Var]])&gt;0,Tasks[[#This Row],[Status]]="Late Start")),MAX(0,Tasks[[#This Row],[Finish Var]])+1-Tasks[[#This Row],[_Row]]/1000000,"")</f>
        <v/>
      </c>
      <c r="GF114" s="42" t="str">
        <f aca="false">IF(AND(Tasks[[#This Row],[_IsLeaf]]=1,N(Tasks[[#This Row],[Actual Start]])=0,Tasks[[#This Row],[_ShownFcstStart]]&gt;=StatusDate,Tasks[[#This Row],[_ShownFcstStart]]&lt;=LookaheadEnd),Tasks[[#This Row],[_ShownFcstStart]]+Tasks[[#This Row],[_Row]]/100000,"")</f>
        <v/>
      </c>
      <c r="GG114" s="42" t="str">
        <f aca="false">IF(AND(Tasks[[#This Row],[_IsLeaf]]=1,Tasks[[#This Row],[_LeafProgress]]&lt;1,Tasks[[#This Row],[_ShownFcstFinish]]&gt;=StatusDate,Tasks[[#This Row],[_ShownFcstFinish]]&lt;=LookaheadEnd),Tasks[[#This Row],[_ShownFcstFinish]]+Tasks[[#This Row],[_Row]]/100000,"")</f>
        <v/>
      </c>
      <c r="GH114" s="42" t="str">
        <f aca="false">IF(Tasks[[#This Row],[_LeafCritical]],Tasks[[#This Row],[_ShownFcstStart]]+Tasks[[#This Row],[_Row]]/100000,"")</f>
        <v/>
      </c>
      <c r="GI114" s="42" t="n">
        <f aca="false">Tasks[[#This Row],[_LeafWork]]*Tasks[[#This Row],[_LeafProgress]]</f>
        <v>0</v>
      </c>
      <c r="GJ114" s="89" t="str">
        <f aca="false">IF(AND(Tasks[[#This Row],[_IsLeaf]]=1,Tasks[[#This Row],[_LeafProgress]]&gt;=1),IF(N(Tasks[[#This Row],[Actual Finish]])&gt;0,Tasks[[#This Row],[Actual Finish]],Tasks[[#This Row],[_ShownFcstFinish]]),"")</f>
        <v/>
      </c>
      <c r="GK114" s="42" t="n">
        <f aca="false">IF(Tasks[[#This Row],[_IsLeaf]]=1,N(Tasks[[#This Row],[Story Points]]),0)</f>
        <v>0</v>
      </c>
      <c r="GL114" s="42" t="str">
        <f aca="false">""</f>
        <v/>
      </c>
      <c r="GM114" s="88" t="b">
        <f aca="false">IF(Tasks[[#This Row],[Task Name]]="",FALSE(),AND(Tasks[[#This Row],[_IsLeaf]]=1,N(Tasks[[#This Row],[_Days]])=0))</f>
        <v>0</v>
      </c>
      <c r="GN114" s="89" t="n">
        <f aca="false">IF(Tasks[[#This Row],[Task Name]]="",0,IF(AND(Tasks[[#This Row],[_IsLeaf]]=1,NOT(Tasks[[#This Row],[_IsMilestone]]),N(Tasks[[#This Row],[Progress]])&gt;0),Tasks[[#This Row],[Start]],0))</f>
        <v>0</v>
      </c>
      <c r="GO114" s="89" t="n">
        <f aca="false">IF(Tasks[[#This Row],[_DoneFrom]]=0,0,IF(Tasks[[#This Row],[Progress]]&gt;=1,Tasks[[#This Row],[Finish]],MAX(Tasks[[#This Row],[_DoneFrom]],Tasks[[#This Row],[Start]]+ROUND((Tasks[[#This Row],[Finish]]-Tasks[[#This Row],[Start]]+1)*Tasks[[#This Row],[Progress]],0)-1)))</f>
        <v>0</v>
      </c>
      <c r="GP114" s="89" t="n">
        <f aca="false">IF(Tasks[[#This Row],[Task Name]]="",0,IF(OR(NOT(Tasks[[#This Row],[_IsLeaf]]=1),Tasks[[#This Row],[_IsMilestone]],N(Tasks[[#This Row],[Progress]])&gt;=1),0,IF(Tasks[[#This Row],[_DoneTo]]&gt;0,Tasks[[#This Row],[_DoneTo]]+1,Tasks[[#This Row],[Start]])))</f>
        <v>0</v>
      </c>
      <c r="GQ114" s="89" t="n">
        <f aca="false">IF(Tasks[[#This Row],[_RemFrom]]=0,0,Tasks[[#This Row],[Finish]])</f>
        <v>0</v>
      </c>
      <c r="GR114" s="88" t="b">
        <f aca="false">IF(Tasks[[#This Row],[Task Name]]="",FALSE(),OR(NOT(BaselineSet),N(Tasks[[#This Row],[Baseline Start]])&gt;0))</f>
        <v>0</v>
      </c>
      <c r="GS11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4" s="90" t="str">
        <f aca="false">IF(Tasks[[#This Row],[_IsLeaf]]=1,Tasks[[#This Row],[_Row]],"")</f>
        <v/>
      </c>
      <c r="GW114" s="90" t="str">
        <f aca="false">IFERROR(INDEX(Tasks[UID],SMALL(Tasks[_PickKey],Tasks[[#This Row],[_Row]]))&amp;" "&amp;INDEX(Tasks[Task Name],SMALL(Tasks[_PickKey],Tasks[[#This Row],[_Row]])),"")</f>
        <v/>
      </c>
      <c r="GX114" s="42" t="str">
        <f aca="false">IF(Tasks[[#This Row],[Task Name]]="","",IF(Tasks[[#This Row],[_IsSummary]],NETWORKDAYS.INTL(Tasks[[#This Row],[Start]],Tasks[[#This Row],[Finish]],WorkWeek,Holidays),N(Tasks[[#This Row],[_Days]])))</f>
        <v/>
      </c>
    </row>
    <row r="115" customFormat="false" ht="15" hidden="false" customHeight="false" outlineLevel="0" collapsed="false">
      <c r="A115" s="21" t="str">
        <f aca="false">IF(Tasks[[#This Row],[Task Name]]="","",COUNTA(Tasks[[#Headers],[Task Name]]:Tasks[[#This Row],[Task Name]])-1)</f>
        <v/>
      </c>
      <c r="B115" s="22" t="n">
        <v>123</v>
      </c>
      <c r="C115" s="22"/>
      <c r="D115" s="23"/>
      <c r="E115" s="22"/>
      <c r="F115" s="23"/>
      <c r="G115" s="22"/>
      <c r="H115" s="22"/>
      <c r="I115" s="23"/>
      <c r="J115" s="22"/>
      <c r="K115" s="22"/>
      <c r="L115" s="23"/>
      <c r="M115" s="22"/>
      <c r="N115" s="22"/>
      <c r="O115" s="23"/>
      <c r="P115" s="22"/>
      <c r="Q115" s="22"/>
      <c r="R115" s="23"/>
      <c r="S115" s="23"/>
      <c r="T115" s="83"/>
      <c r="U115" s="23"/>
      <c r="V115" s="83"/>
      <c r="W115" s="23"/>
      <c r="X115" s="83"/>
      <c r="Y115" s="23"/>
      <c r="Z115" s="83"/>
      <c r="AA115" s="23"/>
      <c r="AB115" s="23"/>
      <c r="AC115" s="7"/>
      <c r="AD115" s="7"/>
      <c r="AE115" s="62" t="str">
        <f aca="false">IF(Tasks[[#This Row],[Task Name]]="","",IF(Tasks[[#This Row],[_IsSummary]],MIN(INDEX(Tasks[_ShownFcstStart],Tasks[[#This Row],[_Row]]+1):INDEX(Tasks[_ShownFcstStart],Tasks[[#This Row],[_Row]]+Tasks[[#This Row],[_Descendants]])),Tasks[[#This Row],[_ShownFcstStart]]))</f>
        <v/>
      </c>
      <c r="AF115" s="62" t="str">
        <f aca="false">IF(Tasks[[#This Row],[Task Name]]="","",IF(Tasks[[#This Row],[_IsSummary]],MAX(INDEX(Tasks[_ShownFcstFinish],Tasks[[#This Row],[_Row]]+1):INDEX(Tasks[_ShownFcstFinish],Tasks[[#This Row],[_Row]]+Tasks[[#This Row],[_Descendants]])),Tasks[[#This Row],[_ShownFcstFinish]]))</f>
        <v/>
      </c>
      <c r="AG115" s="21" t="str">
        <f aca="false">""</f>
        <v/>
      </c>
      <c r="AH115" s="23"/>
      <c r="AI11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5" s="7"/>
      <c r="AK115" s="22"/>
      <c r="AL115" s="23"/>
      <c r="AM115" s="7"/>
      <c r="AN115" s="46" t="str">
        <f aca="false">IF(Tasks[[#This Row],[Task Name]]="","",IF(Tasks[[#This Row],[Finish]]&gt;=Tasks[[#This Row],[Planned Finish]],NETWORKDAYS.INTL(Tasks[[#This Row],[Planned Finish]],Tasks[[#This Row],[Finish]],WorkWeek,Holidays)-1,1-NETWORKDAYS.INTL(Tasks[[#This Row],[Finish]],Tasks[[#This Row],[Planned Finish]],WorkWeek,Holidays)))</f>
        <v/>
      </c>
      <c r="AO115" s="21" t="str">
        <f aca="false">IF(Tasks[[#This Row],[Task Name]]="","",IF(Tasks[[#This Row],[Progress]]&gt;=1,"Complete",IF(OR(N(Tasks[[#This Row],[Actual Start]])&gt;0,Tasks[[#This Row],[Progress]]&gt;0),IF(Tasks[[#This Row],[Finish Var]]&gt;0,"Behind","In Progress"),IF(Tasks[[#This Row],[Planned Start]]&lt;StatusDate,"Late Start","Not Started"))))</f>
        <v/>
      </c>
      <c r="AP115" s="21" t="str">
        <f aca="false">IF(Tasks[[#This Row],[Task Name]]="","",IF(IF(Tasks[[#This Row],[_IsSummary]],COUNTIF(INDEX(Tasks[_LeafCritical],Tasks[[#This Row],[_Row]]+1):INDEX(Tasks[_LeafCritical],Tasks[[#This Row],[_Row]]+Tasks[[#This Row],[_Descendants]]),TRUE())&gt;0,Tasks[[#This Row],[_LeafCritical]]),"Yes",""))</f>
        <v/>
      </c>
      <c r="AQ115" s="62" t="str">
        <f aca="false">IF(Tasks[[#This Row],[Task Name]]="","",IF(N(Tasks[[#This Row],[Baseline Start]])&gt;0,Tasks[[#This Row],[Baseline Start]],Tasks[[#This Row],[_CalcStart]]))</f>
        <v/>
      </c>
      <c r="AR115" s="62" t="str">
        <f aca="false">IF(Tasks[[#This Row],[Task Name]]="","",IF(N(Tasks[[#This Row],[Baseline Finish]])&gt;0,Tasks[[#This Row],[Baseline Finish]],Tasks[[#This Row],[_CalcFinish]]))</f>
        <v/>
      </c>
      <c r="AS115" s="46" t="str">
        <f aca="false">IF(Tasks[[#This Row],[Task Name]]="","",IF(Tasks[[#This Row],[Start]]&gt;=Tasks[[#This Row],[Planned Start]],NETWORKDAYS.INTL(Tasks[[#This Row],[Planned Start]],Tasks[[#This Row],[Start]],WorkWeek,Holidays)-1,1-NETWORKDAYS.INTL(Tasks[[#This Row],[Start]],Tasks[[#This Row],[Planned Start]],WorkWeek,Holidays)))</f>
        <v/>
      </c>
      <c r="AT115" s="62" t="str">
        <f aca="false">IF(Tasks[[#This Row],[Task Name]]="","",IF(Tasks[[#This Row],[_IsSummary]],MIN(INDEX(Tasks[_LeafLateStart],Tasks[[#This Row],[_Row]]+1):INDEX(Tasks[_LeafLateStart],Tasks[[#This Row],[_Row]]+Tasks[[#This Row],[_Descendants]])),Tasks[[#This Row],[_LeafLateStart]]))</f>
        <v/>
      </c>
      <c r="AU115" s="62" t="str">
        <f aca="false">IF(Tasks[[#This Row],[Task Name]]="","",IF(Tasks[[#This Row],[_IsSummary]],MAX(INDEX(Tasks[_LeafLateFinish],Tasks[[#This Row],[_Row]]+1):INDEX(Tasks[_LeafLateFinish],Tasks[[#This Row],[_Row]]+Tasks[[#This Row],[_Descendants]])),Tasks[[#This Row],[_LeafLateFinish]]))</f>
        <v/>
      </c>
      <c r="AV115" s="46" t="str">
        <f aca="false">IF(Tasks[[#This Row],[Task Name]]="","",IF(Tasks[[#This Row],[_IsSummary]],MIN(INDEX(Tasks[_LeafTotalSlack],Tasks[[#This Row],[_Row]]+1):INDEX(Tasks[_LeafTotalSlack],Tasks[[#This Row],[_Row]]+Tasks[[#This Row],[_Descendants]])),Tasks[[#This Row],[_LeafTotalSlack]]))</f>
        <v/>
      </c>
      <c r="AW11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4"/>
      <c r="BA11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t="str">
        <f aca="false">IF(Tasks[[#This Row],[Task Name]]="","",IF(Tasks[[#This Row],[_Level]]&lt;=OutlineShowLevel,"Yes","No"))</f>
        <v/>
      </c>
      <c r="BE115" s="85" t="str">
        <f aca="false">IF(Tasks[[#This Row],[Task Name]]="","",IF(Tasks[[#This Row],[_IsSummary]],SUM(INDEX(Tasks[_LeafTotalWork],Tasks[[#This Row],[_Row]]+1):INDEX(Tasks[_LeafTotalWork],Tasks[[#This Row],[_Row]]+Tasks[[#This Row],[_Descendants]])),Tasks[[#This Row],[_LeafTotalWork]]))</f>
        <v/>
      </c>
      <c r="BF115" s="23"/>
      <c r="BG11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t="str">
        <f aca="false">""</f>
        <v/>
      </c>
      <c r="BI115" s="86"/>
      <c r="BJ115" s="22"/>
      <c r="BK115" s="46" t="str">
        <f aca="false">IF(OR(Tasks[[#This Row],[Task Name]]="",Tasks[[#This Row],[Baseline Duration]]=""),"",Tasks[[#This Row],[_SpanDays]]-N(Tasks[[#This Row],[Baseline Duration]]))</f>
        <v/>
      </c>
      <c r="BL115" s="85" t="str">
        <f aca="false">IF(OR(Tasks[[#This Row],[Task Name]]="",Tasks[[#This Row],[Baseline Work]]=""),"",Tasks[[#This Row],[Work]]-N(Tasks[[#This Row],[Baseline Work]]))</f>
        <v/>
      </c>
      <c r="BM115" s="62" t="str">
        <f aca="false">IF(Tasks[[#This Row],[Task Name]]="","",IF(OR(TakeBaseline="Yes",N(Tasks[[#This Row],[Baseline Start]])=0),Tasks[[#This Row],[Start]],Tasks[[#This Row],[Baseline Start]]))</f>
        <v/>
      </c>
      <c r="BN115" s="62" t="str">
        <f aca="false">IF(Tasks[[#This Row],[Task Name]]="","",IF(OR(TakeBaseline="Yes",N(Tasks[[#This Row],[Baseline Finish]])=0),Tasks[[#This Row],[Finish]],Tasks[[#This Row],[Baseline Finish]]))</f>
        <v/>
      </c>
      <c r="BO115" s="21" t="str">
        <f aca="false">IF(Tasks[[#This Row],[Task Name]]="","",IF(OR(TakeBaseline="Yes",N(Tasks[[#This Row],[Baseline Duration]])=0),Tasks[[#This Row],[_SpanDays]],Tasks[[#This Row],[Baseline Duration]]))</f>
        <v/>
      </c>
      <c r="BP115" s="85" t="str">
        <f aca="false">IF(Tasks[[#This Row],[Task Name]]="","",IF(OR(TakeBaseline="Yes",N(Tasks[[#This Row],[Baseline Work]])=0),Tasks[[#This Row],[Work]],Tasks[[#This Row],[Baseline Work]]))</f>
        <v/>
      </c>
      <c r="BQ115" s="7"/>
      <c r="BR115" s="7"/>
      <c r="BS115" s="22"/>
      <c r="BT115" s="87"/>
      <c r="BU115" s="42" t="str">
        <f aca="false">IF(Tasks[[#This Row],[Task Name]]="","",MAX(1,N(Tasks[[#This Row],[Level]])))</f>
        <v/>
      </c>
      <c r="BV115" s="42" t="n">
        <f aca="false">ROW()-ROW(Tasks[[#Headers],[ID]])</f>
        <v>110</v>
      </c>
      <c r="BW115" s="42" t="n">
        <f aca="false">IF(OR(Tasks[[#This Row],[Task Name]]="",Tasks[[#This Row],[_Level]]&lt;=1),0,IFERROR(LOOKUP(2,1/(Tasks[[#Headers],[_Level]]:Tasks[[#This Row],[_Level]]=Tasks[[#This Row],[_Level]]-1),ROW(Tasks[[#Headers],[_Level]]:Tasks[[#This Row],[_Level]])),0))</f>
        <v>0</v>
      </c>
      <c r="BX115" s="42" t="n">
        <f aca="false">IFERROR(N(INDEX(Tasks[_Level],Tasks[[#This Row],[_Row]]+1)),0)</f>
        <v>0</v>
      </c>
      <c r="BY115" s="88" t="b">
        <f aca="false">AND(Tasks[[#This Row],[Task Name]]&lt;&gt;"",Tasks[[#This Row],[_NextLevel]]&gt;Tasks[[#This Row],[_Level]])</f>
        <v>0</v>
      </c>
      <c r="BZ115" s="42" t="n">
        <f aca="false">IF(Tasks[[#This Row],[_IsSummary]],COUNTIF(Tasks[WBS],Tasks[[#This Row],[WBS]]&amp;".*"),0)</f>
        <v>0</v>
      </c>
      <c r="CA115" s="42" t="n">
        <f aca="false">IF(AND(Tasks[[#This Row],[Task Name]]&lt;&gt;"",NOT(Tasks[[#This Row],[_IsSummary]])),1,0)</f>
        <v>0</v>
      </c>
      <c r="CB115" s="42" t="n">
        <f aca="false">IF(N(Tasks[[#This Row],[_Pred1UID]])=0,0,IFERROR(MATCH(Tasks[[#This Row],[_Pred1UID]],Tasks[UID],0),-1))</f>
        <v>0</v>
      </c>
      <c r="CC115" s="42" t="n">
        <f aca="false">IF(N(Tasks[[#This Row],[_Pred2UID]])=0,0,IFERROR(MATCH(Tasks[[#This Row],[_Pred2UID]],Tasks[UID],0),-1))</f>
        <v>0</v>
      </c>
      <c r="CD115" s="42" t="n">
        <f aca="false">IF(N(Tasks[[#This Row],[_Pred3UID]])=0,0,IFERROR(MATCH(Tasks[[#This Row],[_Pred3UID]],Tasks[UID],0),-1))</f>
        <v>0</v>
      </c>
      <c r="CE115" s="42" t="n">
        <f aca="false">IF(N(Tasks[[#This Row],[_Pred4UID]])=0,0,IFERROR(MATCH(Tasks[[#This Row],[_Pred4UID]],Tasks[UID],0),-1))</f>
        <v>0</v>
      </c>
      <c r="CF11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5" s="89" t="n">
        <f aca="false">IF(OR(Tasks[[#This Row],[_ConstraintCode]]=2,Tasks[[#This Row],[_ConstraintCode]]=3,Tasks[[#This Row],[_ConstraintCode]]=4,Tasks[[#This Row],[_ConstraintCode]]=6),Tasks[[#This Row],[_ConstraintStart]],0)</f>
        <v>0</v>
      </c>
      <c r="CI115" s="89" t="n">
        <f aca="false">IF(OR(Tasks[[#This Row],[_ConstraintCode]]=2,Tasks[[#This Row],[_ConstraintCode]]=3,Tasks[[#This Row],[_ConstraintCode]]=5,Tasks[[#This Row],[_ConstraintCode]]=7),Tasks[[#This Row],[_ConstraintStart]],2958465)</f>
        <v>2958465</v>
      </c>
      <c r="CJ11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5" s="89" t="str">
        <f aca="false">IF(NOT(Tasks[[#This Row],[_IsLeaf]]=1),"",IF(N(Tasks[[#This Row],[_Days]])&lt;=0,Tasks[[#This Row],[_LeafCalcStart]],WORKDAY.INTL(Tasks[[#This Row],[_LeafCalcStart]],Tasks[[#This Row],[_Days]]-1,WorkWeek,Holidays)))</f>
        <v/>
      </c>
      <c r="CL11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5" s="42" t="str">
        <f aca="false">IF(Tasks[[#This Row],[_Predecessors]]="","",TRIM(MID(SUBSTITUTE(SUBSTITUTE(SUBSTITUTE(UPPER(Tasks[[#This Row],[_Predecessors]]),";",",")," ",""),",",REPT(" ",99)),1,99)))</f>
        <v/>
      </c>
      <c r="CO115" s="42" t="str">
        <f aca="false">IF(Tasks[[#This Row],[_Pred1Text]]="","",IFERROR(VALUE(LEFT(Tasks[[#This Row],[_Pred1Text]],MIN(FIND("F",Tasks[[#This Row],[_Pred1Text]]&amp;"F"),FIND("S",Tasks[[#This Row],[_Pred1Text]]&amp;"S"),FIND("+",Tasks[[#This Row],[_Pred1Text]]&amp;"+"),FIND("-",Tasks[[#This Row],[_Pred1Text]]&amp;"-"))-1)),""))</f>
        <v/>
      </c>
      <c r="CP11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5" s="42" t="str">
        <f aca="false">IF(Tasks[[#This Row],[_Pred1Text]]="","",TRIM(MID(SUBSTITUTE(SUBSTITUTE(SUBSTITUTE(UPPER(Tasks[[#This Row],[_Predecessors]]),";",",")," ",""),",",REPT(" ",99)),100,99)))</f>
        <v/>
      </c>
      <c r="CS115" s="42" t="str">
        <f aca="false">IF(Tasks[[#This Row],[_Pred2Text]]="","",IFERROR(VALUE(LEFT(Tasks[[#This Row],[_Pred2Text]],MIN(FIND("F",Tasks[[#This Row],[_Pred2Text]]&amp;"F"),FIND("S",Tasks[[#This Row],[_Pred2Text]]&amp;"S"),FIND("+",Tasks[[#This Row],[_Pred2Text]]&amp;"+"),FIND("-",Tasks[[#This Row],[_Pred2Text]]&amp;"-"))-1)),""))</f>
        <v/>
      </c>
      <c r="CT11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5" s="42" t="str">
        <f aca="false">IF(Tasks[[#This Row],[_Pred2Text]]="","",TRIM(MID(SUBSTITUTE(SUBSTITUTE(SUBSTITUTE(UPPER(Tasks[[#This Row],[_Predecessors]]),";",",")," ",""),",",REPT(" ",99)),199,99)))</f>
        <v/>
      </c>
      <c r="CW115" s="42" t="str">
        <f aca="false">IF(Tasks[[#This Row],[_Pred3Text]]="","",IFERROR(VALUE(LEFT(Tasks[[#This Row],[_Pred3Text]],MIN(FIND("F",Tasks[[#This Row],[_Pred3Text]]&amp;"F"),FIND("S",Tasks[[#This Row],[_Pred3Text]]&amp;"S"),FIND("+",Tasks[[#This Row],[_Pred3Text]]&amp;"+"),FIND("-",Tasks[[#This Row],[_Pred3Text]]&amp;"-"))-1)),""))</f>
        <v/>
      </c>
      <c r="CX11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5" s="42" t="str">
        <f aca="false">IF(Tasks[[#This Row],[_Pred3Text]]="","",TRIM(MID(SUBSTITUTE(SUBSTITUTE(SUBSTITUTE(UPPER(Tasks[[#This Row],[_Predecessors]]),";",",")," ",""),",",REPT(" ",99)),298,99)))</f>
        <v/>
      </c>
      <c r="DA115" s="42" t="str">
        <f aca="false">IF(Tasks[[#This Row],[_Pred4Text]]="","",IFERROR(VALUE(LEFT(Tasks[[#This Row],[_Pred4Text]],MIN(FIND("F",Tasks[[#This Row],[_Pred4Text]]&amp;"F"),FIND("S",Tasks[[#This Row],[_Pred4Text]]&amp;"S"),FIND("+",Tasks[[#This Row],[_Pred4Text]]&amp;"+"),FIND("-",Tasks[[#This Row],[_Pred4Text]]&amp;"-"))-1)),""))</f>
        <v/>
      </c>
      <c r="DB11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5" s="42" t="str">
        <f aca="false">IF(OR(Tasks[[#This Row],[Task Name]]="",Tasks[[#This Row],[_Resources]]=""),"",TRIM(MID(SUBSTITUTE(Tasks[[#This Row],[_Resources]],",",REPT(" ",99)),1,99)))</f>
        <v/>
      </c>
      <c r="DE115" s="42" t="str">
        <f aca="false">IF(Tasks[[#This Row],[_Res1Text]]="","",TRIM(MID(SUBSTITUTE(Tasks[[#This Row],[_Resources]],",",REPT(" ",99)),100,99)))</f>
        <v/>
      </c>
      <c r="DF115" s="42" t="str">
        <f aca="false">IF(Tasks[[#This Row],[_Res2Text]]="","",TRIM(MID(SUBSTITUTE(Tasks[[#This Row],[_Resources]],",",REPT(" ",99)),199,99)))</f>
        <v/>
      </c>
      <c r="DG115" s="42" t="str">
        <f aca="false">IF(Tasks[[#This Row],[_Res3Text]]="","",TRIM(MID(SUBSTITUTE(Tasks[[#This Row],[_Resources]],",",REPT(" ",99)),298,99)))</f>
        <v/>
      </c>
      <c r="DH115" s="42" t="n">
        <f aca="false">IF(Tasks[[#This Row],[_Res1Text]]="",0,IFERROR(MATCH(TRIM(LEFT(Tasks[[#This Row],[_Res1Text]],FIND("[",Tasks[[#This Row],[_Res1Text]]&amp;"[")-1)),res_Name,0),IFERROR(MATCH(TRIM(LEFT(Tasks[[#This Row],[_Res1Text]],FIND("[",Tasks[[#This Row],[_Res1Text]]&amp;"[")-1)),res_Initials,0),0)))</f>
        <v>0</v>
      </c>
      <c r="DI115" s="42" t="n">
        <f aca="false">IF(Tasks[[#This Row],[_Res2Text]]="",0,IFERROR(MATCH(TRIM(LEFT(Tasks[[#This Row],[_Res2Text]],FIND("[",Tasks[[#This Row],[_Res2Text]]&amp;"[")-1)),res_Name,0),IFERROR(MATCH(TRIM(LEFT(Tasks[[#This Row],[_Res2Text]],FIND("[",Tasks[[#This Row],[_Res2Text]]&amp;"[")-1)),res_Initials,0),0)))</f>
        <v>0</v>
      </c>
      <c r="DJ115" s="42" t="n">
        <f aca="false">IF(Tasks[[#This Row],[_Res3Text]]="",0,IFERROR(MATCH(TRIM(LEFT(Tasks[[#This Row],[_Res3Text]],FIND("[",Tasks[[#This Row],[_Res3Text]]&amp;"[")-1)),res_Name,0),IFERROR(MATCH(TRIM(LEFT(Tasks[[#This Row],[_Res3Text]],FIND("[",Tasks[[#This Row],[_Res3Text]]&amp;"[")-1)),res_Initials,0),0)))</f>
        <v>0</v>
      </c>
      <c r="DK115" s="42" t="n">
        <f aca="false">IF(Tasks[[#This Row],[_Res4Text]]="",0,IFERROR(MATCH(TRIM(LEFT(Tasks[[#This Row],[_Res4Text]],FIND("[",Tasks[[#This Row],[_Res4Text]]&amp;"[")-1)),res_Name,0),IFERROR(MATCH(TRIM(LEFT(Tasks[[#This Row],[_Res4Text]],FIND("[",Tasks[[#This Row],[_Res4Text]]&amp;"[")-1)),res_Initials,0),0)))</f>
        <v>0</v>
      </c>
      <c r="DL115" s="42" t="str">
        <f aca="false">IF(Tasks[[#This Row],[_Res1Text]]="","",IF(Tasks[[#This Row],[_Res1Row]]&gt;0,INDEX(res_Name,Tasks[[#This Row],[_Res1Row]]),TRIM(LEFT(Tasks[[#This Row],[_Res1Text]],FIND("[",Tasks[[#This Row],[_Res1Text]]&amp;"[")-1))))</f>
        <v/>
      </c>
      <c r="DM11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5" s="42" t="n">
        <f aca="false">IF(NOT(Tasks[[#This Row],[_IsLeaf]]=1),0,(Tasks[[#This Row],[_Resource1]]&lt;&gt;"")+(Tasks[[#This Row],[_Res2]]&lt;&gt;"")+(Tasks[[#This Row],[_Res3]]&lt;&gt;"")+(Tasks[[#This Row],[_Res4]]&lt;&gt;""))</f>
        <v>0</v>
      </c>
      <c r="DO115" s="42" t="str">
        <f aca="false">IF(Tasks[[#This Row],[_Res2Text]]="","",IF(Tasks[[#This Row],[_Res2Row]]&gt;0,INDEX(res_Name,Tasks[[#This Row],[_Res2Row]]),TRIM(LEFT(Tasks[[#This Row],[_Res2Text]],FIND("[",Tasks[[#This Row],[_Res2Text]]&amp;"[")-1))))</f>
        <v/>
      </c>
      <c r="DP11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5" s="42" t="n">
        <f aca="false">IF(OR(NOT(Tasks[[#This Row],[_IsLeaf]]=1),Tasks[[#This Row],[_Res2Row]]=0),0,N(Tasks[[#This Row],[_Days]])*HoursPerDay*IF(Tasks[[#This Row],[_Res2Units]]="",DefaultUnits,Tasks[[#This Row],[_Res2Units]]))</f>
        <v>0</v>
      </c>
      <c r="DR115" s="42" t="n">
        <f aca="false">IF(AND(AND(Tasks[[#This Row],[_IsLeaf]]=1,Tasks[[#This Row],[_LeafTotalWork]]&gt;0),Tasks[[#This Row],[_Res2Work]]&gt;0),Tasks[[#This Row],[_Res2Work]]/(Tasks[[#This Row],[_FinishWorkday]]-Tasks[[#This Row],[_StartWorkday]]+1),0)</f>
        <v>0</v>
      </c>
      <c r="DS115" s="42" t="n">
        <f aca="false">Tasks[[#This Row],[_Res2WorkPerWD]]*MAX(0,Tasks[[#This Row],[_StartWorkday]]-1)</f>
        <v>0</v>
      </c>
      <c r="DT115" s="42" t="n">
        <f aca="false">Tasks[[#This Row],[_Res2Work]]*Tasks[[#This Row],[_LeafProgress]]</f>
        <v>0</v>
      </c>
      <c r="DU115" s="42" t="str">
        <f aca="false">IF(Tasks[[#This Row],[_Res3Text]]="","",IF(Tasks[[#This Row],[_Res3Row]]&gt;0,INDEX(res_Name,Tasks[[#This Row],[_Res3Row]]),TRIM(LEFT(Tasks[[#This Row],[_Res3Text]],FIND("[",Tasks[[#This Row],[_Res3Text]]&amp;"[")-1))))</f>
        <v/>
      </c>
      <c r="DV11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5" s="42" t="n">
        <f aca="false">IF(OR(NOT(Tasks[[#This Row],[_IsLeaf]]=1),Tasks[[#This Row],[_Res3Row]]=0),0,N(Tasks[[#This Row],[_Days]])*HoursPerDay*IF(Tasks[[#This Row],[_Res3Units]]="",DefaultUnits,Tasks[[#This Row],[_Res3Units]]))</f>
        <v>0</v>
      </c>
      <c r="DX115" s="42" t="n">
        <f aca="false">IF(AND(AND(Tasks[[#This Row],[_IsLeaf]]=1,Tasks[[#This Row],[_LeafTotalWork]]&gt;0),Tasks[[#This Row],[_Res3Work]]&gt;0),Tasks[[#This Row],[_Res3Work]]/(Tasks[[#This Row],[_FinishWorkday]]-Tasks[[#This Row],[_StartWorkday]]+1),0)</f>
        <v>0</v>
      </c>
      <c r="DY115" s="42" t="n">
        <f aca="false">Tasks[[#This Row],[_Res3WorkPerWD]]*MAX(0,Tasks[[#This Row],[_StartWorkday]]-1)</f>
        <v>0</v>
      </c>
      <c r="DZ115" s="42" t="n">
        <f aca="false">Tasks[[#This Row],[_Res3Work]]*Tasks[[#This Row],[_LeafProgress]]</f>
        <v>0</v>
      </c>
      <c r="EA115" s="42" t="str">
        <f aca="false">IF(Tasks[[#This Row],[_Res4Text]]="","",IF(Tasks[[#This Row],[_Res4Row]]&gt;0,INDEX(res_Name,Tasks[[#This Row],[_Res4Row]]),TRIM(LEFT(Tasks[[#This Row],[_Res4Text]],FIND("[",Tasks[[#This Row],[_Res4Text]]&amp;"[")-1))))</f>
        <v/>
      </c>
      <c r="EB11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5" s="42" t="n">
        <f aca="false">IF(OR(NOT(Tasks[[#This Row],[_IsLeaf]]=1),Tasks[[#This Row],[_Res4Row]]=0),0,N(Tasks[[#This Row],[_Days]])*HoursPerDay*IF(Tasks[[#This Row],[_Res4Units]]="",DefaultUnits,Tasks[[#This Row],[_Res4Units]]))</f>
        <v>0</v>
      </c>
      <c r="ED115" s="42" t="n">
        <f aca="false">IF(AND(AND(Tasks[[#This Row],[_IsLeaf]]=1,Tasks[[#This Row],[_LeafTotalWork]]&gt;0),Tasks[[#This Row],[_Res4Work]]&gt;0),Tasks[[#This Row],[_Res4Work]]/(Tasks[[#This Row],[_FinishWorkday]]-Tasks[[#This Row],[_StartWorkday]]+1),0)</f>
        <v>0</v>
      </c>
      <c r="EE115" s="42" t="n">
        <f aca="false">Tasks[[#This Row],[_Res4WorkPerWD]]*MAX(0,Tasks[[#This Row],[_StartWorkday]]-1)</f>
        <v>0</v>
      </c>
      <c r="EF115" s="42" t="n">
        <f aca="false">Tasks[[#This Row],[_Res4Work]]*Tasks[[#This Row],[_LeafProgress]]</f>
        <v>0</v>
      </c>
      <c r="EG115" s="42" t="n">
        <f aca="false">IF(ISNUMBER(Tasks[[#This Row],[% Complete]]),Tasks[[#This Row],[% Complete]],IF(Tasks[[#This Row],[Stage]]="",0,IFERROR(INDEX(stg_Pct,MATCH(Tasks[[#This Row],[Stage]],stg_Name,0)),0)))</f>
        <v>0</v>
      </c>
      <c r="EH115" s="42" t="n">
        <f aca="false">IF(NOT(Tasks[[#This Row],[_IsLeaf]]=1),0,IF(N(Tasks[[#This Row],[Actual Finish]])&gt;0,1,MIN(1,Tasks[[#This Row],[_Pct]])))</f>
        <v>0</v>
      </c>
      <c r="EI115" s="42" t="n">
        <f aca="false">IF(OR(NOT(Tasks[[#This Row],[_IsLeaf]]=1),Tasks[[#This Row],[_Res1Row]]=0),0,N(Tasks[[#This Row],[_Days]])*HoursPerDay*IF(Tasks[[#This Row],[_Units1]]="",DefaultUnits,Tasks[[#This Row],[_Units1]]))</f>
        <v>0</v>
      </c>
      <c r="EJ115" s="42" t="n">
        <f aca="false">Tasks[[#This Row],[_LeafWork]]+Tasks[[#This Row],[_Res2Work]]+Tasks[[#This Row],[_Res3Work]]+Tasks[[#This Row],[_Res4Work]]</f>
        <v>0</v>
      </c>
      <c r="EK11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5" s="42" t="n">
        <f aca="false">IF(NOT(Tasks[[#This Row],[_IsLeaf]]=1),0,MAX(_xlfn.MAXIFS(Tasks[_Row],Tasks[_Pred1UID],Tasks[[#This Row],[UID]]),_xlfn.MAXIFS(Tasks[_Row],Tasks[_Pred2UID],Tasks[[#This Row],[UID]]),_xlfn.MAXIFS(Tasks[_Row],Tasks[_Pred3UID],Tasks[[#This Row],[UID]]),_xlfn.MAXIFS(Tasks[_Row],Tasks[_Pred4UID],Tasks[[#This Row],[UID]])))</f>
        <v>0</v>
      </c>
      <c r="ET11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5" s="89" t="str">
        <f aca="false">IF(NOT(Tasks[[#This Row],[_IsLeaf]]=1),"",IF(N(Tasks[[#This Row],[_Days]])&lt;=0,Tasks[[#This Row],[_LeafLateFinish]],WORKDAY.INTL(Tasks[[#This Row],[_LeafLateFinish]],-(Tasks[[#This Row],[_Days]]-1),WorkWeek,Holidays)))</f>
        <v/>
      </c>
      <c r="EW11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5" s="88" t="b">
        <f aca="false">AND(Tasks[[#This Row],[_IsLeaf]]=1,Tasks[[#This Row],[_LeafProgress]]&lt;1,N(Tasks[[#This Row],[_LeafTotalSlack]])&lt;=CriticalSlackDays)</f>
        <v>0</v>
      </c>
      <c r="EY115" s="42" t="n">
        <f aca="false">IF(AND(Tasks[[#This Row],[_IsLeaf]]=1,Tasks[[#This Row],[_ConstraintCode]]=1,Tasks[[#This Row],[Mode]]&lt;&gt;"Manual",N(Tasks[[#This Row],[Actual Start]])=0),MAX(0,N(Tasks[[#This Row],[Free Slack]])),0)</f>
        <v>0</v>
      </c>
      <c r="EZ115" s="89" t="str">
        <f aca="false">IF(NOT(Tasks[[#This Row],[_IsLeaf]]=1),"",IF(Tasks[[#This Row],[_AlapShift]]=0,Tasks[[#This Row],[_LeafCalcStart]],WORKDAY.INTL(Tasks[[#This Row],[_LeafCalcStart]],Tasks[[#This Row],[_AlapShift]],WorkWeek,Holidays)))</f>
        <v/>
      </c>
      <c r="FA115" s="89" t="str">
        <f aca="false">IF(NOT(Tasks[[#This Row],[_IsLeaf]]=1),"",IF(Tasks[[#This Row],[_AlapShift]]=0,Tasks[[#This Row],[_LeafCalcFinish]],WORKDAY.INTL(Tasks[[#This Row],[_LeafCalcFinish]],Tasks[[#This Row],[_AlapShift]],WorkWeek,Holidays)))</f>
        <v/>
      </c>
      <c r="FB115" s="89" t="str">
        <f aca="false">IF(NOT(Tasks[[#This Row],[_IsLeaf]]=1),"",IF(Tasks[[#This Row],[_AlapShift]]=0,Tasks[[#This Row],[_LeafFcstStart]],WORKDAY.INTL(Tasks[[#This Row],[_LeafFcstStart]],Tasks[[#This Row],[_AlapShift]],WorkWeek,Holidays)))</f>
        <v/>
      </c>
      <c r="FC115" s="89" t="str">
        <f aca="false">IF(NOT(Tasks[[#This Row],[_IsLeaf]]=1),"",IF(Tasks[[#This Row],[_AlapShift]]=0,Tasks[[#This Row],[_LeafFcstFinish]],WORKDAY.INTL(Tasks[[#This Row],[_LeafFcstFinish]],Tasks[[#This Row],[_AlapShift]],WorkWeek,Holidays)))</f>
        <v/>
      </c>
      <c r="FD115" s="89" t="str">
        <f aca="false">IF(Tasks[[#This Row],[Task Name]]="","",IF(Tasks[[#This Row],[_IsSummary]],MIN(INDEX(Tasks[_ShownCalcStart],Tasks[[#This Row],[_Row]]+1):INDEX(Tasks[_ShownCalcStart],Tasks[[#This Row],[_Row]]+Tasks[[#This Row],[_Descendants]])),Tasks[[#This Row],[_ShownCalcStart]]))</f>
        <v/>
      </c>
      <c r="FE115" s="89" t="str">
        <f aca="false">IF(Tasks[[#This Row],[Task Name]]="","",IF(Tasks[[#This Row],[_IsSummary]],MAX(INDEX(Tasks[_ShownCalcFinish],Tasks[[#This Row],[_Row]]+1):INDEX(Tasks[_ShownCalcFinish],Tasks[[#This Row],[_Row]]+Tasks[[#This Row],[_Descendants]])),Tasks[[#This Row],[_ShownCalcFinish]]))</f>
        <v/>
      </c>
      <c r="FF11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5" s="42" t="n">
        <f aca="false">IF(AND(Tasks[[#This Row],[_IsLeaf]]=1,Tasks[[#This Row],[_LeafTotalWork]]&gt;0),NETWORKDAYS.INTL(ProjectStart,Tasks[[#This Row],[_ShownFcstStart]],WorkWeek,Holidays),0)</f>
        <v>0</v>
      </c>
      <c r="FS115" s="42" t="n">
        <f aca="false">IF(AND(Tasks[[#This Row],[_IsLeaf]]=1,Tasks[[#This Row],[_LeafTotalWork]]&gt;0),MAX(Tasks[[#This Row],[_StartWorkday]],NETWORKDAYS.INTL(ProjectStart,Tasks[[#This Row],[_ShownFcstFinish]],WorkWeek,Holidays)),0)</f>
        <v>0</v>
      </c>
      <c r="FT115" s="42" t="n">
        <f aca="false">IF(AND(Tasks[[#This Row],[_IsLeaf]]=1,Tasks[[#This Row],[_LeafTotalWork]]&gt;0),Tasks[[#This Row],[_LeafWork]]/(Tasks[[#This Row],[_FinishWorkday]]-Tasks[[#This Row],[_StartWorkday]]+1),0)</f>
        <v>0</v>
      </c>
      <c r="FU115" s="42" t="n">
        <f aca="false">Tasks[[#This Row],[_WorkPerWorkday]]*(Tasks[[#This Row],[_StartWorkday]]-1)</f>
        <v>-0</v>
      </c>
      <c r="FV115" s="42" t="n">
        <f aca="false">IF(Tasks[[#This Row],[_IsLeaf]]=1,MAX(N(Tasks[[#This Row],[_Days]]),0.1),0)</f>
        <v>0</v>
      </c>
      <c r="FW115" s="42" t="n">
        <f aca="false">Tasks[[#This Row],[_WeightDur]]*Tasks[[#This Row],[_LeafProgress]]</f>
        <v>0</v>
      </c>
      <c r="FX115" s="42" t="n">
        <f aca="false">Tasks[[#This Row],[_WeightDur]]*Tasks[[#This Row],[_PlannedPct]]</f>
        <v>0</v>
      </c>
      <c r="FY11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5" s="42" t="str">
        <f aca="false">IF(AND(Tasks[[#This Row],[_IsLeaf]]=1,N(Tasks[[#This Row],[_Days]])=0,Tasks[[#This Row],[_LeafProgress]]&lt;1),Tasks[[#This Row],[_ShownFcstFinish]]+Tasks[[#This Row],[_Row]]/100000,"")</f>
        <v/>
      </c>
      <c r="GA11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5" s="42" t="str">
        <f aca="false">IF(Tasks[[#This Row],[Task Name]]="","",LEFT(Tasks[[#This Row],[WBS]],FIND(".",Tasks[[#This Row],[WBS]]&amp;".")-1))</f>
        <v/>
      </c>
      <c r="GC115" s="42" t="str">
        <f aca="false">IF(AND(Tasks[[#This Row],[Task Name]]&lt;&gt;"",Tasks[[#This Row],[_Level]]=1),Tasks[[#This Row],[_Row]],"")</f>
        <v/>
      </c>
      <c r="GD115" s="42" t="str">
        <f aca="false">IF(AND(Tasks[[#This Row],[_IsLeaf]]=1,N(Tasks[[#This Row],[_Days]])=0),Tasks[[#This Row],[Planned Finish]]+Tasks[[#This Row],[_Row]]/100000,"")</f>
        <v/>
      </c>
      <c r="GE115" s="42" t="str">
        <f aca="false">IF(AND(Tasks[[#This Row],[_IsLeaf]]=1,Tasks[[#This Row],[_LeafProgress]]&lt;1,OR(N(Tasks[[#This Row],[Finish Var]])&gt;0,Tasks[[#This Row],[Status]]="Late Start")),MAX(0,Tasks[[#This Row],[Finish Var]])+1-Tasks[[#This Row],[_Row]]/1000000,"")</f>
        <v/>
      </c>
      <c r="GF115" s="42" t="str">
        <f aca="false">IF(AND(Tasks[[#This Row],[_IsLeaf]]=1,N(Tasks[[#This Row],[Actual Start]])=0,Tasks[[#This Row],[_ShownFcstStart]]&gt;=StatusDate,Tasks[[#This Row],[_ShownFcstStart]]&lt;=LookaheadEnd),Tasks[[#This Row],[_ShownFcstStart]]+Tasks[[#This Row],[_Row]]/100000,"")</f>
        <v/>
      </c>
      <c r="GG115" s="42" t="str">
        <f aca="false">IF(AND(Tasks[[#This Row],[_IsLeaf]]=1,Tasks[[#This Row],[_LeafProgress]]&lt;1,Tasks[[#This Row],[_ShownFcstFinish]]&gt;=StatusDate,Tasks[[#This Row],[_ShownFcstFinish]]&lt;=LookaheadEnd),Tasks[[#This Row],[_ShownFcstFinish]]+Tasks[[#This Row],[_Row]]/100000,"")</f>
        <v/>
      </c>
      <c r="GH115" s="42" t="str">
        <f aca="false">IF(Tasks[[#This Row],[_LeafCritical]],Tasks[[#This Row],[_ShownFcstStart]]+Tasks[[#This Row],[_Row]]/100000,"")</f>
        <v/>
      </c>
      <c r="GI115" s="42" t="n">
        <f aca="false">Tasks[[#This Row],[_LeafWork]]*Tasks[[#This Row],[_LeafProgress]]</f>
        <v>0</v>
      </c>
      <c r="GJ115" s="89" t="str">
        <f aca="false">IF(AND(Tasks[[#This Row],[_IsLeaf]]=1,Tasks[[#This Row],[_LeafProgress]]&gt;=1),IF(N(Tasks[[#This Row],[Actual Finish]])&gt;0,Tasks[[#This Row],[Actual Finish]],Tasks[[#This Row],[_ShownFcstFinish]]),"")</f>
        <v/>
      </c>
      <c r="GK115" s="42" t="n">
        <f aca="false">IF(Tasks[[#This Row],[_IsLeaf]]=1,N(Tasks[[#This Row],[Story Points]]),0)</f>
        <v>0</v>
      </c>
      <c r="GL115" s="42" t="str">
        <f aca="false">""</f>
        <v/>
      </c>
      <c r="GM115" s="88" t="b">
        <f aca="false">IF(Tasks[[#This Row],[Task Name]]="",FALSE(),AND(Tasks[[#This Row],[_IsLeaf]]=1,N(Tasks[[#This Row],[_Days]])=0))</f>
        <v>0</v>
      </c>
      <c r="GN115" s="89" t="n">
        <f aca="false">IF(Tasks[[#This Row],[Task Name]]="",0,IF(AND(Tasks[[#This Row],[_IsLeaf]]=1,NOT(Tasks[[#This Row],[_IsMilestone]]),N(Tasks[[#This Row],[Progress]])&gt;0),Tasks[[#This Row],[Start]],0))</f>
        <v>0</v>
      </c>
      <c r="GO115" s="89" t="n">
        <f aca="false">IF(Tasks[[#This Row],[_DoneFrom]]=0,0,IF(Tasks[[#This Row],[Progress]]&gt;=1,Tasks[[#This Row],[Finish]],MAX(Tasks[[#This Row],[_DoneFrom]],Tasks[[#This Row],[Start]]+ROUND((Tasks[[#This Row],[Finish]]-Tasks[[#This Row],[Start]]+1)*Tasks[[#This Row],[Progress]],0)-1)))</f>
        <v>0</v>
      </c>
      <c r="GP115" s="89" t="n">
        <f aca="false">IF(Tasks[[#This Row],[Task Name]]="",0,IF(OR(NOT(Tasks[[#This Row],[_IsLeaf]]=1),Tasks[[#This Row],[_IsMilestone]],N(Tasks[[#This Row],[Progress]])&gt;=1),0,IF(Tasks[[#This Row],[_DoneTo]]&gt;0,Tasks[[#This Row],[_DoneTo]]+1,Tasks[[#This Row],[Start]])))</f>
        <v>0</v>
      </c>
      <c r="GQ115" s="89" t="n">
        <f aca="false">IF(Tasks[[#This Row],[_RemFrom]]=0,0,Tasks[[#This Row],[Finish]])</f>
        <v>0</v>
      </c>
      <c r="GR115" s="88" t="b">
        <f aca="false">IF(Tasks[[#This Row],[Task Name]]="",FALSE(),OR(NOT(BaselineSet),N(Tasks[[#This Row],[Baseline Start]])&gt;0))</f>
        <v>0</v>
      </c>
      <c r="GS11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5" s="90" t="str">
        <f aca="false">IF(Tasks[[#This Row],[_IsLeaf]]=1,Tasks[[#This Row],[_Row]],"")</f>
        <v/>
      </c>
      <c r="GW115" s="90" t="str">
        <f aca="false">IFERROR(INDEX(Tasks[UID],SMALL(Tasks[_PickKey],Tasks[[#This Row],[_Row]]))&amp;" "&amp;INDEX(Tasks[Task Name],SMALL(Tasks[_PickKey],Tasks[[#This Row],[_Row]])),"")</f>
        <v/>
      </c>
      <c r="GX115" s="42" t="str">
        <f aca="false">IF(Tasks[[#This Row],[Task Name]]="","",IF(Tasks[[#This Row],[_IsSummary]],NETWORKDAYS.INTL(Tasks[[#This Row],[Start]],Tasks[[#This Row],[Finish]],WorkWeek,Holidays),N(Tasks[[#This Row],[_Days]])))</f>
        <v/>
      </c>
    </row>
    <row r="116" customFormat="false" ht="15" hidden="false" customHeight="false" outlineLevel="0" collapsed="false">
      <c r="A116" s="21" t="str">
        <f aca="false">IF(Tasks[[#This Row],[Task Name]]="","",COUNTA(Tasks[[#Headers],[Task Name]]:Tasks[[#This Row],[Task Name]])-1)</f>
        <v/>
      </c>
      <c r="B116" s="22" t="n">
        <v>124</v>
      </c>
      <c r="C116" s="22"/>
      <c r="D116" s="23"/>
      <c r="E116" s="22"/>
      <c r="F116" s="23"/>
      <c r="G116" s="22"/>
      <c r="H116" s="22"/>
      <c r="I116" s="23"/>
      <c r="J116" s="22"/>
      <c r="K116" s="22"/>
      <c r="L116" s="23"/>
      <c r="M116" s="22"/>
      <c r="N116" s="22"/>
      <c r="O116" s="23"/>
      <c r="P116" s="22"/>
      <c r="Q116" s="22"/>
      <c r="R116" s="23"/>
      <c r="S116" s="23"/>
      <c r="T116" s="83"/>
      <c r="U116" s="23"/>
      <c r="V116" s="83"/>
      <c r="W116" s="23"/>
      <c r="X116" s="83"/>
      <c r="Y116" s="23"/>
      <c r="Z116" s="83"/>
      <c r="AA116" s="23"/>
      <c r="AB116" s="23"/>
      <c r="AC116" s="7"/>
      <c r="AD116" s="7"/>
      <c r="AE116" s="62" t="str">
        <f aca="false">IF(Tasks[[#This Row],[Task Name]]="","",IF(Tasks[[#This Row],[_IsSummary]],MIN(INDEX(Tasks[_ShownFcstStart],Tasks[[#This Row],[_Row]]+1):INDEX(Tasks[_ShownFcstStart],Tasks[[#This Row],[_Row]]+Tasks[[#This Row],[_Descendants]])),Tasks[[#This Row],[_ShownFcstStart]]))</f>
        <v/>
      </c>
      <c r="AF116" s="62" t="str">
        <f aca="false">IF(Tasks[[#This Row],[Task Name]]="","",IF(Tasks[[#This Row],[_IsSummary]],MAX(INDEX(Tasks[_ShownFcstFinish],Tasks[[#This Row],[_Row]]+1):INDEX(Tasks[_ShownFcstFinish],Tasks[[#This Row],[_Row]]+Tasks[[#This Row],[_Descendants]])),Tasks[[#This Row],[_ShownFcstFinish]]))</f>
        <v/>
      </c>
      <c r="AG116" s="21" t="str">
        <f aca="false">""</f>
        <v/>
      </c>
      <c r="AH116" s="23"/>
      <c r="AI11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6" s="7"/>
      <c r="AK116" s="22"/>
      <c r="AL116" s="23"/>
      <c r="AM116" s="7"/>
      <c r="AN116" s="46" t="str">
        <f aca="false">IF(Tasks[[#This Row],[Task Name]]="","",IF(Tasks[[#This Row],[Finish]]&gt;=Tasks[[#This Row],[Planned Finish]],NETWORKDAYS.INTL(Tasks[[#This Row],[Planned Finish]],Tasks[[#This Row],[Finish]],WorkWeek,Holidays)-1,1-NETWORKDAYS.INTL(Tasks[[#This Row],[Finish]],Tasks[[#This Row],[Planned Finish]],WorkWeek,Holidays)))</f>
        <v/>
      </c>
      <c r="AO116" s="21" t="str">
        <f aca="false">IF(Tasks[[#This Row],[Task Name]]="","",IF(Tasks[[#This Row],[Progress]]&gt;=1,"Complete",IF(OR(N(Tasks[[#This Row],[Actual Start]])&gt;0,Tasks[[#This Row],[Progress]]&gt;0),IF(Tasks[[#This Row],[Finish Var]]&gt;0,"Behind","In Progress"),IF(Tasks[[#This Row],[Planned Start]]&lt;StatusDate,"Late Start","Not Started"))))</f>
        <v/>
      </c>
      <c r="AP116" s="21" t="str">
        <f aca="false">IF(Tasks[[#This Row],[Task Name]]="","",IF(IF(Tasks[[#This Row],[_IsSummary]],COUNTIF(INDEX(Tasks[_LeafCritical],Tasks[[#This Row],[_Row]]+1):INDEX(Tasks[_LeafCritical],Tasks[[#This Row],[_Row]]+Tasks[[#This Row],[_Descendants]]),TRUE())&gt;0,Tasks[[#This Row],[_LeafCritical]]),"Yes",""))</f>
        <v/>
      </c>
      <c r="AQ116" s="62" t="str">
        <f aca="false">IF(Tasks[[#This Row],[Task Name]]="","",IF(N(Tasks[[#This Row],[Baseline Start]])&gt;0,Tasks[[#This Row],[Baseline Start]],Tasks[[#This Row],[_CalcStart]]))</f>
        <v/>
      </c>
      <c r="AR116" s="62" t="str">
        <f aca="false">IF(Tasks[[#This Row],[Task Name]]="","",IF(N(Tasks[[#This Row],[Baseline Finish]])&gt;0,Tasks[[#This Row],[Baseline Finish]],Tasks[[#This Row],[_CalcFinish]]))</f>
        <v/>
      </c>
      <c r="AS116" s="46" t="str">
        <f aca="false">IF(Tasks[[#This Row],[Task Name]]="","",IF(Tasks[[#This Row],[Start]]&gt;=Tasks[[#This Row],[Planned Start]],NETWORKDAYS.INTL(Tasks[[#This Row],[Planned Start]],Tasks[[#This Row],[Start]],WorkWeek,Holidays)-1,1-NETWORKDAYS.INTL(Tasks[[#This Row],[Start]],Tasks[[#This Row],[Planned Start]],WorkWeek,Holidays)))</f>
        <v/>
      </c>
      <c r="AT116" s="62" t="str">
        <f aca="false">IF(Tasks[[#This Row],[Task Name]]="","",IF(Tasks[[#This Row],[_IsSummary]],MIN(INDEX(Tasks[_LeafLateStart],Tasks[[#This Row],[_Row]]+1):INDEX(Tasks[_LeafLateStart],Tasks[[#This Row],[_Row]]+Tasks[[#This Row],[_Descendants]])),Tasks[[#This Row],[_LeafLateStart]]))</f>
        <v/>
      </c>
      <c r="AU116" s="62" t="str">
        <f aca="false">IF(Tasks[[#This Row],[Task Name]]="","",IF(Tasks[[#This Row],[_IsSummary]],MAX(INDEX(Tasks[_LeafLateFinish],Tasks[[#This Row],[_Row]]+1):INDEX(Tasks[_LeafLateFinish],Tasks[[#This Row],[_Row]]+Tasks[[#This Row],[_Descendants]])),Tasks[[#This Row],[_LeafLateFinish]]))</f>
        <v/>
      </c>
      <c r="AV116" s="46" t="str">
        <f aca="false">IF(Tasks[[#This Row],[Task Name]]="","",IF(Tasks[[#This Row],[_IsSummary]],MIN(INDEX(Tasks[_LeafTotalSlack],Tasks[[#This Row],[_Row]]+1):INDEX(Tasks[_LeafTotalSlack],Tasks[[#This Row],[_Row]]+Tasks[[#This Row],[_Descendants]])),Tasks[[#This Row],[_LeafTotalSlack]]))</f>
        <v/>
      </c>
      <c r="AW11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4"/>
      <c r="BA11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t="str">
        <f aca="false">IF(Tasks[[#This Row],[Task Name]]="","",IF(Tasks[[#This Row],[_Level]]&lt;=OutlineShowLevel,"Yes","No"))</f>
        <v/>
      </c>
      <c r="BE116" s="85" t="str">
        <f aca="false">IF(Tasks[[#This Row],[Task Name]]="","",IF(Tasks[[#This Row],[_IsSummary]],SUM(INDEX(Tasks[_LeafTotalWork],Tasks[[#This Row],[_Row]]+1):INDEX(Tasks[_LeafTotalWork],Tasks[[#This Row],[_Row]]+Tasks[[#This Row],[_Descendants]])),Tasks[[#This Row],[_LeafTotalWork]]))</f>
        <v/>
      </c>
      <c r="BF116" s="23"/>
      <c r="BG11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t="str">
        <f aca="false">""</f>
        <v/>
      </c>
      <c r="BI116" s="86"/>
      <c r="BJ116" s="22"/>
      <c r="BK116" s="46" t="str">
        <f aca="false">IF(OR(Tasks[[#This Row],[Task Name]]="",Tasks[[#This Row],[Baseline Duration]]=""),"",Tasks[[#This Row],[_SpanDays]]-N(Tasks[[#This Row],[Baseline Duration]]))</f>
        <v/>
      </c>
      <c r="BL116" s="85" t="str">
        <f aca="false">IF(OR(Tasks[[#This Row],[Task Name]]="",Tasks[[#This Row],[Baseline Work]]=""),"",Tasks[[#This Row],[Work]]-N(Tasks[[#This Row],[Baseline Work]]))</f>
        <v/>
      </c>
      <c r="BM116" s="62" t="str">
        <f aca="false">IF(Tasks[[#This Row],[Task Name]]="","",IF(OR(TakeBaseline="Yes",N(Tasks[[#This Row],[Baseline Start]])=0),Tasks[[#This Row],[Start]],Tasks[[#This Row],[Baseline Start]]))</f>
        <v/>
      </c>
      <c r="BN116" s="62" t="str">
        <f aca="false">IF(Tasks[[#This Row],[Task Name]]="","",IF(OR(TakeBaseline="Yes",N(Tasks[[#This Row],[Baseline Finish]])=0),Tasks[[#This Row],[Finish]],Tasks[[#This Row],[Baseline Finish]]))</f>
        <v/>
      </c>
      <c r="BO116" s="21" t="str">
        <f aca="false">IF(Tasks[[#This Row],[Task Name]]="","",IF(OR(TakeBaseline="Yes",N(Tasks[[#This Row],[Baseline Duration]])=0),Tasks[[#This Row],[_SpanDays]],Tasks[[#This Row],[Baseline Duration]]))</f>
        <v/>
      </c>
      <c r="BP116" s="85" t="str">
        <f aca="false">IF(Tasks[[#This Row],[Task Name]]="","",IF(OR(TakeBaseline="Yes",N(Tasks[[#This Row],[Baseline Work]])=0),Tasks[[#This Row],[Work]],Tasks[[#This Row],[Baseline Work]]))</f>
        <v/>
      </c>
      <c r="BQ116" s="7"/>
      <c r="BR116" s="7"/>
      <c r="BS116" s="22"/>
      <c r="BT116" s="87"/>
      <c r="BU116" s="42" t="str">
        <f aca="false">IF(Tasks[[#This Row],[Task Name]]="","",MAX(1,N(Tasks[[#This Row],[Level]])))</f>
        <v/>
      </c>
      <c r="BV116" s="42" t="n">
        <f aca="false">ROW()-ROW(Tasks[[#Headers],[ID]])</f>
        <v>111</v>
      </c>
      <c r="BW116" s="42" t="n">
        <f aca="false">IF(OR(Tasks[[#This Row],[Task Name]]="",Tasks[[#This Row],[_Level]]&lt;=1),0,IFERROR(LOOKUP(2,1/(Tasks[[#Headers],[_Level]]:Tasks[[#This Row],[_Level]]=Tasks[[#This Row],[_Level]]-1),ROW(Tasks[[#Headers],[_Level]]:Tasks[[#This Row],[_Level]])),0))</f>
        <v>0</v>
      </c>
      <c r="BX116" s="42" t="n">
        <f aca="false">IFERROR(N(INDEX(Tasks[_Level],Tasks[[#This Row],[_Row]]+1)),0)</f>
        <v>0</v>
      </c>
      <c r="BY116" s="88" t="b">
        <f aca="false">AND(Tasks[[#This Row],[Task Name]]&lt;&gt;"",Tasks[[#This Row],[_NextLevel]]&gt;Tasks[[#This Row],[_Level]])</f>
        <v>0</v>
      </c>
      <c r="BZ116" s="42" t="n">
        <f aca="false">IF(Tasks[[#This Row],[_IsSummary]],COUNTIF(Tasks[WBS],Tasks[[#This Row],[WBS]]&amp;".*"),0)</f>
        <v>0</v>
      </c>
      <c r="CA116" s="42" t="n">
        <f aca="false">IF(AND(Tasks[[#This Row],[Task Name]]&lt;&gt;"",NOT(Tasks[[#This Row],[_IsSummary]])),1,0)</f>
        <v>0</v>
      </c>
      <c r="CB116" s="42" t="n">
        <f aca="false">IF(N(Tasks[[#This Row],[_Pred1UID]])=0,0,IFERROR(MATCH(Tasks[[#This Row],[_Pred1UID]],Tasks[UID],0),-1))</f>
        <v>0</v>
      </c>
      <c r="CC116" s="42" t="n">
        <f aca="false">IF(N(Tasks[[#This Row],[_Pred2UID]])=0,0,IFERROR(MATCH(Tasks[[#This Row],[_Pred2UID]],Tasks[UID],0),-1))</f>
        <v>0</v>
      </c>
      <c r="CD116" s="42" t="n">
        <f aca="false">IF(N(Tasks[[#This Row],[_Pred3UID]])=0,0,IFERROR(MATCH(Tasks[[#This Row],[_Pred3UID]],Tasks[UID],0),-1))</f>
        <v>0</v>
      </c>
      <c r="CE116" s="42" t="n">
        <f aca="false">IF(N(Tasks[[#This Row],[_Pred4UID]])=0,0,IFERROR(MATCH(Tasks[[#This Row],[_Pred4UID]],Tasks[UID],0),-1))</f>
        <v>0</v>
      </c>
      <c r="CF11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6" s="89" t="n">
        <f aca="false">IF(OR(Tasks[[#This Row],[_ConstraintCode]]=2,Tasks[[#This Row],[_ConstraintCode]]=3,Tasks[[#This Row],[_ConstraintCode]]=4,Tasks[[#This Row],[_ConstraintCode]]=6),Tasks[[#This Row],[_ConstraintStart]],0)</f>
        <v>0</v>
      </c>
      <c r="CI116" s="89" t="n">
        <f aca="false">IF(OR(Tasks[[#This Row],[_ConstraintCode]]=2,Tasks[[#This Row],[_ConstraintCode]]=3,Tasks[[#This Row],[_ConstraintCode]]=5,Tasks[[#This Row],[_ConstraintCode]]=7),Tasks[[#This Row],[_ConstraintStart]],2958465)</f>
        <v>2958465</v>
      </c>
      <c r="CJ11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6" s="89" t="str">
        <f aca="false">IF(NOT(Tasks[[#This Row],[_IsLeaf]]=1),"",IF(N(Tasks[[#This Row],[_Days]])&lt;=0,Tasks[[#This Row],[_LeafCalcStart]],WORKDAY.INTL(Tasks[[#This Row],[_LeafCalcStart]],Tasks[[#This Row],[_Days]]-1,WorkWeek,Holidays)))</f>
        <v/>
      </c>
      <c r="CL11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6" s="42" t="str">
        <f aca="false">IF(Tasks[[#This Row],[_Predecessors]]="","",TRIM(MID(SUBSTITUTE(SUBSTITUTE(SUBSTITUTE(UPPER(Tasks[[#This Row],[_Predecessors]]),";",",")," ",""),",",REPT(" ",99)),1,99)))</f>
        <v/>
      </c>
      <c r="CO116" s="42" t="str">
        <f aca="false">IF(Tasks[[#This Row],[_Pred1Text]]="","",IFERROR(VALUE(LEFT(Tasks[[#This Row],[_Pred1Text]],MIN(FIND("F",Tasks[[#This Row],[_Pred1Text]]&amp;"F"),FIND("S",Tasks[[#This Row],[_Pred1Text]]&amp;"S"),FIND("+",Tasks[[#This Row],[_Pred1Text]]&amp;"+"),FIND("-",Tasks[[#This Row],[_Pred1Text]]&amp;"-"))-1)),""))</f>
        <v/>
      </c>
      <c r="CP11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6" s="42" t="str">
        <f aca="false">IF(Tasks[[#This Row],[_Pred1Text]]="","",TRIM(MID(SUBSTITUTE(SUBSTITUTE(SUBSTITUTE(UPPER(Tasks[[#This Row],[_Predecessors]]),";",",")," ",""),",",REPT(" ",99)),100,99)))</f>
        <v/>
      </c>
      <c r="CS116" s="42" t="str">
        <f aca="false">IF(Tasks[[#This Row],[_Pred2Text]]="","",IFERROR(VALUE(LEFT(Tasks[[#This Row],[_Pred2Text]],MIN(FIND("F",Tasks[[#This Row],[_Pred2Text]]&amp;"F"),FIND("S",Tasks[[#This Row],[_Pred2Text]]&amp;"S"),FIND("+",Tasks[[#This Row],[_Pred2Text]]&amp;"+"),FIND("-",Tasks[[#This Row],[_Pred2Text]]&amp;"-"))-1)),""))</f>
        <v/>
      </c>
      <c r="CT11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6" s="42" t="str">
        <f aca="false">IF(Tasks[[#This Row],[_Pred2Text]]="","",TRIM(MID(SUBSTITUTE(SUBSTITUTE(SUBSTITUTE(UPPER(Tasks[[#This Row],[_Predecessors]]),";",",")," ",""),",",REPT(" ",99)),199,99)))</f>
        <v/>
      </c>
      <c r="CW116" s="42" t="str">
        <f aca="false">IF(Tasks[[#This Row],[_Pred3Text]]="","",IFERROR(VALUE(LEFT(Tasks[[#This Row],[_Pred3Text]],MIN(FIND("F",Tasks[[#This Row],[_Pred3Text]]&amp;"F"),FIND("S",Tasks[[#This Row],[_Pred3Text]]&amp;"S"),FIND("+",Tasks[[#This Row],[_Pred3Text]]&amp;"+"),FIND("-",Tasks[[#This Row],[_Pred3Text]]&amp;"-"))-1)),""))</f>
        <v/>
      </c>
      <c r="CX11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6" s="42" t="str">
        <f aca="false">IF(Tasks[[#This Row],[_Pred3Text]]="","",TRIM(MID(SUBSTITUTE(SUBSTITUTE(SUBSTITUTE(UPPER(Tasks[[#This Row],[_Predecessors]]),";",",")," ",""),",",REPT(" ",99)),298,99)))</f>
        <v/>
      </c>
      <c r="DA116" s="42" t="str">
        <f aca="false">IF(Tasks[[#This Row],[_Pred4Text]]="","",IFERROR(VALUE(LEFT(Tasks[[#This Row],[_Pred4Text]],MIN(FIND("F",Tasks[[#This Row],[_Pred4Text]]&amp;"F"),FIND("S",Tasks[[#This Row],[_Pred4Text]]&amp;"S"),FIND("+",Tasks[[#This Row],[_Pred4Text]]&amp;"+"),FIND("-",Tasks[[#This Row],[_Pred4Text]]&amp;"-"))-1)),""))</f>
        <v/>
      </c>
      <c r="DB11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6" s="42" t="str">
        <f aca="false">IF(OR(Tasks[[#This Row],[Task Name]]="",Tasks[[#This Row],[_Resources]]=""),"",TRIM(MID(SUBSTITUTE(Tasks[[#This Row],[_Resources]],",",REPT(" ",99)),1,99)))</f>
        <v/>
      </c>
      <c r="DE116" s="42" t="str">
        <f aca="false">IF(Tasks[[#This Row],[_Res1Text]]="","",TRIM(MID(SUBSTITUTE(Tasks[[#This Row],[_Resources]],",",REPT(" ",99)),100,99)))</f>
        <v/>
      </c>
      <c r="DF116" s="42" t="str">
        <f aca="false">IF(Tasks[[#This Row],[_Res2Text]]="","",TRIM(MID(SUBSTITUTE(Tasks[[#This Row],[_Resources]],",",REPT(" ",99)),199,99)))</f>
        <v/>
      </c>
      <c r="DG116" s="42" t="str">
        <f aca="false">IF(Tasks[[#This Row],[_Res3Text]]="","",TRIM(MID(SUBSTITUTE(Tasks[[#This Row],[_Resources]],",",REPT(" ",99)),298,99)))</f>
        <v/>
      </c>
      <c r="DH116" s="42" t="n">
        <f aca="false">IF(Tasks[[#This Row],[_Res1Text]]="",0,IFERROR(MATCH(TRIM(LEFT(Tasks[[#This Row],[_Res1Text]],FIND("[",Tasks[[#This Row],[_Res1Text]]&amp;"[")-1)),res_Name,0),IFERROR(MATCH(TRIM(LEFT(Tasks[[#This Row],[_Res1Text]],FIND("[",Tasks[[#This Row],[_Res1Text]]&amp;"[")-1)),res_Initials,0),0)))</f>
        <v>0</v>
      </c>
      <c r="DI116" s="42" t="n">
        <f aca="false">IF(Tasks[[#This Row],[_Res2Text]]="",0,IFERROR(MATCH(TRIM(LEFT(Tasks[[#This Row],[_Res2Text]],FIND("[",Tasks[[#This Row],[_Res2Text]]&amp;"[")-1)),res_Name,0),IFERROR(MATCH(TRIM(LEFT(Tasks[[#This Row],[_Res2Text]],FIND("[",Tasks[[#This Row],[_Res2Text]]&amp;"[")-1)),res_Initials,0),0)))</f>
        <v>0</v>
      </c>
      <c r="DJ116" s="42" t="n">
        <f aca="false">IF(Tasks[[#This Row],[_Res3Text]]="",0,IFERROR(MATCH(TRIM(LEFT(Tasks[[#This Row],[_Res3Text]],FIND("[",Tasks[[#This Row],[_Res3Text]]&amp;"[")-1)),res_Name,0),IFERROR(MATCH(TRIM(LEFT(Tasks[[#This Row],[_Res3Text]],FIND("[",Tasks[[#This Row],[_Res3Text]]&amp;"[")-1)),res_Initials,0),0)))</f>
        <v>0</v>
      </c>
      <c r="DK116" s="42" t="n">
        <f aca="false">IF(Tasks[[#This Row],[_Res4Text]]="",0,IFERROR(MATCH(TRIM(LEFT(Tasks[[#This Row],[_Res4Text]],FIND("[",Tasks[[#This Row],[_Res4Text]]&amp;"[")-1)),res_Name,0),IFERROR(MATCH(TRIM(LEFT(Tasks[[#This Row],[_Res4Text]],FIND("[",Tasks[[#This Row],[_Res4Text]]&amp;"[")-1)),res_Initials,0),0)))</f>
        <v>0</v>
      </c>
      <c r="DL116" s="42" t="str">
        <f aca="false">IF(Tasks[[#This Row],[_Res1Text]]="","",IF(Tasks[[#This Row],[_Res1Row]]&gt;0,INDEX(res_Name,Tasks[[#This Row],[_Res1Row]]),TRIM(LEFT(Tasks[[#This Row],[_Res1Text]],FIND("[",Tasks[[#This Row],[_Res1Text]]&amp;"[")-1))))</f>
        <v/>
      </c>
      <c r="DM11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6" s="42" t="n">
        <f aca="false">IF(NOT(Tasks[[#This Row],[_IsLeaf]]=1),0,(Tasks[[#This Row],[_Resource1]]&lt;&gt;"")+(Tasks[[#This Row],[_Res2]]&lt;&gt;"")+(Tasks[[#This Row],[_Res3]]&lt;&gt;"")+(Tasks[[#This Row],[_Res4]]&lt;&gt;""))</f>
        <v>0</v>
      </c>
      <c r="DO116" s="42" t="str">
        <f aca="false">IF(Tasks[[#This Row],[_Res2Text]]="","",IF(Tasks[[#This Row],[_Res2Row]]&gt;0,INDEX(res_Name,Tasks[[#This Row],[_Res2Row]]),TRIM(LEFT(Tasks[[#This Row],[_Res2Text]],FIND("[",Tasks[[#This Row],[_Res2Text]]&amp;"[")-1))))</f>
        <v/>
      </c>
      <c r="DP11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6" s="42" t="n">
        <f aca="false">IF(OR(NOT(Tasks[[#This Row],[_IsLeaf]]=1),Tasks[[#This Row],[_Res2Row]]=0),0,N(Tasks[[#This Row],[_Days]])*HoursPerDay*IF(Tasks[[#This Row],[_Res2Units]]="",DefaultUnits,Tasks[[#This Row],[_Res2Units]]))</f>
        <v>0</v>
      </c>
      <c r="DR116" s="42" t="n">
        <f aca="false">IF(AND(AND(Tasks[[#This Row],[_IsLeaf]]=1,Tasks[[#This Row],[_LeafTotalWork]]&gt;0),Tasks[[#This Row],[_Res2Work]]&gt;0),Tasks[[#This Row],[_Res2Work]]/(Tasks[[#This Row],[_FinishWorkday]]-Tasks[[#This Row],[_StartWorkday]]+1),0)</f>
        <v>0</v>
      </c>
      <c r="DS116" s="42" t="n">
        <f aca="false">Tasks[[#This Row],[_Res2WorkPerWD]]*MAX(0,Tasks[[#This Row],[_StartWorkday]]-1)</f>
        <v>0</v>
      </c>
      <c r="DT116" s="42" t="n">
        <f aca="false">Tasks[[#This Row],[_Res2Work]]*Tasks[[#This Row],[_LeafProgress]]</f>
        <v>0</v>
      </c>
      <c r="DU116" s="42" t="str">
        <f aca="false">IF(Tasks[[#This Row],[_Res3Text]]="","",IF(Tasks[[#This Row],[_Res3Row]]&gt;0,INDEX(res_Name,Tasks[[#This Row],[_Res3Row]]),TRIM(LEFT(Tasks[[#This Row],[_Res3Text]],FIND("[",Tasks[[#This Row],[_Res3Text]]&amp;"[")-1))))</f>
        <v/>
      </c>
      <c r="DV11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6" s="42" t="n">
        <f aca="false">IF(OR(NOT(Tasks[[#This Row],[_IsLeaf]]=1),Tasks[[#This Row],[_Res3Row]]=0),0,N(Tasks[[#This Row],[_Days]])*HoursPerDay*IF(Tasks[[#This Row],[_Res3Units]]="",DefaultUnits,Tasks[[#This Row],[_Res3Units]]))</f>
        <v>0</v>
      </c>
      <c r="DX116" s="42" t="n">
        <f aca="false">IF(AND(AND(Tasks[[#This Row],[_IsLeaf]]=1,Tasks[[#This Row],[_LeafTotalWork]]&gt;0),Tasks[[#This Row],[_Res3Work]]&gt;0),Tasks[[#This Row],[_Res3Work]]/(Tasks[[#This Row],[_FinishWorkday]]-Tasks[[#This Row],[_StartWorkday]]+1),0)</f>
        <v>0</v>
      </c>
      <c r="DY116" s="42" t="n">
        <f aca="false">Tasks[[#This Row],[_Res3WorkPerWD]]*MAX(0,Tasks[[#This Row],[_StartWorkday]]-1)</f>
        <v>0</v>
      </c>
      <c r="DZ116" s="42" t="n">
        <f aca="false">Tasks[[#This Row],[_Res3Work]]*Tasks[[#This Row],[_LeafProgress]]</f>
        <v>0</v>
      </c>
      <c r="EA116" s="42" t="str">
        <f aca="false">IF(Tasks[[#This Row],[_Res4Text]]="","",IF(Tasks[[#This Row],[_Res4Row]]&gt;0,INDEX(res_Name,Tasks[[#This Row],[_Res4Row]]),TRIM(LEFT(Tasks[[#This Row],[_Res4Text]],FIND("[",Tasks[[#This Row],[_Res4Text]]&amp;"[")-1))))</f>
        <v/>
      </c>
      <c r="EB11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6" s="42" t="n">
        <f aca="false">IF(OR(NOT(Tasks[[#This Row],[_IsLeaf]]=1),Tasks[[#This Row],[_Res4Row]]=0),0,N(Tasks[[#This Row],[_Days]])*HoursPerDay*IF(Tasks[[#This Row],[_Res4Units]]="",DefaultUnits,Tasks[[#This Row],[_Res4Units]]))</f>
        <v>0</v>
      </c>
      <c r="ED116" s="42" t="n">
        <f aca="false">IF(AND(AND(Tasks[[#This Row],[_IsLeaf]]=1,Tasks[[#This Row],[_LeafTotalWork]]&gt;0),Tasks[[#This Row],[_Res4Work]]&gt;0),Tasks[[#This Row],[_Res4Work]]/(Tasks[[#This Row],[_FinishWorkday]]-Tasks[[#This Row],[_StartWorkday]]+1),0)</f>
        <v>0</v>
      </c>
      <c r="EE116" s="42" t="n">
        <f aca="false">Tasks[[#This Row],[_Res4WorkPerWD]]*MAX(0,Tasks[[#This Row],[_StartWorkday]]-1)</f>
        <v>0</v>
      </c>
      <c r="EF116" s="42" t="n">
        <f aca="false">Tasks[[#This Row],[_Res4Work]]*Tasks[[#This Row],[_LeafProgress]]</f>
        <v>0</v>
      </c>
      <c r="EG116" s="42" t="n">
        <f aca="false">IF(ISNUMBER(Tasks[[#This Row],[% Complete]]),Tasks[[#This Row],[% Complete]],IF(Tasks[[#This Row],[Stage]]="",0,IFERROR(INDEX(stg_Pct,MATCH(Tasks[[#This Row],[Stage]],stg_Name,0)),0)))</f>
        <v>0</v>
      </c>
      <c r="EH116" s="42" t="n">
        <f aca="false">IF(NOT(Tasks[[#This Row],[_IsLeaf]]=1),0,IF(N(Tasks[[#This Row],[Actual Finish]])&gt;0,1,MIN(1,Tasks[[#This Row],[_Pct]])))</f>
        <v>0</v>
      </c>
      <c r="EI116" s="42" t="n">
        <f aca="false">IF(OR(NOT(Tasks[[#This Row],[_IsLeaf]]=1),Tasks[[#This Row],[_Res1Row]]=0),0,N(Tasks[[#This Row],[_Days]])*HoursPerDay*IF(Tasks[[#This Row],[_Units1]]="",DefaultUnits,Tasks[[#This Row],[_Units1]]))</f>
        <v>0</v>
      </c>
      <c r="EJ116" s="42" t="n">
        <f aca="false">Tasks[[#This Row],[_LeafWork]]+Tasks[[#This Row],[_Res2Work]]+Tasks[[#This Row],[_Res3Work]]+Tasks[[#This Row],[_Res4Work]]</f>
        <v>0</v>
      </c>
      <c r="EK11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6" s="42" t="n">
        <f aca="false">IF(NOT(Tasks[[#This Row],[_IsLeaf]]=1),0,MAX(_xlfn.MAXIFS(Tasks[_Row],Tasks[_Pred1UID],Tasks[[#This Row],[UID]]),_xlfn.MAXIFS(Tasks[_Row],Tasks[_Pred2UID],Tasks[[#This Row],[UID]]),_xlfn.MAXIFS(Tasks[_Row],Tasks[_Pred3UID],Tasks[[#This Row],[UID]]),_xlfn.MAXIFS(Tasks[_Row],Tasks[_Pred4UID],Tasks[[#This Row],[UID]])))</f>
        <v>0</v>
      </c>
      <c r="ET11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6" s="89" t="str">
        <f aca="false">IF(NOT(Tasks[[#This Row],[_IsLeaf]]=1),"",IF(N(Tasks[[#This Row],[_Days]])&lt;=0,Tasks[[#This Row],[_LeafLateFinish]],WORKDAY.INTL(Tasks[[#This Row],[_LeafLateFinish]],-(Tasks[[#This Row],[_Days]]-1),WorkWeek,Holidays)))</f>
        <v/>
      </c>
      <c r="EW11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6" s="88" t="b">
        <f aca="false">AND(Tasks[[#This Row],[_IsLeaf]]=1,Tasks[[#This Row],[_LeafProgress]]&lt;1,N(Tasks[[#This Row],[_LeafTotalSlack]])&lt;=CriticalSlackDays)</f>
        <v>0</v>
      </c>
      <c r="EY116" s="42" t="n">
        <f aca="false">IF(AND(Tasks[[#This Row],[_IsLeaf]]=1,Tasks[[#This Row],[_ConstraintCode]]=1,Tasks[[#This Row],[Mode]]&lt;&gt;"Manual",N(Tasks[[#This Row],[Actual Start]])=0),MAX(0,N(Tasks[[#This Row],[Free Slack]])),0)</f>
        <v>0</v>
      </c>
      <c r="EZ116" s="89" t="str">
        <f aca="false">IF(NOT(Tasks[[#This Row],[_IsLeaf]]=1),"",IF(Tasks[[#This Row],[_AlapShift]]=0,Tasks[[#This Row],[_LeafCalcStart]],WORKDAY.INTL(Tasks[[#This Row],[_LeafCalcStart]],Tasks[[#This Row],[_AlapShift]],WorkWeek,Holidays)))</f>
        <v/>
      </c>
      <c r="FA116" s="89" t="str">
        <f aca="false">IF(NOT(Tasks[[#This Row],[_IsLeaf]]=1),"",IF(Tasks[[#This Row],[_AlapShift]]=0,Tasks[[#This Row],[_LeafCalcFinish]],WORKDAY.INTL(Tasks[[#This Row],[_LeafCalcFinish]],Tasks[[#This Row],[_AlapShift]],WorkWeek,Holidays)))</f>
        <v/>
      </c>
      <c r="FB116" s="89" t="str">
        <f aca="false">IF(NOT(Tasks[[#This Row],[_IsLeaf]]=1),"",IF(Tasks[[#This Row],[_AlapShift]]=0,Tasks[[#This Row],[_LeafFcstStart]],WORKDAY.INTL(Tasks[[#This Row],[_LeafFcstStart]],Tasks[[#This Row],[_AlapShift]],WorkWeek,Holidays)))</f>
        <v/>
      </c>
      <c r="FC116" s="89" t="str">
        <f aca="false">IF(NOT(Tasks[[#This Row],[_IsLeaf]]=1),"",IF(Tasks[[#This Row],[_AlapShift]]=0,Tasks[[#This Row],[_LeafFcstFinish]],WORKDAY.INTL(Tasks[[#This Row],[_LeafFcstFinish]],Tasks[[#This Row],[_AlapShift]],WorkWeek,Holidays)))</f>
        <v/>
      </c>
      <c r="FD116" s="89" t="str">
        <f aca="false">IF(Tasks[[#This Row],[Task Name]]="","",IF(Tasks[[#This Row],[_IsSummary]],MIN(INDEX(Tasks[_ShownCalcStart],Tasks[[#This Row],[_Row]]+1):INDEX(Tasks[_ShownCalcStart],Tasks[[#This Row],[_Row]]+Tasks[[#This Row],[_Descendants]])),Tasks[[#This Row],[_ShownCalcStart]]))</f>
        <v/>
      </c>
      <c r="FE116" s="89" t="str">
        <f aca="false">IF(Tasks[[#This Row],[Task Name]]="","",IF(Tasks[[#This Row],[_IsSummary]],MAX(INDEX(Tasks[_ShownCalcFinish],Tasks[[#This Row],[_Row]]+1):INDEX(Tasks[_ShownCalcFinish],Tasks[[#This Row],[_Row]]+Tasks[[#This Row],[_Descendants]])),Tasks[[#This Row],[_ShownCalcFinish]]))</f>
        <v/>
      </c>
      <c r="FF11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6" s="42" t="n">
        <f aca="false">IF(AND(Tasks[[#This Row],[_IsLeaf]]=1,Tasks[[#This Row],[_LeafTotalWork]]&gt;0),NETWORKDAYS.INTL(ProjectStart,Tasks[[#This Row],[_ShownFcstStart]],WorkWeek,Holidays),0)</f>
        <v>0</v>
      </c>
      <c r="FS116" s="42" t="n">
        <f aca="false">IF(AND(Tasks[[#This Row],[_IsLeaf]]=1,Tasks[[#This Row],[_LeafTotalWork]]&gt;0),MAX(Tasks[[#This Row],[_StartWorkday]],NETWORKDAYS.INTL(ProjectStart,Tasks[[#This Row],[_ShownFcstFinish]],WorkWeek,Holidays)),0)</f>
        <v>0</v>
      </c>
      <c r="FT116" s="42" t="n">
        <f aca="false">IF(AND(Tasks[[#This Row],[_IsLeaf]]=1,Tasks[[#This Row],[_LeafTotalWork]]&gt;0),Tasks[[#This Row],[_LeafWork]]/(Tasks[[#This Row],[_FinishWorkday]]-Tasks[[#This Row],[_StartWorkday]]+1),0)</f>
        <v>0</v>
      </c>
      <c r="FU116" s="42" t="n">
        <f aca="false">Tasks[[#This Row],[_WorkPerWorkday]]*(Tasks[[#This Row],[_StartWorkday]]-1)</f>
        <v>-0</v>
      </c>
      <c r="FV116" s="42" t="n">
        <f aca="false">IF(Tasks[[#This Row],[_IsLeaf]]=1,MAX(N(Tasks[[#This Row],[_Days]]),0.1),0)</f>
        <v>0</v>
      </c>
      <c r="FW116" s="42" t="n">
        <f aca="false">Tasks[[#This Row],[_WeightDur]]*Tasks[[#This Row],[_LeafProgress]]</f>
        <v>0</v>
      </c>
      <c r="FX116" s="42" t="n">
        <f aca="false">Tasks[[#This Row],[_WeightDur]]*Tasks[[#This Row],[_PlannedPct]]</f>
        <v>0</v>
      </c>
      <c r="FY11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6" s="42" t="str">
        <f aca="false">IF(AND(Tasks[[#This Row],[_IsLeaf]]=1,N(Tasks[[#This Row],[_Days]])=0,Tasks[[#This Row],[_LeafProgress]]&lt;1),Tasks[[#This Row],[_ShownFcstFinish]]+Tasks[[#This Row],[_Row]]/100000,"")</f>
        <v/>
      </c>
      <c r="GA11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6" s="42" t="str">
        <f aca="false">IF(Tasks[[#This Row],[Task Name]]="","",LEFT(Tasks[[#This Row],[WBS]],FIND(".",Tasks[[#This Row],[WBS]]&amp;".")-1))</f>
        <v/>
      </c>
      <c r="GC116" s="42" t="str">
        <f aca="false">IF(AND(Tasks[[#This Row],[Task Name]]&lt;&gt;"",Tasks[[#This Row],[_Level]]=1),Tasks[[#This Row],[_Row]],"")</f>
        <v/>
      </c>
      <c r="GD116" s="42" t="str">
        <f aca="false">IF(AND(Tasks[[#This Row],[_IsLeaf]]=1,N(Tasks[[#This Row],[_Days]])=0),Tasks[[#This Row],[Planned Finish]]+Tasks[[#This Row],[_Row]]/100000,"")</f>
        <v/>
      </c>
      <c r="GE116" s="42" t="str">
        <f aca="false">IF(AND(Tasks[[#This Row],[_IsLeaf]]=1,Tasks[[#This Row],[_LeafProgress]]&lt;1,OR(N(Tasks[[#This Row],[Finish Var]])&gt;0,Tasks[[#This Row],[Status]]="Late Start")),MAX(0,Tasks[[#This Row],[Finish Var]])+1-Tasks[[#This Row],[_Row]]/1000000,"")</f>
        <v/>
      </c>
      <c r="GF116" s="42" t="str">
        <f aca="false">IF(AND(Tasks[[#This Row],[_IsLeaf]]=1,N(Tasks[[#This Row],[Actual Start]])=0,Tasks[[#This Row],[_ShownFcstStart]]&gt;=StatusDate,Tasks[[#This Row],[_ShownFcstStart]]&lt;=LookaheadEnd),Tasks[[#This Row],[_ShownFcstStart]]+Tasks[[#This Row],[_Row]]/100000,"")</f>
        <v/>
      </c>
      <c r="GG116" s="42" t="str">
        <f aca="false">IF(AND(Tasks[[#This Row],[_IsLeaf]]=1,Tasks[[#This Row],[_LeafProgress]]&lt;1,Tasks[[#This Row],[_ShownFcstFinish]]&gt;=StatusDate,Tasks[[#This Row],[_ShownFcstFinish]]&lt;=LookaheadEnd),Tasks[[#This Row],[_ShownFcstFinish]]+Tasks[[#This Row],[_Row]]/100000,"")</f>
        <v/>
      </c>
      <c r="GH116" s="42" t="str">
        <f aca="false">IF(Tasks[[#This Row],[_LeafCritical]],Tasks[[#This Row],[_ShownFcstStart]]+Tasks[[#This Row],[_Row]]/100000,"")</f>
        <v/>
      </c>
      <c r="GI116" s="42" t="n">
        <f aca="false">Tasks[[#This Row],[_LeafWork]]*Tasks[[#This Row],[_LeafProgress]]</f>
        <v>0</v>
      </c>
      <c r="GJ116" s="89" t="str">
        <f aca="false">IF(AND(Tasks[[#This Row],[_IsLeaf]]=1,Tasks[[#This Row],[_LeafProgress]]&gt;=1),IF(N(Tasks[[#This Row],[Actual Finish]])&gt;0,Tasks[[#This Row],[Actual Finish]],Tasks[[#This Row],[_ShownFcstFinish]]),"")</f>
        <v/>
      </c>
      <c r="GK116" s="42" t="n">
        <f aca="false">IF(Tasks[[#This Row],[_IsLeaf]]=1,N(Tasks[[#This Row],[Story Points]]),0)</f>
        <v>0</v>
      </c>
      <c r="GL116" s="42" t="str">
        <f aca="false">""</f>
        <v/>
      </c>
      <c r="GM116" s="88" t="b">
        <f aca="false">IF(Tasks[[#This Row],[Task Name]]="",FALSE(),AND(Tasks[[#This Row],[_IsLeaf]]=1,N(Tasks[[#This Row],[_Days]])=0))</f>
        <v>0</v>
      </c>
      <c r="GN116" s="89" t="n">
        <f aca="false">IF(Tasks[[#This Row],[Task Name]]="",0,IF(AND(Tasks[[#This Row],[_IsLeaf]]=1,NOT(Tasks[[#This Row],[_IsMilestone]]),N(Tasks[[#This Row],[Progress]])&gt;0),Tasks[[#This Row],[Start]],0))</f>
        <v>0</v>
      </c>
      <c r="GO116" s="89" t="n">
        <f aca="false">IF(Tasks[[#This Row],[_DoneFrom]]=0,0,IF(Tasks[[#This Row],[Progress]]&gt;=1,Tasks[[#This Row],[Finish]],MAX(Tasks[[#This Row],[_DoneFrom]],Tasks[[#This Row],[Start]]+ROUND((Tasks[[#This Row],[Finish]]-Tasks[[#This Row],[Start]]+1)*Tasks[[#This Row],[Progress]],0)-1)))</f>
        <v>0</v>
      </c>
      <c r="GP116" s="89" t="n">
        <f aca="false">IF(Tasks[[#This Row],[Task Name]]="",0,IF(OR(NOT(Tasks[[#This Row],[_IsLeaf]]=1),Tasks[[#This Row],[_IsMilestone]],N(Tasks[[#This Row],[Progress]])&gt;=1),0,IF(Tasks[[#This Row],[_DoneTo]]&gt;0,Tasks[[#This Row],[_DoneTo]]+1,Tasks[[#This Row],[Start]])))</f>
        <v>0</v>
      </c>
      <c r="GQ116" s="89" t="n">
        <f aca="false">IF(Tasks[[#This Row],[_RemFrom]]=0,0,Tasks[[#This Row],[Finish]])</f>
        <v>0</v>
      </c>
      <c r="GR116" s="88" t="b">
        <f aca="false">IF(Tasks[[#This Row],[Task Name]]="",FALSE(),OR(NOT(BaselineSet),N(Tasks[[#This Row],[Baseline Start]])&gt;0))</f>
        <v>0</v>
      </c>
      <c r="GS11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6" s="90" t="str">
        <f aca="false">IF(Tasks[[#This Row],[_IsLeaf]]=1,Tasks[[#This Row],[_Row]],"")</f>
        <v/>
      </c>
      <c r="GW116" s="90" t="str">
        <f aca="false">IFERROR(INDEX(Tasks[UID],SMALL(Tasks[_PickKey],Tasks[[#This Row],[_Row]]))&amp;" "&amp;INDEX(Tasks[Task Name],SMALL(Tasks[_PickKey],Tasks[[#This Row],[_Row]])),"")</f>
        <v/>
      </c>
      <c r="GX116" s="42" t="str">
        <f aca="false">IF(Tasks[[#This Row],[Task Name]]="","",IF(Tasks[[#This Row],[_IsSummary]],NETWORKDAYS.INTL(Tasks[[#This Row],[Start]],Tasks[[#This Row],[Finish]],WorkWeek,Holidays),N(Tasks[[#This Row],[_Days]])))</f>
        <v/>
      </c>
    </row>
    <row r="117" customFormat="false" ht="15" hidden="false" customHeight="false" outlineLevel="0" collapsed="false">
      <c r="A117" s="21" t="str">
        <f aca="false">IF(Tasks[[#This Row],[Task Name]]="","",COUNTA(Tasks[[#Headers],[Task Name]]:Tasks[[#This Row],[Task Name]])-1)</f>
        <v/>
      </c>
      <c r="B117" s="22" t="n">
        <v>125</v>
      </c>
      <c r="C117" s="22"/>
      <c r="D117" s="23"/>
      <c r="E117" s="22"/>
      <c r="F117" s="23"/>
      <c r="G117" s="22"/>
      <c r="H117" s="22"/>
      <c r="I117" s="23"/>
      <c r="J117" s="22"/>
      <c r="K117" s="22"/>
      <c r="L117" s="23"/>
      <c r="M117" s="22"/>
      <c r="N117" s="22"/>
      <c r="O117" s="23"/>
      <c r="P117" s="22"/>
      <c r="Q117" s="22"/>
      <c r="R117" s="23"/>
      <c r="S117" s="23"/>
      <c r="T117" s="83"/>
      <c r="U117" s="23"/>
      <c r="V117" s="83"/>
      <c r="W117" s="23"/>
      <c r="X117" s="83"/>
      <c r="Y117" s="23"/>
      <c r="Z117" s="83"/>
      <c r="AA117" s="23"/>
      <c r="AB117" s="23"/>
      <c r="AC117" s="7"/>
      <c r="AD117" s="7"/>
      <c r="AE117" s="62" t="str">
        <f aca="false">IF(Tasks[[#This Row],[Task Name]]="","",IF(Tasks[[#This Row],[_IsSummary]],MIN(INDEX(Tasks[_ShownFcstStart],Tasks[[#This Row],[_Row]]+1):INDEX(Tasks[_ShownFcstStart],Tasks[[#This Row],[_Row]]+Tasks[[#This Row],[_Descendants]])),Tasks[[#This Row],[_ShownFcstStart]]))</f>
        <v/>
      </c>
      <c r="AF117" s="62" t="str">
        <f aca="false">IF(Tasks[[#This Row],[Task Name]]="","",IF(Tasks[[#This Row],[_IsSummary]],MAX(INDEX(Tasks[_ShownFcstFinish],Tasks[[#This Row],[_Row]]+1):INDEX(Tasks[_ShownFcstFinish],Tasks[[#This Row],[_Row]]+Tasks[[#This Row],[_Descendants]])),Tasks[[#This Row],[_ShownFcstFinish]]))</f>
        <v/>
      </c>
      <c r="AG117" s="21" t="str">
        <f aca="false">""</f>
        <v/>
      </c>
      <c r="AH117" s="23"/>
      <c r="AI11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7" s="7"/>
      <c r="AK117" s="22"/>
      <c r="AL117" s="23"/>
      <c r="AM117" s="7"/>
      <c r="AN117" s="46" t="str">
        <f aca="false">IF(Tasks[[#This Row],[Task Name]]="","",IF(Tasks[[#This Row],[Finish]]&gt;=Tasks[[#This Row],[Planned Finish]],NETWORKDAYS.INTL(Tasks[[#This Row],[Planned Finish]],Tasks[[#This Row],[Finish]],WorkWeek,Holidays)-1,1-NETWORKDAYS.INTL(Tasks[[#This Row],[Finish]],Tasks[[#This Row],[Planned Finish]],WorkWeek,Holidays)))</f>
        <v/>
      </c>
      <c r="AO117" s="21" t="str">
        <f aca="false">IF(Tasks[[#This Row],[Task Name]]="","",IF(Tasks[[#This Row],[Progress]]&gt;=1,"Complete",IF(OR(N(Tasks[[#This Row],[Actual Start]])&gt;0,Tasks[[#This Row],[Progress]]&gt;0),IF(Tasks[[#This Row],[Finish Var]]&gt;0,"Behind","In Progress"),IF(Tasks[[#This Row],[Planned Start]]&lt;StatusDate,"Late Start","Not Started"))))</f>
        <v/>
      </c>
      <c r="AP117" s="21" t="str">
        <f aca="false">IF(Tasks[[#This Row],[Task Name]]="","",IF(IF(Tasks[[#This Row],[_IsSummary]],COUNTIF(INDEX(Tasks[_LeafCritical],Tasks[[#This Row],[_Row]]+1):INDEX(Tasks[_LeafCritical],Tasks[[#This Row],[_Row]]+Tasks[[#This Row],[_Descendants]]),TRUE())&gt;0,Tasks[[#This Row],[_LeafCritical]]),"Yes",""))</f>
        <v/>
      </c>
      <c r="AQ117" s="62" t="str">
        <f aca="false">IF(Tasks[[#This Row],[Task Name]]="","",IF(N(Tasks[[#This Row],[Baseline Start]])&gt;0,Tasks[[#This Row],[Baseline Start]],Tasks[[#This Row],[_CalcStart]]))</f>
        <v/>
      </c>
      <c r="AR117" s="62" t="str">
        <f aca="false">IF(Tasks[[#This Row],[Task Name]]="","",IF(N(Tasks[[#This Row],[Baseline Finish]])&gt;0,Tasks[[#This Row],[Baseline Finish]],Tasks[[#This Row],[_CalcFinish]]))</f>
        <v/>
      </c>
      <c r="AS117" s="46" t="str">
        <f aca="false">IF(Tasks[[#This Row],[Task Name]]="","",IF(Tasks[[#This Row],[Start]]&gt;=Tasks[[#This Row],[Planned Start]],NETWORKDAYS.INTL(Tasks[[#This Row],[Planned Start]],Tasks[[#This Row],[Start]],WorkWeek,Holidays)-1,1-NETWORKDAYS.INTL(Tasks[[#This Row],[Start]],Tasks[[#This Row],[Planned Start]],WorkWeek,Holidays)))</f>
        <v/>
      </c>
      <c r="AT117" s="62" t="str">
        <f aca="false">IF(Tasks[[#This Row],[Task Name]]="","",IF(Tasks[[#This Row],[_IsSummary]],MIN(INDEX(Tasks[_LeafLateStart],Tasks[[#This Row],[_Row]]+1):INDEX(Tasks[_LeafLateStart],Tasks[[#This Row],[_Row]]+Tasks[[#This Row],[_Descendants]])),Tasks[[#This Row],[_LeafLateStart]]))</f>
        <v/>
      </c>
      <c r="AU117" s="62" t="str">
        <f aca="false">IF(Tasks[[#This Row],[Task Name]]="","",IF(Tasks[[#This Row],[_IsSummary]],MAX(INDEX(Tasks[_LeafLateFinish],Tasks[[#This Row],[_Row]]+1):INDEX(Tasks[_LeafLateFinish],Tasks[[#This Row],[_Row]]+Tasks[[#This Row],[_Descendants]])),Tasks[[#This Row],[_LeafLateFinish]]))</f>
        <v/>
      </c>
      <c r="AV117" s="46" t="str">
        <f aca="false">IF(Tasks[[#This Row],[Task Name]]="","",IF(Tasks[[#This Row],[_IsSummary]],MIN(INDEX(Tasks[_LeafTotalSlack],Tasks[[#This Row],[_Row]]+1):INDEX(Tasks[_LeafTotalSlack],Tasks[[#This Row],[_Row]]+Tasks[[#This Row],[_Descendants]])),Tasks[[#This Row],[_LeafTotalSlack]]))</f>
        <v/>
      </c>
      <c r="AW11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4"/>
      <c r="BA11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t="str">
        <f aca="false">IF(Tasks[[#This Row],[Task Name]]="","",IF(Tasks[[#This Row],[_Level]]&lt;=OutlineShowLevel,"Yes","No"))</f>
        <v/>
      </c>
      <c r="BE117" s="85" t="str">
        <f aca="false">IF(Tasks[[#This Row],[Task Name]]="","",IF(Tasks[[#This Row],[_IsSummary]],SUM(INDEX(Tasks[_LeafTotalWork],Tasks[[#This Row],[_Row]]+1):INDEX(Tasks[_LeafTotalWork],Tasks[[#This Row],[_Row]]+Tasks[[#This Row],[_Descendants]])),Tasks[[#This Row],[_LeafTotalWork]]))</f>
        <v/>
      </c>
      <c r="BF117" s="23"/>
      <c r="BG11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t="str">
        <f aca="false">""</f>
        <v/>
      </c>
      <c r="BI117" s="86"/>
      <c r="BJ117" s="22"/>
      <c r="BK117" s="46" t="str">
        <f aca="false">IF(OR(Tasks[[#This Row],[Task Name]]="",Tasks[[#This Row],[Baseline Duration]]=""),"",Tasks[[#This Row],[_SpanDays]]-N(Tasks[[#This Row],[Baseline Duration]]))</f>
        <v/>
      </c>
      <c r="BL117" s="85" t="str">
        <f aca="false">IF(OR(Tasks[[#This Row],[Task Name]]="",Tasks[[#This Row],[Baseline Work]]=""),"",Tasks[[#This Row],[Work]]-N(Tasks[[#This Row],[Baseline Work]]))</f>
        <v/>
      </c>
      <c r="BM117" s="62" t="str">
        <f aca="false">IF(Tasks[[#This Row],[Task Name]]="","",IF(OR(TakeBaseline="Yes",N(Tasks[[#This Row],[Baseline Start]])=0),Tasks[[#This Row],[Start]],Tasks[[#This Row],[Baseline Start]]))</f>
        <v/>
      </c>
      <c r="BN117" s="62" t="str">
        <f aca="false">IF(Tasks[[#This Row],[Task Name]]="","",IF(OR(TakeBaseline="Yes",N(Tasks[[#This Row],[Baseline Finish]])=0),Tasks[[#This Row],[Finish]],Tasks[[#This Row],[Baseline Finish]]))</f>
        <v/>
      </c>
      <c r="BO117" s="21" t="str">
        <f aca="false">IF(Tasks[[#This Row],[Task Name]]="","",IF(OR(TakeBaseline="Yes",N(Tasks[[#This Row],[Baseline Duration]])=0),Tasks[[#This Row],[_SpanDays]],Tasks[[#This Row],[Baseline Duration]]))</f>
        <v/>
      </c>
      <c r="BP117" s="85" t="str">
        <f aca="false">IF(Tasks[[#This Row],[Task Name]]="","",IF(OR(TakeBaseline="Yes",N(Tasks[[#This Row],[Baseline Work]])=0),Tasks[[#This Row],[Work]],Tasks[[#This Row],[Baseline Work]]))</f>
        <v/>
      </c>
      <c r="BQ117" s="7"/>
      <c r="BR117" s="7"/>
      <c r="BS117" s="22"/>
      <c r="BT117" s="87"/>
      <c r="BU117" s="42" t="str">
        <f aca="false">IF(Tasks[[#This Row],[Task Name]]="","",MAX(1,N(Tasks[[#This Row],[Level]])))</f>
        <v/>
      </c>
      <c r="BV117" s="42" t="n">
        <f aca="false">ROW()-ROW(Tasks[[#Headers],[ID]])</f>
        <v>112</v>
      </c>
      <c r="BW117" s="42" t="n">
        <f aca="false">IF(OR(Tasks[[#This Row],[Task Name]]="",Tasks[[#This Row],[_Level]]&lt;=1),0,IFERROR(LOOKUP(2,1/(Tasks[[#Headers],[_Level]]:Tasks[[#This Row],[_Level]]=Tasks[[#This Row],[_Level]]-1),ROW(Tasks[[#Headers],[_Level]]:Tasks[[#This Row],[_Level]])),0))</f>
        <v>0</v>
      </c>
      <c r="BX117" s="42" t="n">
        <f aca="false">IFERROR(N(INDEX(Tasks[_Level],Tasks[[#This Row],[_Row]]+1)),0)</f>
        <v>0</v>
      </c>
      <c r="BY117" s="88" t="b">
        <f aca="false">AND(Tasks[[#This Row],[Task Name]]&lt;&gt;"",Tasks[[#This Row],[_NextLevel]]&gt;Tasks[[#This Row],[_Level]])</f>
        <v>0</v>
      </c>
      <c r="BZ117" s="42" t="n">
        <f aca="false">IF(Tasks[[#This Row],[_IsSummary]],COUNTIF(Tasks[WBS],Tasks[[#This Row],[WBS]]&amp;".*"),0)</f>
        <v>0</v>
      </c>
      <c r="CA117" s="42" t="n">
        <f aca="false">IF(AND(Tasks[[#This Row],[Task Name]]&lt;&gt;"",NOT(Tasks[[#This Row],[_IsSummary]])),1,0)</f>
        <v>0</v>
      </c>
      <c r="CB117" s="42" t="n">
        <f aca="false">IF(N(Tasks[[#This Row],[_Pred1UID]])=0,0,IFERROR(MATCH(Tasks[[#This Row],[_Pred1UID]],Tasks[UID],0),-1))</f>
        <v>0</v>
      </c>
      <c r="CC117" s="42" t="n">
        <f aca="false">IF(N(Tasks[[#This Row],[_Pred2UID]])=0,0,IFERROR(MATCH(Tasks[[#This Row],[_Pred2UID]],Tasks[UID],0),-1))</f>
        <v>0</v>
      </c>
      <c r="CD117" s="42" t="n">
        <f aca="false">IF(N(Tasks[[#This Row],[_Pred3UID]])=0,0,IFERROR(MATCH(Tasks[[#This Row],[_Pred3UID]],Tasks[UID],0),-1))</f>
        <v>0</v>
      </c>
      <c r="CE117" s="42" t="n">
        <f aca="false">IF(N(Tasks[[#This Row],[_Pred4UID]])=0,0,IFERROR(MATCH(Tasks[[#This Row],[_Pred4UID]],Tasks[UID],0),-1))</f>
        <v>0</v>
      </c>
      <c r="CF11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7" s="89" t="n">
        <f aca="false">IF(OR(Tasks[[#This Row],[_ConstraintCode]]=2,Tasks[[#This Row],[_ConstraintCode]]=3,Tasks[[#This Row],[_ConstraintCode]]=4,Tasks[[#This Row],[_ConstraintCode]]=6),Tasks[[#This Row],[_ConstraintStart]],0)</f>
        <v>0</v>
      </c>
      <c r="CI117" s="89" t="n">
        <f aca="false">IF(OR(Tasks[[#This Row],[_ConstraintCode]]=2,Tasks[[#This Row],[_ConstraintCode]]=3,Tasks[[#This Row],[_ConstraintCode]]=5,Tasks[[#This Row],[_ConstraintCode]]=7),Tasks[[#This Row],[_ConstraintStart]],2958465)</f>
        <v>2958465</v>
      </c>
      <c r="CJ11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7" s="89" t="str">
        <f aca="false">IF(NOT(Tasks[[#This Row],[_IsLeaf]]=1),"",IF(N(Tasks[[#This Row],[_Days]])&lt;=0,Tasks[[#This Row],[_LeafCalcStart]],WORKDAY.INTL(Tasks[[#This Row],[_LeafCalcStart]],Tasks[[#This Row],[_Days]]-1,WorkWeek,Holidays)))</f>
        <v/>
      </c>
      <c r="CL11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7" s="42" t="str">
        <f aca="false">IF(Tasks[[#This Row],[_Predecessors]]="","",TRIM(MID(SUBSTITUTE(SUBSTITUTE(SUBSTITUTE(UPPER(Tasks[[#This Row],[_Predecessors]]),";",",")," ",""),",",REPT(" ",99)),1,99)))</f>
        <v/>
      </c>
      <c r="CO117" s="42" t="str">
        <f aca="false">IF(Tasks[[#This Row],[_Pred1Text]]="","",IFERROR(VALUE(LEFT(Tasks[[#This Row],[_Pred1Text]],MIN(FIND("F",Tasks[[#This Row],[_Pred1Text]]&amp;"F"),FIND("S",Tasks[[#This Row],[_Pred1Text]]&amp;"S"),FIND("+",Tasks[[#This Row],[_Pred1Text]]&amp;"+"),FIND("-",Tasks[[#This Row],[_Pred1Text]]&amp;"-"))-1)),""))</f>
        <v/>
      </c>
      <c r="CP11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7" s="42" t="str">
        <f aca="false">IF(Tasks[[#This Row],[_Pred1Text]]="","",TRIM(MID(SUBSTITUTE(SUBSTITUTE(SUBSTITUTE(UPPER(Tasks[[#This Row],[_Predecessors]]),";",",")," ",""),",",REPT(" ",99)),100,99)))</f>
        <v/>
      </c>
      <c r="CS117" s="42" t="str">
        <f aca="false">IF(Tasks[[#This Row],[_Pred2Text]]="","",IFERROR(VALUE(LEFT(Tasks[[#This Row],[_Pred2Text]],MIN(FIND("F",Tasks[[#This Row],[_Pred2Text]]&amp;"F"),FIND("S",Tasks[[#This Row],[_Pred2Text]]&amp;"S"),FIND("+",Tasks[[#This Row],[_Pred2Text]]&amp;"+"),FIND("-",Tasks[[#This Row],[_Pred2Text]]&amp;"-"))-1)),""))</f>
        <v/>
      </c>
      <c r="CT11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7" s="42" t="str">
        <f aca="false">IF(Tasks[[#This Row],[_Pred2Text]]="","",TRIM(MID(SUBSTITUTE(SUBSTITUTE(SUBSTITUTE(UPPER(Tasks[[#This Row],[_Predecessors]]),";",",")," ",""),",",REPT(" ",99)),199,99)))</f>
        <v/>
      </c>
      <c r="CW117" s="42" t="str">
        <f aca="false">IF(Tasks[[#This Row],[_Pred3Text]]="","",IFERROR(VALUE(LEFT(Tasks[[#This Row],[_Pred3Text]],MIN(FIND("F",Tasks[[#This Row],[_Pred3Text]]&amp;"F"),FIND("S",Tasks[[#This Row],[_Pred3Text]]&amp;"S"),FIND("+",Tasks[[#This Row],[_Pred3Text]]&amp;"+"),FIND("-",Tasks[[#This Row],[_Pred3Text]]&amp;"-"))-1)),""))</f>
        <v/>
      </c>
      <c r="CX11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7" s="42" t="str">
        <f aca="false">IF(Tasks[[#This Row],[_Pred3Text]]="","",TRIM(MID(SUBSTITUTE(SUBSTITUTE(SUBSTITUTE(UPPER(Tasks[[#This Row],[_Predecessors]]),";",",")," ",""),",",REPT(" ",99)),298,99)))</f>
        <v/>
      </c>
      <c r="DA117" s="42" t="str">
        <f aca="false">IF(Tasks[[#This Row],[_Pred4Text]]="","",IFERROR(VALUE(LEFT(Tasks[[#This Row],[_Pred4Text]],MIN(FIND("F",Tasks[[#This Row],[_Pred4Text]]&amp;"F"),FIND("S",Tasks[[#This Row],[_Pred4Text]]&amp;"S"),FIND("+",Tasks[[#This Row],[_Pred4Text]]&amp;"+"),FIND("-",Tasks[[#This Row],[_Pred4Text]]&amp;"-"))-1)),""))</f>
        <v/>
      </c>
      <c r="DB11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7" s="42" t="str">
        <f aca="false">IF(OR(Tasks[[#This Row],[Task Name]]="",Tasks[[#This Row],[_Resources]]=""),"",TRIM(MID(SUBSTITUTE(Tasks[[#This Row],[_Resources]],",",REPT(" ",99)),1,99)))</f>
        <v/>
      </c>
      <c r="DE117" s="42" t="str">
        <f aca="false">IF(Tasks[[#This Row],[_Res1Text]]="","",TRIM(MID(SUBSTITUTE(Tasks[[#This Row],[_Resources]],",",REPT(" ",99)),100,99)))</f>
        <v/>
      </c>
      <c r="DF117" s="42" t="str">
        <f aca="false">IF(Tasks[[#This Row],[_Res2Text]]="","",TRIM(MID(SUBSTITUTE(Tasks[[#This Row],[_Resources]],",",REPT(" ",99)),199,99)))</f>
        <v/>
      </c>
      <c r="DG117" s="42" t="str">
        <f aca="false">IF(Tasks[[#This Row],[_Res3Text]]="","",TRIM(MID(SUBSTITUTE(Tasks[[#This Row],[_Resources]],",",REPT(" ",99)),298,99)))</f>
        <v/>
      </c>
      <c r="DH117" s="42" t="n">
        <f aca="false">IF(Tasks[[#This Row],[_Res1Text]]="",0,IFERROR(MATCH(TRIM(LEFT(Tasks[[#This Row],[_Res1Text]],FIND("[",Tasks[[#This Row],[_Res1Text]]&amp;"[")-1)),res_Name,0),IFERROR(MATCH(TRIM(LEFT(Tasks[[#This Row],[_Res1Text]],FIND("[",Tasks[[#This Row],[_Res1Text]]&amp;"[")-1)),res_Initials,0),0)))</f>
        <v>0</v>
      </c>
      <c r="DI117" s="42" t="n">
        <f aca="false">IF(Tasks[[#This Row],[_Res2Text]]="",0,IFERROR(MATCH(TRIM(LEFT(Tasks[[#This Row],[_Res2Text]],FIND("[",Tasks[[#This Row],[_Res2Text]]&amp;"[")-1)),res_Name,0),IFERROR(MATCH(TRIM(LEFT(Tasks[[#This Row],[_Res2Text]],FIND("[",Tasks[[#This Row],[_Res2Text]]&amp;"[")-1)),res_Initials,0),0)))</f>
        <v>0</v>
      </c>
      <c r="DJ117" s="42" t="n">
        <f aca="false">IF(Tasks[[#This Row],[_Res3Text]]="",0,IFERROR(MATCH(TRIM(LEFT(Tasks[[#This Row],[_Res3Text]],FIND("[",Tasks[[#This Row],[_Res3Text]]&amp;"[")-1)),res_Name,0),IFERROR(MATCH(TRIM(LEFT(Tasks[[#This Row],[_Res3Text]],FIND("[",Tasks[[#This Row],[_Res3Text]]&amp;"[")-1)),res_Initials,0),0)))</f>
        <v>0</v>
      </c>
      <c r="DK117" s="42" t="n">
        <f aca="false">IF(Tasks[[#This Row],[_Res4Text]]="",0,IFERROR(MATCH(TRIM(LEFT(Tasks[[#This Row],[_Res4Text]],FIND("[",Tasks[[#This Row],[_Res4Text]]&amp;"[")-1)),res_Name,0),IFERROR(MATCH(TRIM(LEFT(Tasks[[#This Row],[_Res4Text]],FIND("[",Tasks[[#This Row],[_Res4Text]]&amp;"[")-1)),res_Initials,0),0)))</f>
        <v>0</v>
      </c>
      <c r="DL117" s="42" t="str">
        <f aca="false">IF(Tasks[[#This Row],[_Res1Text]]="","",IF(Tasks[[#This Row],[_Res1Row]]&gt;0,INDEX(res_Name,Tasks[[#This Row],[_Res1Row]]),TRIM(LEFT(Tasks[[#This Row],[_Res1Text]],FIND("[",Tasks[[#This Row],[_Res1Text]]&amp;"[")-1))))</f>
        <v/>
      </c>
      <c r="DM11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7" s="42" t="n">
        <f aca="false">IF(NOT(Tasks[[#This Row],[_IsLeaf]]=1),0,(Tasks[[#This Row],[_Resource1]]&lt;&gt;"")+(Tasks[[#This Row],[_Res2]]&lt;&gt;"")+(Tasks[[#This Row],[_Res3]]&lt;&gt;"")+(Tasks[[#This Row],[_Res4]]&lt;&gt;""))</f>
        <v>0</v>
      </c>
      <c r="DO117" s="42" t="str">
        <f aca="false">IF(Tasks[[#This Row],[_Res2Text]]="","",IF(Tasks[[#This Row],[_Res2Row]]&gt;0,INDEX(res_Name,Tasks[[#This Row],[_Res2Row]]),TRIM(LEFT(Tasks[[#This Row],[_Res2Text]],FIND("[",Tasks[[#This Row],[_Res2Text]]&amp;"[")-1))))</f>
        <v/>
      </c>
      <c r="DP11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7" s="42" t="n">
        <f aca="false">IF(OR(NOT(Tasks[[#This Row],[_IsLeaf]]=1),Tasks[[#This Row],[_Res2Row]]=0),0,N(Tasks[[#This Row],[_Days]])*HoursPerDay*IF(Tasks[[#This Row],[_Res2Units]]="",DefaultUnits,Tasks[[#This Row],[_Res2Units]]))</f>
        <v>0</v>
      </c>
      <c r="DR117" s="42" t="n">
        <f aca="false">IF(AND(AND(Tasks[[#This Row],[_IsLeaf]]=1,Tasks[[#This Row],[_LeafTotalWork]]&gt;0),Tasks[[#This Row],[_Res2Work]]&gt;0),Tasks[[#This Row],[_Res2Work]]/(Tasks[[#This Row],[_FinishWorkday]]-Tasks[[#This Row],[_StartWorkday]]+1),0)</f>
        <v>0</v>
      </c>
      <c r="DS117" s="42" t="n">
        <f aca="false">Tasks[[#This Row],[_Res2WorkPerWD]]*MAX(0,Tasks[[#This Row],[_StartWorkday]]-1)</f>
        <v>0</v>
      </c>
      <c r="DT117" s="42" t="n">
        <f aca="false">Tasks[[#This Row],[_Res2Work]]*Tasks[[#This Row],[_LeafProgress]]</f>
        <v>0</v>
      </c>
      <c r="DU117" s="42" t="str">
        <f aca="false">IF(Tasks[[#This Row],[_Res3Text]]="","",IF(Tasks[[#This Row],[_Res3Row]]&gt;0,INDEX(res_Name,Tasks[[#This Row],[_Res3Row]]),TRIM(LEFT(Tasks[[#This Row],[_Res3Text]],FIND("[",Tasks[[#This Row],[_Res3Text]]&amp;"[")-1))))</f>
        <v/>
      </c>
      <c r="DV11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7" s="42" t="n">
        <f aca="false">IF(OR(NOT(Tasks[[#This Row],[_IsLeaf]]=1),Tasks[[#This Row],[_Res3Row]]=0),0,N(Tasks[[#This Row],[_Days]])*HoursPerDay*IF(Tasks[[#This Row],[_Res3Units]]="",DefaultUnits,Tasks[[#This Row],[_Res3Units]]))</f>
        <v>0</v>
      </c>
      <c r="DX117" s="42" t="n">
        <f aca="false">IF(AND(AND(Tasks[[#This Row],[_IsLeaf]]=1,Tasks[[#This Row],[_LeafTotalWork]]&gt;0),Tasks[[#This Row],[_Res3Work]]&gt;0),Tasks[[#This Row],[_Res3Work]]/(Tasks[[#This Row],[_FinishWorkday]]-Tasks[[#This Row],[_StartWorkday]]+1),0)</f>
        <v>0</v>
      </c>
      <c r="DY117" s="42" t="n">
        <f aca="false">Tasks[[#This Row],[_Res3WorkPerWD]]*MAX(0,Tasks[[#This Row],[_StartWorkday]]-1)</f>
        <v>0</v>
      </c>
      <c r="DZ117" s="42" t="n">
        <f aca="false">Tasks[[#This Row],[_Res3Work]]*Tasks[[#This Row],[_LeafProgress]]</f>
        <v>0</v>
      </c>
      <c r="EA117" s="42" t="str">
        <f aca="false">IF(Tasks[[#This Row],[_Res4Text]]="","",IF(Tasks[[#This Row],[_Res4Row]]&gt;0,INDEX(res_Name,Tasks[[#This Row],[_Res4Row]]),TRIM(LEFT(Tasks[[#This Row],[_Res4Text]],FIND("[",Tasks[[#This Row],[_Res4Text]]&amp;"[")-1))))</f>
        <v/>
      </c>
      <c r="EB11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7" s="42" t="n">
        <f aca="false">IF(OR(NOT(Tasks[[#This Row],[_IsLeaf]]=1),Tasks[[#This Row],[_Res4Row]]=0),0,N(Tasks[[#This Row],[_Days]])*HoursPerDay*IF(Tasks[[#This Row],[_Res4Units]]="",DefaultUnits,Tasks[[#This Row],[_Res4Units]]))</f>
        <v>0</v>
      </c>
      <c r="ED117" s="42" t="n">
        <f aca="false">IF(AND(AND(Tasks[[#This Row],[_IsLeaf]]=1,Tasks[[#This Row],[_LeafTotalWork]]&gt;0),Tasks[[#This Row],[_Res4Work]]&gt;0),Tasks[[#This Row],[_Res4Work]]/(Tasks[[#This Row],[_FinishWorkday]]-Tasks[[#This Row],[_StartWorkday]]+1),0)</f>
        <v>0</v>
      </c>
      <c r="EE117" s="42" t="n">
        <f aca="false">Tasks[[#This Row],[_Res4WorkPerWD]]*MAX(0,Tasks[[#This Row],[_StartWorkday]]-1)</f>
        <v>0</v>
      </c>
      <c r="EF117" s="42" t="n">
        <f aca="false">Tasks[[#This Row],[_Res4Work]]*Tasks[[#This Row],[_LeafProgress]]</f>
        <v>0</v>
      </c>
      <c r="EG117" s="42" t="n">
        <f aca="false">IF(ISNUMBER(Tasks[[#This Row],[% Complete]]),Tasks[[#This Row],[% Complete]],IF(Tasks[[#This Row],[Stage]]="",0,IFERROR(INDEX(stg_Pct,MATCH(Tasks[[#This Row],[Stage]],stg_Name,0)),0)))</f>
        <v>0</v>
      </c>
      <c r="EH117" s="42" t="n">
        <f aca="false">IF(NOT(Tasks[[#This Row],[_IsLeaf]]=1),0,IF(N(Tasks[[#This Row],[Actual Finish]])&gt;0,1,MIN(1,Tasks[[#This Row],[_Pct]])))</f>
        <v>0</v>
      </c>
      <c r="EI117" s="42" t="n">
        <f aca="false">IF(OR(NOT(Tasks[[#This Row],[_IsLeaf]]=1),Tasks[[#This Row],[_Res1Row]]=0),0,N(Tasks[[#This Row],[_Days]])*HoursPerDay*IF(Tasks[[#This Row],[_Units1]]="",DefaultUnits,Tasks[[#This Row],[_Units1]]))</f>
        <v>0</v>
      </c>
      <c r="EJ117" s="42" t="n">
        <f aca="false">Tasks[[#This Row],[_LeafWork]]+Tasks[[#This Row],[_Res2Work]]+Tasks[[#This Row],[_Res3Work]]+Tasks[[#This Row],[_Res4Work]]</f>
        <v>0</v>
      </c>
      <c r="EK11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7" s="42" t="n">
        <f aca="false">IF(NOT(Tasks[[#This Row],[_IsLeaf]]=1),0,MAX(_xlfn.MAXIFS(Tasks[_Row],Tasks[_Pred1UID],Tasks[[#This Row],[UID]]),_xlfn.MAXIFS(Tasks[_Row],Tasks[_Pred2UID],Tasks[[#This Row],[UID]]),_xlfn.MAXIFS(Tasks[_Row],Tasks[_Pred3UID],Tasks[[#This Row],[UID]]),_xlfn.MAXIFS(Tasks[_Row],Tasks[_Pred4UID],Tasks[[#This Row],[UID]])))</f>
        <v>0</v>
      </c>
      <c r="ET11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7" s="89" t="str">
        <f aca="false">IF(NOT(Tasks[[#This Row],[_IsLeaf]]=1),"",IF(N(Tasks[[#This Row],[_Days]])&lt;=0,Tasks[[#This Row],[_LeafLateFinish]],WORKDAY.INTL(Tasks[[#This Row],[_LeafLateFinish]],-(Tasks[[#This Row],[_Days]]-1),WorkWeek,Holidays)))</f>
        <v/>
      </c>
      <c r="EW11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7" s="88" t="b">
        <f aca="false">AND(Tasks[[#This Row],[_IsLeaf]]=1,Tasks[[#This Row],[_LeafProgress]]&lt;1,N(Tasks[[#This Row],[_LeafTotalSlack]])&lt;=CriticalSlackDays)</f>
        <v>0</v>
      </c>
      <c r="EY117" s="42" t="n">
        <f aca="false">IF(AND(Tasks[[#This Row],[_IsLeaf]]=1,Tasks[[#This Row],[_ConstraintCode]]=1,Tasks[[#This Row],[Mode]]&lt;&gt;"Manual",N(Tasks[[#This Row],[Actual Start]])=0),MAX(0,N(Tasks[[#This Row],[Free Slack]])),0)</f>
        <v>0</v>
      </c>
      <c r="EZ117" s="89" t="str">
        <f aca="false">IF(NOT(Tasks[[#This Row],[_IsLeaf]]=1),"",IF(Tasks[[#This Row],[_AlapShift]]=0,Tasks[[#This Row],[_LeafCalcStart]],WORKDAY.INTL(Tasks[[#This Row],[_LeafCalcStart]],Tasks[[#This Row],[_AlapShift]],WorkWeek,Holidays)))</f>
        <v/>
      </c>
      <c r="FA117" s="89" t="str">
        <f aca="false">IF(NOT(Tasks[[#This Row],[_IsLeaf]]=1),"",IF(Tasks[[#This Row],[_AlapShift]]=0,Tasks[[#This Row],[_LeafCalcFinish]],WORKDAY.INTL(Tasks[[#This Row],[_LeafCalcFinish]],Tasks[[#This Row],[_AlapShift]],WorkWeek,Holidays)))</f>
        <v/>
      </c>
      <c r="FB117" s="89" t="str">
        <f aca="false">IF(NOT(Tasks[[#This Row],[_IsLeaf]]=1),"",IF(Tasks[[#This Row],[_AlapShift]]=0,Tasks[[#This Row],[_LeafFcstStart]],WORKDAY.INTL(Tasks[[#This Row],[_LeafFcstStart]],Tasks[[#This Row],[_AlapShift]],WorkWeek,Holidays)))</f>
        <v/>
      </c>
      <c r="FC117" s="89" t="str">
        <f aca="false">IF(NOT(Tasks[[#This Row],[_IsLeaf]]=1),"",IF(Tasks[[#This Row],[_AlapShift]]=0,Tasks[[#This Row],[_LeafFcstFinish]],WORKDAY.INTL(Tasks[[#This Row],[_LeafFcstFinish]],Tasks[[#This Row],[_AlapShift]],WorkWeek,Holidays)))</f>
        <v/>
      </c>
      <c r="FD117" s="89" t="str">
        <f aca="false">IF(Tasks[[#This Row],[Task Name]]="","",IF(Tasks[[#This Row],[_IsSummary]],MIN(INDEX(Tasks[_ShownCalcStart],Tasks[[#This Row],[_Row]]+1):INDEX(Tasks[_ShownCalcStart],Tasks[[#This Row],[_Row]]+Tasks[[#This Row],[_Descendants]])),Tasks[[#This Row],[_ShownCalcStart]]))</f>
        <v/>
      </c>
      <c r="FE117" s="89" t="str">
        <f aca="false">IF(Tasks[[#This Row],[Task Name]]="","",IF(Tasks[[#This Row],[_IsSummary]],MAX(INDEX(Tasks[_ShownCalcFinish],Tasks[[#This Row],[_Row]]+1):INDEX(Tasks[_ShownCalcFinish],Tasks[[#This Row],[_Row]]+Tasks[[#This Row],[_Descendants]])),Tasks[[#This Row],[_ShownCalcFinish]]))</f>
        <v/>
      </c>
      <c r="FF11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7" s="42" t="n">
        <f aca="false">IF(AND(Tasks[[#This Row],[_IsLeaf]]=1,Tasks[[#This Row],[_LeafTotalWork]]&gt;0),NETWORKDAYS.INTL(ProjectStart,Tasks[[#This Row],[_ShownFcstStart]],WorkWeek,Holidays),0)</f>
        <v>0</v>
      </c>
      <c r="FS117" s="42" t="n">
        <f aca="false">IF(AND(Tasks[[#This Row],[_IsLeaf]]=1,Tasks[[#This Row],[_LeafTotalWork]]&gt;0),MAX(Tasks[[#This Row],[_StartWorkday]],NETWORKDAYS.INTL(ProjectStart,Tasks[[#This Row],[_ShownFcstFinish]],WorkWeek,Holidays)),0)</f>
        <v>0</v>
      </c>
      <c r="FT117" s="42" t="n">
        <f aca="false">IF(AND(Tasks[[#This Row],[_IsLeaf]]=1,Tasks[[#This Row],[_LeafTotalWork]]&gt;0),Tasks[[#This Row],[_LeafWork]]/(Tasks[[#This Row],[_FinishWorkday]]-Tasks[[#This Row],[_StartWorkday]]+1),0)</f>
        <v>0</v>
      </c>
      <c r="FU117" s="42" t="n">
        <f aca="false">Tasks[[#This Row],[_WorkPerWorkday]]*(Tasks[[#This Row],[_StartWorkday]]-1)</f>
        <v>-0</v>
      </c>
      <c r="FV117" s="42" t="n">
        <f aca="false">IF(Tasks[[#This Row],[_IsLeaf]]=1,MAX(N(Tasks[[#This Row],[_Days]]),0.1),0)</f>
        <v>0</v>
      </c>
      <c r="FW117" s="42" t="n">
        <f aca="false">Tasks[[#This Row],[_WeightDur]]*Tasks[[#This Row],[_LeafProgress]]</f>
        <v>0</v>
      </c>
      <c r="FX117" s="42" t="n">
        <f aca="false">Tasks[[#This Row],[_WeightDur]]*Tasks[[#This Row],[_PlannedPct]]</f>
        <v>0</v>
      </c>
      <c r="FY11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7" s="42" t="str">
        <f aca="false">IF(AND(Tasks[[#This Row],[_IsLeaf]]=1,N(Tasks[[#This Row],[_Days]])=0,Tasks[[#This Row],[_LeafProgress]]&lt;1),Tasks[[#This Row],[_ShownFcstFinish]]+Tasks[[#This Row],[_Row]]/100000,"")</f>
        <v/>
      </c>
      <c r="GA11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7" s="42" t="str">
        <f aca="false">IF(Tasks[[#This Row],[Task Name]]="","",LEFT(Tasks[[#This Row],[WBS]],FIND(".",Tasks[[#This Row],[WBS]]&amp;".")-1))</f>
        <v/>
      </c>
      <c r="GC117" s="42" t="str">
        <f aca="false">IF(AND(Tasks[[#This Row],[Task Name]]&lt;&gt;"",Tasks[[#This Row],[_Level]]=1),Tasks[[#This Row],[_Row]],"")</f>
        <v/>
      </c>
      <c r="GD117" s="42" t="str">
        <f aca="false">IF(AND(Tasks[[#This Row],[_IsLeaf]]=1,N(Tasks[[#This Row],[_Days]])=0),Tasks[[#This Row],[Planned Finish]]+Tasks[[#This Row],[_Row]]/100000,"")</f>
        <v/>
      </c>
      <c r="GE117" s="42" t="str">
        <f aca="false">IF(AND(Tasks[[#This Row],[_IsLeaf]]=1,Tasks[[#This Row],[_LeafProgress]]&lt;1,OR(N(Tasks[[#This Row],[Finish Var]])&gt;0,Tasks[[#This Row],[Status]]="Late Start")),MAX(0,Tasks[[#This Row],[Finish Var]])+1-Tasks[[#This Row],[_Row]]/1000000,"")</f>
        <v/>
      </c>
      <c r="GF117" s="42" t="str">
        <f aca="false">IF(AND(Tasks[[#This Row],[_IsLeaf]]=1,N(Tasks[[#This Row],[Actual Start]])=0,Tasks[[#This Row],[_ShownFcstStart]]&gt;=StatusDate,Tasks[[#This Row],[_ShownFcstStart]]&lt;=LookaheadEnd),Tasks[[#This Row],[_ShownFcstStart]]+Tasks[[#This Row],[_Row]]/100000,"")</f>
        <v/>
      </c>
      <c r="GG117" s="42" t="str">
        <f aca="false">IF(AND(Tasks[[#This Row],[_IsLeaf]]=1,Tasks[[#This Row],[_LeafProgress]]&lt;1,Tasks[[#This Row],[_ShownFcstFinish]]&gt;=StatusDate,Tasks[[#This Row],[_ShownFcstFinish]]&lt;=LookaheadEnd),Tasks[[#This Row],[_ShownFcstFinish]]+Tasks[[#This Row],[_Row]]/100000,"")</f>
        <v/>
      </c>
      <c r="GH117" s="42" t="str">
        <f aca="false">IF(Tasks[[#This Row],[_LeafCritical]],Tasks[[#This Row],[_ShownFcstStart]]+Tasks[[#This Row],[_Row]]/100000,"")</f>
        <v/>
      </c>
      <c r="GI117" s="42" t="n">
        <f aca="false">Tasks[[#This Row],[_LeafWork]]*Tasks[[#This Row],[_LeafProgress]]</f>
        <v>0</v>
      </c>
      <c r="GJ117" s="89" t="str">
        <f aca="false">IF(AND(Tasks[[#This Row],[_IsLeaf]]=1,Tasks[[#This Row],[_LeafProgress]]&gt;=1),IF(N(Tasks[[#This Row],[Actual Finish]])&gt;0,Tasks[[#This Row],[Actual Finish]],Tasks[[#This Row],[_ShownFcstFinish]]),"")</f>
        <v/>
      </c>
      <c r="GK117" s="42" t="n">
        <f aca="false">IF(Tasks[[#This Row],[_IsLeaf]]=1,N(Tasks[[#This Row],[Story Points]]),0)</f>
        <v>0</v>
      </c>
      <c r="GL117" s="42" t="str">
        <f aca="false">""</f>
        <v/>
      </c>
      <c r="GM117" s="88" t="b">
        <f aca="false">IF(Tasks[[#This Row],[Task Name]]="",FALSE(),AND(Tasks[[#This Row],[_IsLeaf]]=1,N(Tasks[[#This Row],[_Days]])=0))</f>
        <v>0</v>
      </c>
      <c r="GN117" s="89" t="n">
        <f aca="false">IF(Tasks[[#This Row],[Task Name]]="",0,IF(AND(Tasks[[#This Row],[_IsLeaf]]=1,NOT(Tasks[[#This Row],[_IsMilestone]]),N(Tasks[[#This Row],[Progress]])&gt;0),Tasks[[#This Row],[Start]],0))</f>
        <v>0</v>
      </c>
      <c r="GO117" s="89" t="n">
        <f aca="false">IF(Tasks[[#This Row],[_DoneFrom]]=0,0,IF(Tasks[[#This Row],[Progress]]&gt;=1,Tasks[[#This Row],[Finish]],MAX(Tasks[[#This Row],[_DoneFrom]],Tasks[[#This Row],[Start]]+ROUND((Tasks[[#This Row],[Finish]]-Tasks[[#This Row],[Start]]+1)*Tasks[[#This Row],[Progress]],0)-1)))</f>
        <v>0</v>
      </c>
      <c r="GP117" s="89" t="n">
        <f aca="false">IF(Tasks[[#This Row],[Task Name]]="",0,IF(OR(NOT(Tasks[[#This Row],[_IsLeaf]]=1),Tasks[[#This Row],[_IsMilestone]],N(Tasks[[#This Row],[Progress]])&gt;=1),0,IF(Tasks[[#This Row],[_DoneTo]]&gt;0,Tasks[[#This Row],[_DoneTo]]+1,Tasks[[#This Row],[Start]])))</f>
        <v>0</v>
      </c>
      <c r="GQ117" s="89" t="n">
        <f aca="false">IF(Tasks[[#This Row],[_RemFrom]]=0,0,Tasks[[#This Row],[Finish]])</f>
        <v>0</v>
      </c>
      <c r="GR117" s="88" t="b">
        <f aca="false">IF(Tasks[[#This Row],[Task Name]]="",FALSE(),OR(NOT(BaselineSet),N(Tasks[[#This Row],[Baseline Start]])&gt;0))</f>
        <v>0</v>
      </c>
      <c r="GS11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7" s="90" t="str">
        <f aca="false">IF(Tasks[[#This Row],[_IsLeaf]]=1,Tasks[[#This Row],[_Row]],"")</f>
        <v/>
      </c>
      <c r="GW117" s="90" t="str">
        <f aca="false">IFERROR(INDEX(Tasks[UID],SMALL(Tasks[_PickKey],Tasks[[#This Row],[_Row]]))&amp;" "&amp;INDEX(Tasks[Task Name],SMALL(Tasks[_PickKey],Tasks[[#This Row],[_Row]])),"")</f>
        <v/>
      </c>
      <c r="GX117" s="42" t="str">
        <f aca="false">IF(Tasks[[#This Row],[Task Name]]="","",IF(Tasks[[#This Row],[_IsSummary]],NETWORKDAYS.INTL(Tasks[[#This Row],[Start]],Tasks[[#This Row],[Finish]],WorkWeek,Holidays),N(Tasks[[#This Row],[_Days]])))</f>
        <v/>
      </c>
    </row>
    <row r="118" customFormat="false" ht="15" hidden="false" customHeight="false" outlineLevel="0" collapsed="false">
      <c r="A118" s="21" t="str">
        <f aca="false">IF(Tasks[[#This Row],[Task Name]]="","",COUNTA(Tasks[[#Headers],[Task Name]]:Tasks[[#This Row],[Task Name]])-1)</f>
        <v/>
      </c>
      <c r="B118" s="22" t="n">
        <v>126</v>
      </c>
      <c r="C118" s="22"/>
      <c r="D118" s="23"/>
      <c r="E118" s="22"/>
      <c r="F118" s="23"/>
      <c r="G118" s="22"/>
      <c r="H118" s="22"/>
      <c r="I118" s="23"/>
      <c r="J118" s="22"/>
      <c r="K118" s="22"/>
      <c r="L118" s="23"/>
      <c r="M118" s="22"/>
      <c r="N118" s="22"/>
      <c r="O118" s="23"/>
      <c r="P118" s="22"/>
      <c r="Q118" s="22"/>
      <c r="R118" s="23"/>
      <c r="S118" s="23"/>
      <c r="T118" s="83"/>
      <c r="U118" s="23"/>
      <c r="V118" s="83"/>
      <c r="W118" s="23"/>
      <c r="X118" s="83"/>
      <c r="Y118" s="23"/>
      <c r="Z118" s="83"/>
      <c r="AA118" s="23"/>
      <c r="AB118" s="23"/>
      <c r="AC118" s="7"/>
      <c r="AD118" s="7"/>
      <c r="AE118" s="62" t="str">
        <f aca="false">IF(Tasks[[#This Row],[Task Name]]="","",IF(Tasks[[#This Row],[_IsSummary]],MIN(INDEX(Tasks[_ShownFcstStart],Tasks[[#This Row],[_Row]]+1):INDEX(Tasks[_ShownFcstStart],Tasks[[#This Row],[_Row]]+Tasks[[#This Row],[_Descendants]])),Tasks[[#This Row],[_ShownFcstStart]]))</f>
        <v/>
      </c>
      <c r="AF118" s="62" t="str">
        <f aca="false">IF(Tasks[[#This Row],[Task Name]]="","",IF(Tasks[[#This Row],[_IsSummary]],MAX(INDEX(Tasks[_ShownFcstFinish],Tasks[[#This Row],[_Row]]+1):INDEX(Tasks[_ShownFcstFinish],Tasks[[#This Row],[_Row]]+Tasks[[#This Row],[_Descendants]])),Tasks[[#This Row],[_ShownFcstFinish]]))</f>
        <v/>
      </c>
      <c r="AG118" s="21" t="str">
        <f aca="false">""</f>
        <v/>
      </c>
      <c r="AH118" s="23"/>
      <c r="AI11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8" s="7"/>
      <c r="AK118" s="22"/>
      <c r="AL118" s="23"/>
      <c r="AM118" s="7"/>
      <c r="AN118" s="46" t="str">
        <f aca="false">IF(Tasks[[#This Row],[Task Name]]="","",IF(Tasks[[#This Row],[Finish]]&gt;=Tasks[[#This Row],[Planned Finish]],NETWORKDAYS.INTL(Tasks[[#This Row],[Planned Finish]],Tasks[[#This Row],[Finish]],WorkWeek,Holidays)-1,1-NETWORKDAYS.INTL(Tasks[[#This Row],[Finish]],Tasks[[#This Row],[Planned Finish]],WorkWeek,Holidays)))</f>
        <v/>
      </c>
      <c r="AO118" s="21" t="str">
        <f aca="false">IF(Tasks[[#This Row],[Task Name]]="","",IF(Tasks[[#This Row],[Progress]]&gt;=1,"Complete",IF(OR(N(Tasks[[#This Row],[Actual Start]])&gt;0,Tasks[[#This Row],[Progress]]&gt;0),IF(Tasks[[#This Row],[Finish Var]]&gt;0,"Behind","In Progress"),IF(Tasks[[#This Row],[Planned Start]]&lt;StatusDate,"Late Start","Not Started"))))</f>
        <v/>
      </c>
      <c r="AP118" s="21" t="str">
        <f aca="false">IF(Tasks[[#This Row],[Task Name]]="","",IF(IF(Tasks[[#This Row],[_IsSummary]],COUNTIF(INDEX(Tasks[_LeafCritical],Tasks[[#This Row],[_Row]]+1):INDEX(Tasks[_LeafCritical],Tasks[[#This Row],[_Row]]+Tasks[[#This Row],[_Descendants]]),TRUE())&gt;0,Tasks[[#This Row],[_LeafCritical]]),"Yes",""))</f>
        <v/>
      </c>
      <c r="AQ118" s="62" t="str">
        <f aca="false">IF(Tasks[[#This Row],[Task Name]]="","",IF(N(Tasks[[#This Row],[Baseline Start]])&gt;0,Tasks[[#This Row],[Baseline Start]],Tasks[[#This Row],[_CalcStart]]))</f>
        <v/>
      </c>
      <c r="AR118" s="62" t="str">
        <f aca="false">IF(Tasks[[#This Row],[Task Name]]="","",IF(N(Tasks[[#This Row],[Baseline Finish]])&gt;0,Tasks[[#This Row],[Baseline Finish]],Tasks[[#This Row],[_CalcFinish]]))</f>
        <v/>
      </c>
      <c r="AS118" s="46" t="str">
        <f aca="false">IF(Tasks[[#This Row],[Task Name]]="","",IF(Tasks[[#This Row],[Start]]&gt;=Tasks[[#This Row],[Planned Start]],NETWORKDAYS.INTL(Tasks[[#This Row],[Planned Start]],Tasks[[#This Row],[Start]],WorkWeek,Holidays)-1,1-NETWORKDAYS.INTL(Tasks[[#This Row],[Start]],Tasks[[#This Row],[Planned Start]],WorkWeek,Holidays)))</f>
        <v/>
      </c>
      <c r="AT118" s="62" t="str">
        <f aca="false">IF(Tasks[[#This Row],[Task Name]]="","",IF(Tasks[[#This Row],[_IsSummary]],MIN(INDEX(Tasks[_LeafLateStart],Tasks[[#This Row],[_Row]]+1):INDEX(Tasks[_LeafLateStart],Tasks[[#This Row],[_Row]]+Tasks[[#This Row],[_Descendants]])),Tasks[[#This Row],[_LeafLateStart]]))</f>
        <v/>
      </c>
      <c r="AU118" s="62" t="str">
        <f aca="false">IF(Tasks[[#This Row],[Task Name]]="","",IF(Tasks[[#This Row],[_IsSummary]],MAX(INDEX(Tasks[_LeafLateFinish],Tasks[[#This Row],[_Row]]+1):INDEX(Tasks[_LeafLateFinish],Tasks[[#This Row],[_Row]]+Tasks[[#This Row],[_Descendants]])),Tasks[[#This Row],[_LeafLateFinish]]))</f>
        <v/>
      </c>
      <c r="AV118" s="46" t="str">
        <f aca="false">IF(Tasks[[#This Row],[Task Name]]="","",IF(Tasks[[#This Row],[_IsSummary]],MIN(INDEX(Tasks[_LeafTotalSlack],Tasks[[#This Row],[_Row]]+1):INDEX(Tasks[_LeafTotalSlack],Tasks[[#This Row],[_Row]]+Tasks[[#This Row],[_Descendants]])),Tasks[[#This Row],[_LeafTotalSlack]]))</f>
        <v/>
      </c>
      <c r="AW11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4"/>
      <c r="BA11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t="str">
        <f aca="false">IF(Tasks[[#This Row],[Task Name]]="","",IF(Tasks[[#This Row],[_Level]]&lt;=OutlineShowLevel,"Yes","No"))</f>
        <v/>
      </c>
      <c r="BE118" s="85" t="str">
        <f aca="false">IF(Tasks[[#This Row],[Task Name]]="","",IF(Tasks[[#This Row],[_IsSummary]],SUM(INDEX(Tasks[_LeafTotalWork],Tasks[[#This Row],[_Row]]+1):INDEX(Tasks[_LeafTotalWork],Tasks[[#This Row],[_Row]]+Tasks[[#This Row],[_Descendants]])),Tasks[[#This Row],[_LeafTotalWork]]))</f>
        <v/>
      </c>
      <c r="BF118" s="23"/>
      <c r="BG11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t="str">
        <f aca="false">""</f>
        <v/>
      </c>
      <c r="BI118" s="86"/>
      <c r="BJ118" s="22"/>
      <c r="BK118" s="46" t="str">
        <f aca="false">IF(OR(Tasks[[#This Row],[Task Name]]="",Tasks[[#This Row],[Baseline Duration]]=""),"",Tasks[[#This Row],[_SpanDays]]-N(Tasks[[#This Row],[Baseline Duration]]))</f>
        <v/>
      </c>
      <c r="BL118" s="85" t="str">
        <f aca="false">IF(OR(Tasks[[#This Row],[Task Name]]="",Tasks[[#This Row],[Baseline Work]]=""),"",Tasks[[#This Row],[Work]]-N(Tasks[[#This Row],[Baseline Work]]))</f>
        <v/>
      </c>
      <c r="BM118" s="62" t="str">
        <f aca="false">IF(Tasks[[#This Row],[Task Name]]="","",IF(OR(TakeBaseline="Yes",N(Tasks[[#This Row],[Baseline Start]])=0),Tasks[[#This Row],[Start]],Tasks[[#This Row],[Baseline Start]]))</f>
        <v/>
      </c>
      <c r="BN118" s="62" t="str">
        <f aca="false">IF(Tasks[[#This Row],[Task Name]]="","",IF(OR(TakeBaseline="Yes",N(Tasks[[#This Row],[Baseline Finish]])=0),Tasks[[#This Row],[Finish]],Tasks[[#This Row],[Baseline Finish]]))</f>
        <v/>
      </c>
      <c r="BO118" s="21" t="str">
        <f aca="false">IF(Tasks[[#This Row],[Task Name]]="","",IF(OR(TakeBaseline="Yes",N(Tasks[[#This Row],[Baseline Duration]])=0),Tasks[[#This Row],[_SpanDays]],Tasks[[#This Row],[Baseline Duration]]))</f>
        <v/>
      </c>
      <c r="BP118" s="85" t="str">
        <f aca="false">IF(Tasks[[#This Row],[Task Name]]="","",IF(OR(TakeBaseline="Yes",N(Tasks[[#This Row],[Baseline Work]])=0),Tasks[[#This Row],[Work]],Tasks[[#This Row],[Baseline Work]]))</f>
        <v/>
      </c>
      <c r="BQ118" s="7"/>
      <c r="BR118" s="7"/>
      <c r="BS118" s="22"/>
      <c r="BT118" s="87"/>
      <c r="BU118" s="42" t="str">
        <f aca="false">IF(Tasks[[#This Row],[Task Name]]="","",MAX(1,N(Tasks[[#This Row],[Level]])))</f>
        <v/>
      </c>
      <c r="BV118" s="42" t="n">
        <f aca="false">ROW()-ROW(Tasks[[#Headers],[ID]])</f>
        <v>113</v>
      </c>
      <c r="BW118" s="42" t="n">
        <f aca="false">IF(OR(Tasks[[#This Row],[Task Name]]="",Tasks[[#This Row],[_Level]]&lt;=1),0,IFERROR(LOOKUP(2,1/(Tasks[[#Headers],[_Level]]:Tasks[[#This Row],[_Level]]=Tasks[[#This Row],[_Level]]-1),ROW(Tasks[[#Headers],[_Level]]:Tasks[[#This Row],[_Level]])),0))</f>
        <v>0</v>
      </c>
      <c r="BX118" s="42" t="n">
        <f aca="false">IFERROR(N(INDEX(Tasks[_Level],Tasks[[#This Row],[_Row]]+1)),0)</f>
        <v>0</v>
      </c>
      <c r="BY118" s="88" t="b">
        <f aca="false">AND(Tasks[[#This Row],[Task Name]]&lt;&gt;"",Tasks[[#This Row],[_NextLevel]]&gt;Tasks[[#This Row],[_Level]])</f>
        <v>0</v>
      </c>
      <c r="BZ118" s="42" t="n">
        <f aca="false">IF(Tasks[[#This Row],[_IsSummary]],COUNTIF(Tasks[WBS],Tasks[[#This Row],[WBS]]&amp;".*"),0)</f>
        <v>0</v>
      </c>
      <c r="CA118" s="42" t="n">
        <f aca="false">IF(AND(Tasks[[#This Row],[Task Name]]&lt;&gt;"",NOT(Tasks[[#This Row],[_IsSummary]])),1,0)</f>
        <v>0</v>
      </c>
      <c r="CB118" s="42" t="n">
        <f aca="false">IF(N(Tasks[[#This Row],[_Pred1UID]])=0,0,IFERROR(MATCH(Tasks[[#This Row],[_Pred1UID]],Tasks[UID],0),-1))</f>
        <v>0</v>
      </c>
      <c r="CC118" s="42" t="n">
        <f aca="false">IF(N(Tasks[[#This Row],[_Pred2UID]])=0,0,IFERROR(MATCH(Tasks[[#This Row],[_Pred2UID]],Tasks[UID],0),-1))</f>
        <v>0</v>
      </c>
      <c r="CD118" s="42" t="n">
        <f aca="false">IF(N(Tasks[[#This Row],[_Pred3UID]])=0,0,IFERROR(MATCH(Tasks[[#This Row],[_Pred3UID]],Tasks[UID],0),-1))</f>
        <v>0</v>
      </c>
      <c r="CE118" s="42" t="n">
        <f aca="false">IF(N(Tasks[[#This Row],[_Pred4UID]])=0,0,IFERROR(MATCH(Tasks[[#This Row],[_Pred4UID]],Tasks[UID],0),-1))</f>
        <v>0</v>
      </c>
      <c r="CF11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8" s="89" t="n">
        <f aca="false">IF(OR(Tasks[[#This Row],[_ConstraintCode]]=2,Tasks[[#This Row],[_ConstraintCode]]=3,Tasks[[#This Row],[_ConstraintCode]]=4,Tasks[[#This Row],[_ConstraintCode]]=6),Tasks[[#This Row],[_ConstraintStart]],0)</f>
        <v>0</v>
      </c>
      <c r="CI118" s="89" t="n">
        <f aca="false">IF(OR(Tasks[[#This Row],[_ConstraintCode]]=2,Tasks[[#This Row],[_ConstraintCode]]=3,Tasks[[#This Row],[_ConstraintCode]]=5,Tasks[[#This Row],[_ConstraintCode]]=7),Tasks[[#This Row],[_ConstraintStart]],2958465)</f>
        <v>2958465</v>
      </c>
      <c r="CJ11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8" s="89" t="str">
        <f aca="false">IF(NOT(Tasks[[#This Row],[_IsLeaf]]=1),"",IF(N(Tasks[[#This Row],[_Days]])&lt;=0,Tasks[[#This Row],[_LeafCalcStart]],WORKDAY.INTL(Tasks[[#This Row],[_LeafCalcStart]],Tasks[[#This Row],[_Days]]-1,WorkWeek,Holidays)))</f>
        <v/>
      </c>
      <c r="CL11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8" s="42" t="str">
        <f aca="false">IF(Tasks[[#This Row],[_Predecessors]]="","",TRIM(MID(SUBSTITUTE(SUBSTITUTE(SUBSTITUTE(UPPER(Tasks[[#This Row],[_Predecessors]]),";",",")," ",""),",",REPT(" ",99)),1,99)))</f>
        <v/>
      </c>
      <c r="CO118" s="42" t="str">
        <f aca="false">IF(Tasks[[#This Row],[_Pred1Text]]="","",IFERROR(VALUE(LEFT(Tasks[[#This Row],[_Pred1Text]],MIN(FIND("F",Tasks[[#This Row],[_Pred1Text]]&amp;"F"),FIND("S",Tasks[[#This Row],[_Pred1Text]]&amp;"S"),FIND("+",Tasks[[#This Row],[_Pred1Text]]&amp;"+"),FIND("-",Tasks[[#This Row],[_Pred1Text]]&amp;"-"))-1)),""))</f>
        <v/>
      </c>
      <c r="CP11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8" s="42" t="str">
        <f aca="false">IF(Tasks[[#This Row],[_Pred1Text]]="","",TRIM(MID(SUBSTITUTE(SUBSTITUTE(SUBSTITUTE(UPPER(Tasks[[#This Row],[_Predecessors]]),";",",")," ",""),",",REPT(" ",99)),100,99)))</f>
        <v/>
      </c>
      <c r="CS118" s="42" t="str">
        <f aca="false">IF(Tasks[[#This Row],[_Pred2Text]]="","",IFERROR(VALUE(LEFT(Tasks[[#This Row],[_Pred2Text]],MIN(FIND("F",Tasks[[#This Row],[_Pred2Text]]&amp;"F"),FIND("S",Tasks[[#This Row],[_Pred2Text]]&amp;"S"),FIND("+",Tasks[[#This Row],[_Pred2Text]]&amp;"+"),FIND("-",Tasks[[#This Row],[_Pred2Text]]&amp;"-"))-1)),""))</f>
        <v/>
      </c>
      <c r="CT11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8" s="42" t="str">
        <f aca="false">IF(Tasks[[#This Row],[_Pred2Text]]="","",TRIM(MID(SUBSTITUTE(SUBSTITUTE(SUBSTITUTE(UPPER(Tasks[[#This Row],[_Predecessors]]),";",",")," ",""),",",REPT(" ",99)),199,99)))</f>
        <v/>
      </c>
      <c r="CW118" s="42" t="str">
        <f aca="false">IF(Tasks[[#This Row],[_Pred3Text]]="","",IFERROR(VALUE(LEFT(Tasks[[#This Row],[_Pred3Text]],MIN(FIND("F",Tasks[[#This Row],[_Pred3Text]]&amp;"F"),FIND("S",Tasks[[#This Row],[_Pred3Text]]&amp;"S"),FIND("+",Tasks[[#This Row],[_Pred3Text]]&amp;"+"),FIND("-",Tasks[[#This Row],[_Pred3Text]]&amp;"-"))-1)),""))</f>
        <v/>
      </c>
      <c r="CX11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8" s="42" t="str">
        <f aca="false">IF(Tasks[[#This Row],[_Pred3Text]]="","",TRIM(MID(SUBSTITUTE(SUBSTITUTE(SUBSTITUTE(UPPER(Tasks[[#This Row],[_Predecessors]]),";",",")," ",""),",",REPT(" ",99)),298,99)))</f>
        <v/>
      </c>
      <c r="DA118" s="42" t="str">
        <f aca="false">IF(Tasks[[#This Row],[_Pred4Text]]="","",IFERROR(VALUE(LEFT(Tasks[[#This Row],[_Pred4Text]],MIN(FIND("F",Tasks[[#This Row],[_Pred4Text]]&amp;"F"),FIND("S",Tasks[[#This Row],[_Pred4Text]]&amp;"S"),FIND("+",Tasks[[#This Row],[_Pred4Text]]&amp;"+"),FIND("-",Tasks[[#This Row],[_Pred4Text]]&amp;"-"))-1)),""))</f>
        <v/>
      </c>
      <c r="DB11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8" s="42" t="str">
        <f aca="false">IF(OR(Tasks[[#This Row],[Task Name]]="",Tasks[[#This Row],[_Resources]]=""),"",TRIM(MID(SUBSTITUTE(Tasks[[#This Row],[_Resources]],",",REPT(" ",99)),1,99)))</f>
        <v/>
      </c>
      <c r="DE118" s="42" t="str">
        <f aca="false">IF(Tasks[[#This Row],[_Res1Text]]="","",TRIM(MID(SUBSTITUTE(Tasks[[#This Row],[_Resources]],",",REPT(" ",99)),100,99)))</f>
        <v/>
      </c>
      <c r="DF118" s="42" t="str">
        <f aca="false">IF(Tasks[[#This Row],[_Res2Text]]="","",TRIM(MID(SUBSTITUTE(Tasks[[#This Row],[_Resources]],",",REPT(" ",99)),199,99)))</f>
        <v/>
      </c>
      <c r="DG118" s="42" t="str">
        <f aca="false">IF(Tasks[[#This Row],[_Res3Text]]="","",TRIM(MID(SUBSTITUTE(Tasks[[#This Row],[_Resources]],",",REPT(" ",99)),298,99)))</f>
        <v/>
      </c>
      <c r="DH118" s="42" t="n">
        <f aca="false">IF(Tasks[[#This Row],[_Res1Text]]="",0,IFERROR(MATCH(TRIM(LEFT(Tasks[[#This Row],[_Res1Text]],FIND("[",Tasks[[#This Row],[_Res1Text]]&amp;"[")-1)),res_Name,0),IFERROR(MATCH(TRIM(LEFT(Tasks[[#This Row],[_Res1Text]],FIND("[",Tasks[[#This Row],[_Res1Text]]&amp;"[")-1)),res_Initials,0),0)))</f>
        <v>0</v>
      </c>
      <c r="DI118" s="42" t="n">
        <f aca="false">IF(Tasks[[#This Row],[_Res2Text]]="",0,IFERROR(MATCH(TRIM(LEFT(Tasks[[#This Row],[_Res2Text]],FIND("[",Tasks[[#This Row],[_Res2Text]]&amp;"[")-1)),res_Name,0),IFERROR(MATCH(TRIM(LEFT(Tasks[[#This Row],[_Res2Text]],FIND("[",Tasks[[#This Row],[_Res2Text]]&amp;"[")-1)),res_Initials,0),0)))</f>
        <v>0</v>
      </c>
      <c r="DJ118" s="42" t="n">
        <f aca="false">IF(Tasks[[#This Row],[_Res3Text]]="",0,IFERROR(MATCH(TRIM(LEFT(Tasks[[#This Row],[_Res3Text]],FIND("[",Tasks[[#This Row],[_Res3Text]]&amp;"[")-1)),res_Name,0),IFERROR(MATCH(TRIM(LEFT(Tasks[[#This Row],[_Res3Text]],FIND("[",Tasks[[#This Row],[_Res3Text]]&amp;"[")-1)),res_Initials,0),0)))</f>
        <v>0</v>
      </c>
      <c r="DK118" s="42" t="n">
        <f aca="false">IF(Tasks[[#This Row],[_Res4Text]]="",0,IFERROR(MATCH(TRIM(LEFT(Tasks[[#This Row],[_Res4Text]],FIND("[",Tasks[[#This Row],[_Res4Text]]&amp;"[")-1)),res_Name,0),IFERROR(MATCH(TRIM(LEFT(Tasks[[#This Row],[_Res4Text]],FIND("[",Tasks[[#This Row],[_Res4Text]]&amp;"[")-1)),res_Initials,0),0)))</f>
        <v>0</v>
      </c>
      <c r="DL118" s="42" t="str">
        <f aca="false">IF(Tasks[[#This Row],[_Res1Text]]="","",IF(Tasks[[#This Row],[_Res1Row]]&gt;0,INDEX(res_Name,Tasks[[#This Row],[_Res1Row]]),TRIM(LEFT(Tasks[[#This Row],[_Res1Text]],FIND("[",Tasks[[#This Row],[_Res1Text]]&amp;"[")-1))))</f>
        <v/>
      </c>
      <c r="DM11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8" s="42" t="n">
        <f aca="false">IF(NOT(Tasks[[#This Row],[_IsLeaf]]=1),0,(Tasks[[#This Row],[_Resource1]]&lt;&gt;"")+(Tasks[[#This Row],[_Res2]]&lt;&gt;"")+(Tasks[[#This Row],[_Res3]]&lt;&gt;"")+(Tasks[[#This Row],[_Res4]]&lt;&gt;""))</f>
        <v>0</v>
      </c>
      <c r="DO118" s="42" t="str">
        <f aca="false">IF(Tasks[[#This Row],[_Res2Text]]="","",IF(Tasks[[#This Row],[_Res2Row]]&gt;0,INDEX(res_Name,Tasks[[#This Row],[_Res2Row]]),TRIM(LEFT(Tasks[[#This Row],[_Res2Text]],FIND("[",Tasks[[#This Row],[_Res2Text]]&amp;"[")-1))))</f>
        <v/>
      </c>
      <c r="DP11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8" s="42" t="n">
        <f aca="false">IF(OR(NOT(Tasks[[#This Row],[_IsLeaf]]=1),Tasks[[#This Row],[_Res2Row]]=0),0,N(Tasks[[#This Row],[_Days]])*HoursPerDay*IF(Tasks[[#This Row],[_Res2Units]]="",DefaultUnits,Tasks[[#This Row],[_Res2Units]]))</f>
        <v>0</v>
      </c>
      <c r="DR118" s="42" t="n">
        <f aca="false">IF(AND(AND(Tasks[[#This Row],[_IsLeaf]]=1,Tasks[[#This Row],[_LeafTotalWork]]&gt;0),Tasks[[#This Row],[_Res2Work]]&gt;0),Tasks[[#This Row],[_Res2Work]]/(Tasks[[#This Row],[_FinishWorkday]]-Tasks[[#This Row],[_StartWorkday]]+1),0)</f>
        <v>0</v>
      </c>
      <c r="DS118" s="42" t="n">
        <f aca="false">Tasks[[#This Row],[_Res2WorkPerWD]]*MAX(0,Tasks[[#This Row],[_StartWorkday]]-1)</f>
        <v>0</v>
      </c>
      <c r="DT118" s="42" t="n">
        <f aca="false">Tasks[[#This Row],[_Res2Work]]*Tasks[[#This Row],[_LeafProgress]]</f>
        <v>0</v>
      </c>
      <c r="DU118" s="42" t="str">
        <f aca="false">IF(Tasks[[#This Row],[_Res3Text]]="","",IF(Tasks[[#This Row],[_Res3Row]]&gt;0,INDEX(res_Name,Tasks[[#This Row],[_Res3Row]]),TRIM(LEFT(Tasks[[#This Row],[_Res3Text]],FIND("[",Tasks[[#This Row],[_Res3Text]]&amp;"[")-1))))</f>
        <v/>
      </c>
      <c r="DV11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8" s="42" t="n">
        <f aca="false">IF(OR(NOT(Tasks[[#This Row],[_IsLeaf]]=1),Tasks[[#This Row],[_Res3Row]]=0),0,N(Tasks[[#This Row],[_Days]])*HoursPerDay*IF(Tasks[[#This Row],[_Res3Units]]="",DefaultUnits,Tasks[[#This Row],[_Res3Units]]))</f>
        <v>0</v>
      </c>
      <c r="DX118" s="42" t="n">
        <f aca="false">IF(AND(AND(Tasks[[#This Row],[_IsLeaf]]=1,Tasks[[#This Row],[_LeafTotalWork]]&gt;0),Tasks[[#This Row],[_Res3Work]]&gt;0),Tasks[[#This Row],[_Res3Work]]/(Tasks[[#This Row],[_FinishWorkday]]-Tasks[[#This Row],[_StartWorkday]]+1),0)</f>
        <v>0</v>
      </c>
      <c r="DY118" s="42" t="n">
        <f aca="false">Tasks[[#This Row],[_Res3WorkPerWD]]*MAX(0,Tasks[[#This Row],[_StartWorkday]]-1)</f>
        <v>0</v>
      </c>
      <c r="DZ118" s="42" t="n">
        <f aca="false">Tasks[[#This Row],[_Res3Work]]*Tasks[[#This Row],[_LeafProgress]]</f>
        <v>0</v>
      </c>
      <c r="EA118" s="42" t="str">
        <f aca="false">IF(Tasks[[#This Row],[_Res4Text]]="","",IF(Tasks[[#This Row],[_Res4Row]]&gt;0,INDEX(res_Name,Tasks[[#This Row],[_Res4Row]]),TRIM(LEFT(Tasks[[#This Row],[_Res4Text]],FIND("[",Tasks[[#This Row],[_Res4Text]]&amp;"[")-1))))</f>
        <v/>
      </c>
      <c r="EB11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8" s="42" t="n">
        <f aca="false">IF(OR(NOT(Tasks[[#This Row],[_IsLeaf]]=1),Tasks[[#This Row],[_Res4Row]]=0),0,N(Tasks[[#This Row],[_Days]])*HoursPerDay*IF(Tasks[[#This Row],[_Res4Units]]="",DefaultUnits,Tasks[[#This Row],[_Res4Units]]))</f>
        <v>0</v>
      </c>
      <c r="ED118" s="42" t="n">
        <f aca="false">IF(AND(AND(Tasks[[#This Row],[_IsLeaf]]=1,Tasks[[#This Row],[_LeafTotalWork]]&gt;0),Tasks[[#This Row],[_Res4Work]]&gt;0),Tasks[[#This Row],[_Res4Work]]/(Tasks[[#This Row],[_FinishWorkday]]-Tasks[[#This Row],[_StartWorkday]]+1),0)</f>
        <v>0</v>
      </c>
      <c r="EE118" s="42" t="n">
        <f aca="false">Tasks[[#This Row],[_Res4WorkPerWD]]*MAX(0,Tasks[[#This Row],[_StartWorkday]]-1)</f>
        <v>0</v>
      </c>
      <c r="EF118" s="42" t="n">
        <f aca="false">Tasks[[#This Row],[_Res4Work]]*Tasks[[#This Row],[_LeafProgress]]</f>
        <v>0</v>
      </c>
      <c r="EG118" s="42" t="n">
        <f aca="false">IF(ISNUMBER(Tasks[[#This Row],[% Complete]]),Tasks[[#This Row],[% Complete]],IF(Tasks[[#This Row],[Stage]]="",0,IFERROR(INDEX(stg_Pct,MATCH(Tasks[[#This Row],[Stage]],stg_Name,0)),0)))</f>
        <v>0</v>
      </c>
      <c r="EH118" s="42" t="n">
        <f aca="false">IF(NOT(Tasks[[#This Row],[_IsLeaf]]=1),0,IF(N(Tasks[[#This Row],[Actual Finish]])&gt;0,1,MIN(1,Tasks[[#This Row],[_Pct]])))</f>
        <v>0</v>
      </c>
      <c r="EI118" s="42" t="n">
        <f aca="false">IF(OR(NOT(Tasks[[#This Row],[_IsLeaf]]=1),Tasks[[#This Row],[_Res1Row]]=0),0,N(Tasks[[#This Row],[_Days]])*HoursPerDay*IF(Tasks[[#This Row],[_Units1]]="",DefaultUnits,Tasks[[#This Row],[_Units1]]))</f>
        <v>0</v>
      </c>
      <c r="EJ118" s="42" t="n">
        <f aca="false">Tasks[[#This Row],[_LeafWork]]+Tasks[[#This Row],[_Res2Work]]+Tasks[[#This Row],[_Res3Work]]+Tasks[[#This Row],[_Res4Work]]</f>
        <v>0</v>
      </c>
      <c r="EK11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8" s="42" t="n">
        <f aca="false">IF(NOT(Tasks[[#This Row],[_IsLeaf]]=1),0,MAX(_xlfn.MAXIFS(Tasks[_Row],Tasks[_Pred1UID],Tasks[[#This Row],[UID]]),_xlfn.MAXIFS(Tasks[_Row],Tasks[_Pred2UID],Tasks[[#This Row],[UID]]),_xlfn.MAXIFS(Tasks[_Row],Tasks[_Pred3UID],Tasks[[#This Row],[UID]]),_xlfn.MAXIFS(Tasks[_Row],Tasks[_Pred4UID],Tasks[[#This Row],[UID]])))</f>
        <v>0</v>
      </c>
      <c r="ET11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8" s="89" t="str">
        <f aca="false">IF(NOT(Tasks[[#This Row],[_IsLeaf]]=1),"",IF(N(Tasks[[#This Row],[_Days]])&lt;=0,Tasks[[#This Row],[_LeafLateFinish]],WORKDAY.INTL(Tasks[[#This Row],[_LeafLateFinish]],-(Tasks[[#This Row],[_Days]]-1),WorkWeek,Holidays)))</f>
        <v/>
      </c>
      <c r="EW11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8" s="88" t="b">
        <f aca="false">AND(Tasks[[#This Row],[_IsLeaf]]=1,Tasks[[#This Row],[_LeafProgress]]&lt;1,N(Tasks[[#This Row],[_LeafTotalSlack]])&lt;=CriticalSlackDays)</f>
        <v>0</v>
      </c>
      <c r="EY118" s="42" t="n">
        <f aca="false">IF(AND(Tasks[[#This Row],[_IsLeaf]]=1,Tasks[[#This Row],[_ConstraintCode]]=1,Tasks[[#This Row],[Mode]]&lt;&gt;"Manual",N(Tasks[[#This Row],[Actual Start]])=0),MAX(0,N(Tasks[[#This Row],[Free Slack]])),0)</f>
        <v>0</v>
      </c>
      <c r="EZ118" s="89" t="str">
        <f aca="false">IF(NOT(Tasks[[#This Row],[_IsLeaf]]=1),"",IF(Tasks[[#This Row],[_AlapShift]]=0,Tasks[[#This Row],[_LeafCalcStart]],WORKDAY.INTL(Tasks[[#This Row],[_LeafCalcStart]],Tasks[[#This Row],[_AlapShift]],WorkWeek,Holidays)))</f>
        <v/>
      </c>
      <c r="FA118" s="89" t="str">
        <f aca="false">IF(NOT(Tasks[[#This Row],[_IsLeaf]]=1),"",IF(Tasks[[#This Row],[_AlapShift]]=0,Tasks[[#This Row],[_LeafCalcFinish]],WORKDAY.INTL(Tasks[[#This Row],[_LeafCalcFinish]],Tasks[[#This Row],[_AlapShift]],WorkWeek,Holidays)))</f>
        <v/>
      </c>
      <c r="FB118" s="89" t="str">
        <f aca="false">IF(NOT(Tasks[[#This Row],[_IsLeaf]]=1),"",IF(Tasks[[#This Row],[_AlapShift]]=0,Tasks[[#This Row],[_LeafFcstStart]],WORKDAY.INTL(Tasks[[#This Row],[_LeafFcstStart]],Tasks[[#This Row],[_AlapShift]],WorkWeek,Holidays)))</f>
        <v/>
      </c>
      <c r="FC118" s="89" t="str">
        <f aca="false">IF(NOT(Tasks[[#This Row],[_IsLeaf]]=1),"",IF(Tasks[[#This Row],[_AlapShift]]=0,Tasks[[#This Row],[_LeafFcstFinish]],WORKDAY.INTL(Tasks[[#This Row],[_LeafFcstFinish]],Tasks[[#This Row],[_AlapShift]],WorkWeek,Holidays)))</f>
        <v/>
      </c>
      <c r="FD118" s="89" t="str">
        <f aca="false">IF(Tasks[[#This Row],[Task Name]]="","",IF(Tasks[[#This Row],[_IsSummary]],MIN(INDEX(Tasks[_ShownCalcStart],Tasks[[#This Row],[_Row]]+1):INDEX(Tasks[_ShownCalcStart],Tasks[[#This Row],[_Row]]+Tasks[[#This Row],[_Descendants]])),Tasks[[#This Row],[_ShownCalcStart]]))</f>
        <v/>
      </c>
      <c r="FE118" s="89" t="str">
        <f aca="false">IF(Tasks[[#This Row],[Task Name]]="","",IF(Tasks[[#This Row],[_IsSummary]],MAX(INDEX(Tasks[_ShownCalcFinish],Tasks[[#This Row],[_Row]]+1):INDEX(Tasks[_ShownCalcFinish],Tasks[[#This Row],[_Row]]+Tasks[[#This Row],[_Descendants]])),Tasks[[#This Row],[_ShownCalcFinish]]))</f>
        <v/>
      </c>
      <c r="FF11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8" s="42" t="n">
        <f aca="false">IF(AND(Tasks[[#This Row],[_IsLeaf]]=1,Tasks[[#This Row],[_LeafTotalWork]]&gt;0),NETWORKDAYS.INTL(ProjectStart,Tasks[[#This Row],[_ShownFcstStart]],WorkWeek,Holidays),0)</f>
        <v>0</v>
      </c>
      <c r="FS118" s="42" t="n">
        <f aca="false">IF(AND(Tasks[[#This Row],[_IsLeaf]]=1,Tasks[[#This Row],[_LeafTotalWork]]&gt;0),MAX(Tasks[[#This Row],[_StartWorkday]],NETWORKDAYS.INTL(ProjectStart,Tasks[[#This Row],[_ShownFcstFinish]],WorkWeek,Holidays)),0)</f>
        <v>0</v>
      </c>
      <c r="FT118" s="42" t="n">
        <f aca="false">IF(AND(Tasks[[#This Row],[_IsLeaf]]=1,Tasks[[#This Row],[_LeafTotalWork]]&gt;0),Tasks[[#This Row],[_LeafWork]]/(Tasks[[#This Row],[_FinishWorkday]]-Tasks[[#This Row],[_StartWorkday]]+1),0)</f>
        <v>0</v>
      </c>
      <c r="FU118" s="42" t="n">
        <f aca="false">Tasks[[#This Row],[_WorkPerWorkday]]*(Tasks[[#This Row],[_StartWorkday]]-1)</f>
        <v>-0</v>
      </c>
      <c r="FV118" s="42" t="n">
        <f aca="false">IF(Tasks[[#This Row],[_IsLeaf]]=1,MAX(N(Tasks[[#This Row],[_Days]]),0.1),0)</f>
        <v>0</v>
      </c>
      <c r="FW118" s="42" t="n">
        <f aca="false">Tasks[[#This Row],[_WeightDur]]*Tasks[[#This Row],[_LeafProgress]]</f>
        <v>0</v>
      </c>
      <c r="FX118" s="42" t="n">
        <f aca="false">Tasks[[#This Row],[_WeightDur]]*Tasks[[#This Row],[_PlannedPct]]</f>
        <v>0</v>
      </c>
      <c r="FY11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8" s="42" t="str">
        <f aca="false">IF(AND(Tasks[[#This Row],[_IsLeaf]]=1,N(Tasks[[#This Row],[_Days]])=0,Tasks[[#This Row],[_LeafProgress]]&lt;1),Tasks[[#This Row],[_ShownFcstFinish]]+Tasks[[#This Row],[_Row]]/100000,"")</f>
        <v/>
      </c>
      <c r="GA11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8" s="42" t="str">
        <f aca="false">IF(Tasks[[#This Row],[Task Name]]="","",LEFT(Tasks[[#This Row],[WBS]],FIND(".",Tasks[[#This Row],[WBS]]&amp;".")-1))</f>
        <v/>
      </c>
      <c r="GC118" s="42" t="str">
        <f aca="false">IF(AND(Tasks[[#This Row],[Task Name]]&lt;&gt;"",Tasks[[#This Row],[_Level]]=1),Tasks[[#This Row],[_Row]],"")</f>
        <v/>
      </c>
      <c r="GD118" s="42" t="str">
        <f aca="false">IF(AND(Tasks[[#This Row],[_IsLeaf]]=1,N(Tasks[[#This Row],[_Days]])=0),Tasks[[#This Row],[Planned Finish]]+Tasks[[#This Row],[_Row]]/100000,"")</f>
        <v/>
      </c>
      <c r="GE118" s="42" t="str">
        <f aca="false">IF(AND(Tasks[[#This Row],[_IsLeaf]]=1,Tasks[[#This Row],[_LeafProgress]]&lt;1,OR(N(Tasks[[#This Row],[Finish Var]])&gt;0,Tasks[[#This Row],[Status]]="Late Start")),MAX(0,Tasks[[#This Row],[Finish Var]])+1-Tasks[[#This Row],[_Row]]/1000000,"")</f>
        <v/>
      </c>
      <c r="GF118" s="42" t="str">
        <f aca="false">IF(AND(Tasks[[#This Row],[_IsLeaf]]=1,N(Tasks[[#This Row],[Actual Start]])=0,Tasks[[#This Row],[_ShownFcstStart]]&gt;=StatusDate,Tasks[[#This Row],[_ShownFcstStart]]&lt;=LookaheadEnd),Tasks[[#This Row],[_ShownFcstStart]]+Tasks[[#This Row],[_Row]]/100000,"")</f>
        <v/>
      </c>
      <c r="GG118" s="42" t="str">
        <f aca="false">IF(AND(Tasks[[#This Row],[_IsLeaf]]=1,Tasks[[#This Row],[_LeafProgress]]&lt;1,Tasks[[#This Row],[_ShownFcstFinish]]&gt;=StatusDate,Tasks[[#This Row],[_ShownFcstFinish]]&lt;=LookaheadEnd),Tasks[[#This Row],[_ShownFcstFinish]]+Tasks[[#This Row],[_Row]]/100000,"")</f>
        <v/>
      </c>
      <c r="GH118" s="42" t="str">
        <f aca="false">IF(Tasks[[#This Row],[_LeafCritical]],Tasks[[#This Row],[_ShownFcstStart]]+Tasks[[#This Row],[_Row]]/100000,"")</f>
        <v/>
      </c>
      <c r="GI118" s="42" t="n">
        <f aca="false">Tasks[[#This Row],[_LeafWork]]*Tasks[[#This Row],[_LeafProgress]]</f>
        <v>0</v>
      </c>
      <c r="GJ118" s="89" t="str">
        <f aca="false">IF(AND(Tasks[[#This Row],[_IsLeaf]]=1,Tasks[[#This Row],[_LeafProgress]]&gt;=1),IF(N(Tasks[[#This Row],[Actual Finish]])&gt;0,Tasks[[#This Row],[Actual Finish]],Tasks[[#This Row],[_ShownFcstFinish]]),"")</f>
        <v/>
      </c>
      <c r="GK118" s="42" t="n">
        <f aca="false">IF(Tasks[[#This Row],[_IsLeaf]]=1,N(Tasks[[#This Row],[Story Points]]),0)</f>
        <v>0</v>
      </c>
      <c r="GL118" s="42" t="str">
        <f aca="false">""</f>
        <v/>
      </c>
      <c r="GM118" s="88" t="b">
        <f aca="false">IF(Tasks[[#This Row],[Task Name]]="",FALSE(),AND(Tasks[[#This Row],[_IsLeaf]]=1,N(Tasks[[#This Row],[_Days]])=0))</f>
        <v>0</v>
      </c>
      <c r="GN118" s="89" t="n">
        <f aca="false">IF(Tasks[[#This Row],[Task Name]]="",0,IF(AND(Tasks[[#This Row],[_IsLeaf]]=1,NOT(Tasks[[#This Row],[_IsMilestone]]),N(Tasks[[#This Row],[Progress]])&gt;0),Tasks[[#This Row],[Start]],0))</f>
        <v>0</v>
      </c>
      <c r="GO118" s="89" t="n">
        <f aca="false">IF(Tasks[[#This Row],[_DoneFrom]]=0,0,IF(Tasks[[#This Row],[Progress]]&gt;=1,Tasks[[#This Row],[Finish]],MAX(Tasks[[#This Row],[_DoneFrom]],Tasks[[#This Row],[Start]]+ROUND((Tasks[[#This Row],[Finish]]-Tasks[[#This Row],[Start]]+1)*Tasks[[#This Row],[Progress]],0)-1)))</f>
        <v>0</v>
      </c>
      <c r="GP118" s="89" t="n">
        <f aca="false">IF(Tasks[[#This Row],[Task Name]]="",0,IF(OR(NOT(Tasks[[#This Row],[_IsLeaf]]=1),Tasks[[#This Row],[_IsMilestone]],N(Tasks[[#This Row],[Progress]])&gt;=1),0,IF(Tasks[[#This Row],[_DoneTo]]&gt;0,Tasks[[#This Row],[_DoneTo]]+1,Tasks[[#This Row],[Start]])))</f>
        <v>0</v>
      </c>
      <c r="GQ118" s="89" t="n">
        <f aca="false">IF(Tasks[[#This Row],[_RemFrom]]=0,0,Tasks[[#This Row],[Finish]])</f>
        <v>0</v>
      </c>
      <c r="GR118" s="88" t="b">
        <f aca="false">IF(Tasks[[#This Row],[Task Name]]="",FALSE(),OR(NOT(BaselineSet),N(Tasks[[#This Row],[Baseline Start]])&gt;0))</f>
        <v>0</v>
      </c>
      <c r="GS11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8" s="90" t="str">
        <f aca="false">IF(Tasks[[#This Row],[_IsLeaf]]=1,Tasks[[#This Row],[_Row]],"")</f>
        <v/>
      </c>
      <c r="GW118" s="90" t="str">
        <f aca="false">IFERROR(INDEX(Tasks[UID],SMALL(Tasks[_PickKey],Tasks[[#This Row],[_Row]]))&amp;" "&amp;INDEX(Tasks[Task Name],SMALL(Tasks[_PickKey],Tasks[[#This Row],[_Row]])),"")</f>
        <v/>
      </c>
      <c r="GX118" s="42" t="str">
        <f aca="false">IF(Tasks[[#This Row],[Task Name]]="","",IF(Tasks[[#This Row],[_IsSummary]],NETWORKDAYS.INTL(Tasks[[#This Row],[Start]],Tasks[[#This Row],[Finish]],WorkWeek,Holidays),N(Tasks[[#This Row],[_Days]])))</f>
        <v/>
      </c>
    </row>
    <row r="119" customFormat="false" ht="15" hidden="false" customHeight="false" outlineLevel="0" collapsed="false">
      <c r="A119" s="21" t="str">
        <f aca="false">IF(Tasks[[#This Row],[Task Name]]="","",COUNTA(Tasks[[#Headers],[Task Name]]:Tasks[[#This Row],[Task Name]])-1)</f>
        <v/>
      </c>
      <c r="B119" s="22" t="n">
        <v>127</v>
      </c>
      <c r="C119" s="22"/>
      <c r="D119" s="23"/>
      <c r="E119" s="22"/>
      <c r="F119" s="23"/>
      <c r="G119" s="22"/>
      <c r="H119" s="22"/>
      <c r="I119" s="23"/>
      <c r="J119" s="22"/>
      <c r="K119" s="22"/>
      <c r="L119" s="23"/>
      <c r="M119" s="22"/>
      <c r="N119" s="22"/>
      <c r="O119" s="23"/>
      <c r="P119" s="22"/>
      <c r="Q119" s="22"/>
      <c r="R119" s="23"/>
      <c r="S119" s="23"/>
      <c r="T119" s="83"/>
      <c r="U119" s="23"/>
      <c r="V119" s="83"/>
      <c r="W119" s="23"/>
      <c r="X119" s="83"/>
      <c r="Y119" s="23"/>
      <c r="Z119" s="83"/>
      <c r="AA119" s="23"/>
      <c r="AB119" s="23"/>
      <c r="AC119" s="7"/>
      <c r="AD119" s="7"/>
      <c r="AE119" s="62" t="str">
        <f aca="false">IF(Tasks[[#This Row],[Task Name]]="","",IF(Tasks[[#This Row],[_IsSummary]],MIN(INDEX(Tasks[_ShownFcstStart],Tasks[[#This Row],[_Row]]+1):INDEX(Tasks[_ShownFcstStart],Tasks[[#This Row],[_Row]]+Tasks[[#This Row],[_Descendants]])),Tasks[[#This Row],[_ShownFcstStart]]))</f>
        <v/>
      </c>
      <c r="AF119" s="62" t="str">
        <f aca="false">IF(Tasks[[#This Row],[Task Name]]="","",IF(Tasks[[#This Row],[_IsSummary]],MAX(INDEX(Tasks[_ShownFcstFinish],Tasks[[#This Row],[_Row]]+1):INDEX(Tasks[_ShownFcstFinish],Tasks[[#This Row],[_Row]]+Tasks[[#This Row],[_Descendants]])),Tasks[[#This Row],[_ShownFcstFinish]]))</f>
        <v/>
      </c>
      <c r="AG119" s="21" t="str">
        <f aca="false">""</f>
        <v/>
      </c>
      <c r="AH119" s="23"/>
      <c r="AI11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19" s="7"/>
      <c r="AK119" s="22"/>
      <c r="AL119" s="23"/>
      <c r="AM119" s="7"/>
      <c r="AN119" s="46" t="str">
        <f aca="false">IF(Tasks[[#This Row],[Task Name]]="","",IF(Tasks[[#This Row],[Finish]]&gt;=Tasks[[#This Row],[Planned Finish]],NETWORKDAYS.INTL(Tasks[[#This Row],[Planned Finish]],Tasks[[#This Row],[Finish]],WorkWeek,Holidays)-1,1-NETWORKDAYS.INTL(Tasks[[#This Row],[Finish]],Tasks[[#This Row],[Planned Finish]],WorkWeek,Holidays)))</f>
        <v/>
      </c>
      <c r="AO119" s="21" t="str">
        <f aca="false">IF(Tasks[[#This Row],[Task Name]]="","",IF(Tasks[[#This Row],[Progress]]&gt;=1,"Complete",IF(OR(N(Tasks[[#This Row],[Actual Start]])&gt;0,Tasks[[#This Row],[Progress]]&gt;0),IF(Tasks[[#This Row],[Finish Var]]&gt;0,"Behind","In Progress"),IF(Tasks[[#This Row],[Planned Start]]&lt;StatusDate,"Late Start","Not Started"))))</f>
        <v/>
      </c>
      <c r="AP119" s="21" t="str">
        <f aca="false">IF(Tasks[[#This Row],[Task Name]]="","",IF(IF(Tasks[[#This Row],[_IsSummary]],COUNTIF(INDEX(Tasks[_LeafCritical],Tasks[[#This Row],[_Row]]+1):INDEX(Tasks[_LeafCritical],Tasks[[#This Row],[_Row]]+Tasks[[#This Row],[_Descendants]]),TRUE())&gt;0,Tasks[[#This Row],[_LeafCritical]]),"Yes",""))</f>
        <v/>
      </c>
      <c r="AQ119" s="62" t="str">
        <f aca="false">IF(Tasks[[#This Row],[Task Name]]="","",IF(N(Tasks[[#This Row],[Baseline Start]])&gt;0,Tasks[[#This Row],[Baseline Start]],Tasks[[#This Row],[_CalcStart]]))</f>
        <v/>
      </c>
      <c r="AR119" s="62" t="str">
        <f aca="false">IF(Tasks[[#This Row],[Task Name]]="","",IF(N(Tasks[[#This Row],[Baseline Finish]])&gt;0,Tasks[[#This Row],[Baseline Finish]],Tasks[[#This Row],[_CalcFinish]]))</f>
        <v/>
      </c>
      <c r="AS119" s="46" t="str">
        <f aca="false">IF(Tasks[[#This Row],[Task Name]]="","",IF(Tasks[[#This Row],[Start]]&gt;=Tasks[[#This Row],[Planned Start]],NETWORKDAYS.INTL(Tasks[[#This Row],[Planned Start]],Tasks[[#This Row],[Start]],WorkWeek,Holidays)-1,1-NETWORKDAYS.INTL(Tasks[[#This Row],[Start]],Tasks[[#This Row],[Planned Start]],WorkWeek,Holidays)))</f>
        <v/>
      </c>
      <c r="AT119" s="62" t="str">
        <f aca="false">IF(Tasks[[#This Row],[Task Name]]="","",IF(Tasks[[#This Row],[_IsSummary]],MIN(INDEX(Tasks[_LeafLateStart],Tasks[[#This Row],[_Row]]+1):INDEX(Tasks[_LeafLateStart],Tasks[[#This Row],[_Row]]+Tasks[[#This Row],[_Descendants]])),Tasks[[#This Row],[_LeafLateStart]]))</f>
        <v/>
      </c>
      <c r="AU119" s="62" t="str">
        <f aca="false">IF(Tasks[[#This Row],[Task Name]]="","",IF(Tasks[[#This Row],[_IsSummary]],MAX(INDEX(Tasks[_LeafLateFinish],Tasks[[#This Row],[_Row]]+1):INDEX(Tasks[_LeafLateFinish],Tasks[[#This Row],[_Row]]+Tasks[[#This Row],[_Descendants]])),Tasks[[#This Row],[_LeafLateFinish]]))</f>
        <v/>
      </c>
      <c r="AV119" s="46" t="str">
        <f aca="false">IF(Tasks[[#This Row],[Task Name]]="","",IF(Tasks[[#This Row],[_IsSummary]],MIN(INDEX(Tasks[_LeafTotalSlack],Tasks[[#This Row],[_Row]]+1):INDEX(Tasks[_LeafTotalSlack],Tasks[[#This Row],[_Row]]+Tasks[[#This Row],[_Descendants]])),Tasks[[#This Row],[_LeafTotalSlack]]))</f>
        <v/>
      </c>
      <c r="AW11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4"/>
      <c r="BA11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t="str">
        <f aca="false">IF(Tasks[[#This Row],[Task Name]]="","",IF(Tasks[[#This Row],[_Level]]&lt;=OutlineShowLevel,"Yes","No"))</f>
        <v/>
      </c>
      <c r="BE119" s="85" t="str">
        <f aca="false">IF(Tasks[[#This Row],[Task Name]]="","",IF(Tasks[[#This Row],[_IsSummary]],SUM(INDEX(Tasks[_LeafTotalWork],Tasks[[#This Row],[_Row]]+1):INDEX(Tasks[_LeafTotalWork],Tasks[[#This Row],[_Row]]+Tasks[[#This Row],[_Descendants]])),Tasks[[#This Row],[_LeafTotalWork]]))</f>
        <v/>
      </c>
      <c r="BF119" s="23"/>
      <c r="BG11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t="str">
        <f aca="false">""</f>
        <v/>
      </c>
      <c r="BI119" s="86"/>
      <c r="BJ119" s="22"/>
      <c r="BK119" s="46" t="str">
        <f aca="false">IF(OR(Tasks[[#This Row],[Task Name]]="",Tasks[[#This Row],[Baseline Duration]]=""),"",Tasks[[#This Row],[_SpanDays]]-N(Tasks[[#This Row],[Baseline Duration]]))</f>
        <v/>
      </c>
      <c r="BL119" s="85" t="str">
        <f aca="false">IF(OR(Tasks[[#This Row],[Task Name]]="",Tasks[[#This Row],[Baseline Work]]=""),"",Tasks[[#This Row],[Work]]-N(Tasks[[#This Row],[Baseline Work]]))</f>
        <v/>
      </c>
      <c r="BM119" s="62" t="str">
        <f aca="false">IF(Tasks[[#This Row],[Task Name]]="","",IF(OR(TakeBaseline="Yes",N(Tasks[[#This Row],[Baseline Start]])=0),Tasks[[#This Row],[Start]],Tasks[[#This Row],[Baseline Start]]))</f>
        <v/>
      </c>
      <c r="BN119" s="62" t="str">
        <f aca="false">IF(Tasks[[#This Row],[Task Name]]="","",IF(OR(TakeBaseline="Yes",N(Tasks[[#This Row],[Baseline Finish]])=0),Tasks[[#This Row],[Finish]],Tasks[[#This Row],[Baseline Finish]]))</f>
        <v/>
      </c>
      <c r="BO119" s="21" t="str">
        <f aca="false">IF(Tasks[[#This Row],[Task Name]]="","",IF(OR(TakeBaseline="Yes",N(Tasks[[#This Row],[Baseline Duration]])=0),Tasks[[#This Row],[_SpanDays]],Tasks[[#This Row],[Baseline Duration]]))</f>
        <v/>
      </c>
      <c r="BP119" s="85" t="str">
        <f aca="false">IF(Tasks[[#This Row],[Task Name]]="","",IF(OR(TakeBaseline="Yes",N(Tasks[[#This Row],[Baseline Work]])=0),Tasks[[#This Row],[Work]],Tasks[[#This Row],[Baseline Work]]))</f>
        <v/>
      </c>
      <c r="BQ119" s="7"/>
      <c r="BR119" s="7"/>
      <c r="BS119" s="22"/>
      <c r="BT119" s="87"/>
      <c r="BU119" s="42" t="str">
        <f aca="false">IF(Tasks[[#This Row],[Task Name]]="","",MAX(1,N(Tasks[[#This Row],[Level]])))</f>
        <v/>
      </c>
      <c r="BV119" s="42" t="n">
        <f aca="false">ROW()-ROW(Tasks[[#Headers],[ID]])</f>
        <v>114</v>
      </c>
      <c r="BW119" s="42" t="n">
        <f aca="false">IF(OR(Tasks[[#This Row],[Task Name]]="",Tasks[[#This Row],[_Level]]&lt;=1),0,IFERROR(LOOKUP(2,1/(Tasks[[#Headers],[_Level]]:Tasks[[#This Row],[_Level]]=Tasks[[#This Row],[_Level]]-1),ROW(Tasks[[#Headers],[_Level]]:Tasks[[#This Row],[_Level]])),0))</f>
        <v>0</v>
      </c>
      <c r="BX119" s="42" t="n">
        <f aca="false">IFERROR(N(INDEX(Tasks[_Level],Tasks[[#This Row],[_Row]]+1)),0)</f>
        <v>0</v>
      </c>
      <c r="BY119" s="88" t="b">
        <f aca="false">AND(Tasks[[#This Row],[Task Name]]&lt;&gt;"",Tasks[[#This Row],[_NextLevel]]&gt;Tasks[[#This Row],[_Level]])</f>
        <v>0</v>
      </c>
      <c r="BZ119" s="42" t="n">
        <f aca="false">IF(Tasks[[#This Row],[_IsSummary]],COUNTIF(Tasks[WBS],Tasks[[#This Row],[WBS]]&amp;".*"),0)</f>
        <v>0</v>
      </c>
      <c r="CA119" s="42" t="n">
        <f aca="false">IF(AND(Tasks[[#This Row],[Task Name]]&lt;&gt;"",NOT(Tasks[[#This Row],[_IsSummary]])),1,0)</f>
        <v>0</v>
      </c>
      <c r="CB119" s="42" t="n">
        <f aca="false">IF(N(Tasks[[#This Row],[_Pred1UID]])=0,0,IFERROR(MATCH(Tasks[[#This Row],[_Pred1UID]],Tasks[UID],0),-1))</f>
        <v>0</v>
      </c>
      <c r="CC119" s="42" t="n">
        <f aca="false">IF(N(Tasks[[#This Row],[_Pred2UID]])=0,0,IFERROR(MATCH(Tasks[[#This Row],[_Pred2UID]],Tasks[UID],0),-1))</f>
        <v>0</v>
      </c>
      <c r="CD119" s="42" t="n">
        <f aca="false">IF(N(Tasks[[#This Row],[_Pred3UID]])=0,0,IFERROR(MATCH(Tasks[[#This Row],[_Pred3UID]],Tasks[UID],0),-1))</f>
        <v>0</v>
      </c>
      <c r="CE119" s="42" t="n">
        <f aca="false">IF(N(Tasks[[#This Row],[_Pred4UID]])=0,0,IFERROR(MATCH(Tasks[[#This Row],[_Pred4UID]],Tasks[UID],0),-1))</f>
        <v>0</v>
      </c>
      <c r="CF11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1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19" s="89" t="n">
        <f aca="false">IF(OR(Tasks[[#This Row],[_ConstraintCode]]=2,Tasks[[#This Row],[_ConstraintCode]]=3,Tasks[[#This Row],[_ConstraintCode]]=4,Tasks[[#This Row],[_ConstraintCode]]=6),Tasks[[#This Row],[_ConstraintStart]],0)</f>
        <v>0</v>
      </c>
      <c r="CI119" s="89" t="n">
        <f aca="false">IF(OR(Tasks[[#This Row],[_ConstraintCode]]=2,Tasks[[#This Row],[_ConstraintCode]]=3,Tasks[[#This Row],[_ConstraintCode]]=5,Tasks[[#This Row],[_ConstraintCode]]=7),Tasks[[#This Row],[_ConstraintStart]],2958465)</f>
        <v>2958465</v>
      </c>
      <c r="CJ11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19" s="89" t="str">
        <f aca="false">IF(NOT(Tasks[[#This Row],[_IsLeaf]]=1),"",IF(N(Tasks[[#This Row],[_Days]])&lt;=0,Tasks[[#This Row],[_LeafCalcStart]],WORKDAY.INTL(Tasks[[#This Row],[_LeafCalcStart]],Tasks[[#This Row],[_Days]]-1,WorkWeek,Holidays)))</f>
        <v/>
      </c>
      <c r="CL11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1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19" s="42" t="str">
        <f aca="false">IF(Tasks[[#This Row],[_Predecessors]]="","",TRIM(MID(SUBSTITUTE(SUBSTITUTE(SUBSTITUTE(UPPER(Tasks[[#This Row],[_Predecessors]]),";",",")," ",""),",",REPT(" ",99)),1,99)))</f>
        <v/>
      </c>
      <c r="CO119" s="42" t="str">
        <f aca="false">IF(Tasks[[#This Row],[_Pred1Text]]="","",IFERROR(VALUE(LEFT(Tasks[[#This Row],[_Pred1Text]],MIN(FIND("F",Tasks[[#This Row],[_Pred1Text]]&amp;"F"),FIND("S",Tasks[[#This Row],[_Pred1Text]]&amp;"S"),FIND("+",Tasks[[#This Row],[_Pred1Text]]&amp;"+"),FIND("-",Tasks[[#This Row],[_Pred1Text]]&amp;"-"))-1)),""))</f>
        <v/>
      </c>
      <c r="CP11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1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19" s="42" t="str">
        <f aca="false">IF(Tasks[[#This Row],[_Pred1Text]]="","",TRIM(MID(SUBSTITUTE(SUBSTITUTE(SUBSTITUTE(UPPER(Tasks[[#This Row],[_Predecessors]]),";",",")," ",""),",",REPT(" ",99)),100,99)))</f>
        <v/>
      </c>
      <c r="CS119" s="42" t="str">
        <f aca="false">IF(Tasks[[#This Row],[_Pred2Text]]="","",IFERROR(VALUE(LEFT(Tasks[[#This Row],[_Pred2Text]],MIN(FIND("F",Tasks[[#This Row],[_Pred2Text]]&amp;"F"),FIND("S",Tasks[[#This Row],[_Pred2Text]]&amp;"S"),FIND("+",Tasks[[#This Row],[_Pred2Text]]&amp;"+"),FIND("-",Tasks[[#This Row],[_Pred2Text]]&amp;"-"))-1)),""))</f>
        <v/>
      </c>
      <c r="CT11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1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19" s="42" t="str">
        <f aca="false">IF(Tasks[[#This Row],[_Pred2Text]]="","",TRIM(MID(SUBSTITUTE(SUBSTITUTE(SUBSTITUTE(UPPER(Tasks[[#This Row],[_Predecessors]]),";",",")," ",""),",",REPT(" ",99)),199,99)))</f>
        <v/>
      </c>
      <c r="CW119" s="42" t="str">
        <f aca="false">IF(Tasks[[#This Row],[_Pred3Text]]="","",IFERROR(VALUE(LEFT(Tasks[[#This Row],[_Pred3Text]],MIN(FIND("F",Tasks[[#This Row],[_Pred3Text]]&amp;"F"),FIND("S",Tasks[[#This Row],[_Pred3Text]]&amp;"S"),FIND("+",Tasks[[#This Row],[_Pred3Text]]&amp;"+"),FIND("-",Tasks[[#This Row],[_Pred3Text]]&amp;"-"))-1)),""))</f>
        <v/>
      </c>
      <c r="CX11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1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19" s="42" t="str">
        <f aca="false">IF(Tasks[[#This Row],[_Pred3Text]]="","",TRIM(MID(SUBSTITUTE(SUBSTITUTE(SUBSTITUTE(UPPER(Tasks[[#This Row],[_Predecessors]]),";",",")," ",""),",",REPT(" ",99)),298,99)))</f>
        <v/>
      </c>
      <c r="DA119" s="42" t="str">
        <f aca="false">IF(Tasks[[#This Row],[_Pred4Text]]="","",IFERROR(VALUE(LEFT(Tasks[[#This Row],[_Pred4Text]],MIN(FIND("F",Tasks[[#This Row],[_Pred4Text]]&amp;"F"),FIND("S",Tasks[[#This Row],[_Pred4Text]]&amp;"S"),FIND("+",Tasks[[#This Row],[_Pred4Text]]&amp;"+"),FIND("-",Tasks[[#This Row],[_Pred4Text]]&amp;"-"))-1)),""))</f>
        <v/>
      </c>
      <c r="DB11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1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19" s="42" t="str">
        <f aca="false">IF(OR(Tasks[[#This Row],[Task Name]]="",Tasks[[#This Row],[_Resources]]=""),"",TRIM(MID(SUBSTITUTE(Tasks[[#This Row],[_Resources]],",",REPT(" ",99)),1,99)))</f>
        <v/>
      </c>
      <c r="DE119" s="42" t="str">
        <f aca="false">IF(Tasks[[#This Row],[_Res1Text]]="","",TRIM(MID(SUBSTITUTE(Tasks[[#This Row],[_Resources]],",",REPT(" ",99)),100,99)))</f>
        <v/>
      </c>
      <c r="DF119" s="42" t="str">
        <f aca="false">IF(Tasks[[#This Row],[_Res2Text]]="","",TRIM(MID(SUBSTITUTE(Tasks[[#This Row],[_Resources]],",",REPT(" ",99)),199,99)))</f>
        <v/>
      </c>
      <c r="DG119" s="42" t="str">
        <f aca="false">IF(Tasks[[#This Row],[_Res3Text]]="","",TRIM(MID(SUBSTITUTE(Tasks[[#This Row],[_Resources]],",",REPT(" ",99)),298,99)))</f>
        <v/>
      </c>
      <c r="DH119" s="42" t="n">
        <f aca="false">IF(Tasks[[#This Row],[_Res1Text]]="",0,IFERROR(MATCH(TRIM(LEFT(Tasks[[#This Row],[_Res1Text]],FIND("[",Tasks[[#This Row],[_Res1Text]]&amp;"[")-1)),res_Name,0),IFERROR(MATCH(TRIM(LEFT(Tasks[[#This Row],[_Res1Text]],FIND("[",Tasks[[#This Row],[_Res1Text]]&amp;"[")-1)),res_Initials,0),0)))</f>
        <v>0</v>
      </c>
      <c r="DI119" s="42" t="n">
        <f aca="false">IF(Tasks[[#This Row],[_Res2Text]]="",0,IFERROR(MATCH(TRIM(LEFT(Tasks[[#This Row],[_Res2Text]],FIND("[",Tasks[[#This Row],[_Res2Text]]&amp;"[")-1)),res_Name,0),IFERROR(MATCH(TRIM(LEFT(Tasks[[#This Row],[_Res2Text]],FIND("[",Tasks[[#This Row],[_Res2Text]]&amp;"[")-1)),res_Initials,0),0)))</f>
        <v>0</v>
      </c>
      <c r="DJ119" s="42" t="n">
        <f aca="false">IF(Tasks[[#This Row],[_Res3Text]]="",0,IFERROR(MATCH(TRIM(LEFT(Tasks[[#This Row],[_Res3Text]],FIND("[",Tasks[[#This Row],[_Res3Text]]&amp;"[")-1)),res_Name,0),IFERROR(MATCH(TRIM(LEFT(Tasks[[#This Row],[_Res3Text]],FIND("[",Tasks[[#This Row],[_Res3Text]]&amp;"[")-1)),res_Initials,0),0)))</f>
        <v>0</v>
      </c>
      <c r="DK119" s="42" t="n">
        <f aca="false">IF(Tasks[[#This Row],[_Res4Text]]="",0,IFERROR(MATCH(TRIM(LEFT(Tasks[[#This Row],[_Res4Text]],FIND("[",Tasks[[#This Row],[_Res4Text]]&amp;"[")-1)),res_Name,0),IFERROR(MATCH(TRIM(LEFT(Tasks[[#This Row],[_Res4Text]],FIND("[",Tasks[[#This Row],[_Res4Text]]&amp;"[")-1)),res_Initials,0),0)))</f>
        <v>0</v>
      </c>
      <c r="DL119" s="42" t="str">
        <f aca="false">IF(Tasks[[#This Row],[_Res1Text]]="","",IF(Tasks[[#This Row],[_Res1Row]]&gt;0,INDEX(res_Name,Tasks[[#This Row],[_Res1Row]]),TRIM(LEFT(Tasks[[#This Row],[_Res1Text]],FIND("[",Tasks[[#This Row],[_Res1Text]]&amp;"[")-1))))</f>
        <v/>
      </c>
      <c r="DM11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19" s="42" t="n">
        <f aca="false">IF(NOT(Tasks[[#This Row],[_IsLeaf]]=1),0,(Tasks[[#This Row],[_Resource1]]&lt;&gt;"")+(Tasks[[#This Row],[_Res2]]&lt;&gt;"")+(Tasks[[#This Row],[_Res3]]&lt;&gt;"")+(Tasks[[#This Row],[_Res4]]&lt;&gt;""))</f>
        <v>0</v>
      </c>
      <c r="DO119" s="42" t="str">
        <f aca="false">IF(Tasks[[#This Row],[_Res2Text]]="","",IF(Tasks[[#This Row],[_Res2Row]]&gt;0,INDEX(res_Name,Tasks[[#This Row],[_Res2Row]]),TRIM(LEFT(Tasks[[#This Row],[_Res2Text]],FIND("[",Tasks[[#This Row],[_Res2Text]]&amp;"[")-1))))</f>
        <v/>
      </c>
      <c r="DP11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19" s="42" t="n">
        <f aca="false">IF(OR(NOT(Tasks[[#This Row],[_IsLeaf]]=1),Tasks[[#This Row],[_Res2Row]]=0),0,N(Tasks[[#This Row],[_Days]])*HoursPerDay*IF(Tasks[[#This Row],[_Res2Units]]="",DefaultUnits,Tasks[[#This Row],[_Res2Units]]))</f>
        <v>0</v>
      </c>
      <c r="DR119" s="42" t="n">
        <f aca="false">IF(AND(AND(Tasks[[#This Row],[_IsLeaf]]=1,Tasks[[#This Row],[_LeafTotalWork]]&gt;0),Tasks[[#This Row],[_Res2Work]]&gt;0),Tasks[[#This Row],[_Res2Work]]/(Tasks[[#This Row],[_FinishWorkday]]-Tasks[[#This Row],[_StartWorkday]]+1),0)</f>
        <v>0</v>
      </c>
      <c r="DS119" s="42" t="n">
        <f aca="false">Tasks[[#This Row],[_Res2WorkPerWD]]*MAX(0,Tasks[[#This Row],[_StartWorkday]]-1)</f>
        <v>0</v>
      </c>
      <c r="DT119" s="42" t="n">
        <f aca="false">Tasks[[#This Row],[_Res2Work]]*Tasks[[#This Row],[_LeafProgress]]</f>
        <v>0</v>
      </c>
      <c r="DU119" s="42" t="str">
        <f aca="false">IF(Tasks[[#This Row],[_Res3Text]]="","",IF(Tasks[[#This Row],[_Res3Row]]&gt;0,INDEX(res_Name,Tasks[[#This Row],[_Res3Row]]),TRIM(LEFT(Tasks[[#This Row],[_Res3Text]],FIND("[",Tasks[[#This Row],[_Res3Text]]&amp;"[")-1))))</f>
        <v/>
      </c>
      <c r="DV11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19" s="42" t="n">
        <f aca="false">IF(OR(NOT(Tasks[[#This Row],[_IsLeaf]]=1),Tasks[[#This Row],[_Res3Row]]=0),0,N(Tasks[[#This Row],[_Days]])*HoursPerDay*IF(Tasks[[#This Row],[_Res3Units]]="",DefaultUnits,Tasks[[#This Row],[_Res3Units]]))</f>
        <v>0</v>
      </c>
      <c r="DX119" s="42" t="n">
        <f aca="false">IF(AND(AND(Tasks[[#This Row],[_IsLeaf]]=1,Tasks[[#This Row],[_LeafTotalWork]]&gt;0),Tasks[[#This Row],[_Res3Work]]&gt;0),Tasks[[#This Row],[_Res3Work]]/(Tasks[[#This Row],[_FinishWorkday]]-Tasks[[#This Row],[_StartWorkday]]+1),0)</f>
        <v>0</v>
      </c>
      <c r="DY119" s="42" t="n">
        <f aca="false">Tasks[[#This Row],[_Res3WorkPerWD]]*MAX(0,Tasks[[#This Row],[_StartWorkday]]-1)</f>
        <v>0</v>
      </c>
      <c r="DZ119" s="42" t="n">
        <f aca="false">Tasks[[#This Row],[_Res3Work]]*Tasks[[#This Row],[_LeafProgress]]</f>
        <v>0</v>
      </c>
      <c r="EA119" s="42" t="str">
        <f aca="false">IF(Tasks[[#This Row],[_Res4Text]]="","",IF(Tasks[[#This Row],[_Res4Row]]&gt;0,INDEX(res_Name,Tasks[[#This Row],[_Res4Row]]),TRIM(LEFT(Tasks[[#This Row],[_Res4Text]],FIND("[",Tasks[[#This Row],[_Res4Text]]&amp;"[")-1))))</f>
        <v/>
      </c>
      <c r="EB11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19" s="42" t="n">
        <f aca="false">IF(OR(NOT(Tasks[[#This Row],[_IsLeaf]]=1),Tasks[[#This Row],[_Res4Row]]=0),0,N(Tasks[[#This Row],[_Days]])*HoursPerDay*IF(Tasks[[#This Row],[_Res4Units]]="",DefaultUnits,Tasks[[#This Row],[_Res4Units]]))</f>
        <v>0</v>
      </c>
      <c r="ED119" s="42" t="n">
        <f aca="false">IF(AND(AND(Tasks[[#This Row],[_IsLeaf]]=1,Tasks[[#This Row],[_LeafTotalWork]]&gt;0),Tasks[[#This Row],[_Res4Work]]&gt;0),Tasks[[#This Row],[_Res4Work]]/(Tasks[[#This Row],[_FinishWorkday]]-Tasks[[#This Row],[_StartWorkday]]+1),0)</f>
        <v>0</v>
      </c>
      <c r="EE119" s="42" t="n">
        <f aca="false">Tasks[[#This Row],[_Res4WorkPerWD]]*MAX(0,Tasks[[#This Row],[_StartWorkday]]-1)</f>
        <v>0</v>
      </c>
      <c r="EF119" s="42" t="n">
        <f aca="false">Tasks[[#This Row],[_Res4Work]]*Tasks[[#This Row],[_LeafProgress]]</f>
        <v>0</v>
      </c>
      <c r="EG119" s="42" t="n">
        <f aca="false">IF(ISNUMBER(Tasks[[#This Row],[% Complete]]),Tasks[[#This Row],[% Complete]],IF(Tasks[[#This Row],[Stage]]="",0,IFERROR(INDEX(stg_Pct,MATCH(Tasks[[#This Row],[Stage]],stg_Name,0)),0)))</f>
        <v>0</v>
      </c>
      <c r="EH119" s="42" t="n">
        <f aca="false">IF(NOT(Tasks[[#This Row],[_IsLeaf]]=1),0,IF(N(Tasks[[#This Row],[Actual Finish]])&gt;0,1,MIN(1,Tasks[[#This Row],[_Pct]])))</f>
        <v>0</v>
      </c>
      <c r="EI119" s="42" t="n">
        <f aca="false">IF(OR(NOT(Tasks[[#This Row],[_IsLeaf]]=1),Tasks[[#This Row],[_Res1Row]]=0),0,N(Tasks[[#This Row],[_Days]])*HoursPerDay*IF(Tasks[[#This Row],[_Units1]]="",DefaultUnits,Tasks[[#This Row],[_Units1]]))</f>
        <v>0</v>
      </c>
      <c r="EJ119" s="42" t="n">
        <f aca="false">Tasks[[#This Row],[_LeafWork]]+Tasks[[#This Row],[_Res2Work]]+Tasks[[#This Row],[_Res3Work]]+Tasks[[#This Row],[_Res4Work]]</f>
        <v>0</v>
      </c>
      <c r="EK11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1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1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1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1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1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1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1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19" s="42" t="n">
        <f aca="false">IF(NOT(Tasks[[#This Row],[_IsLeaf]]=1),0,MAX(_xlfn.MAXIFS(Tasks[_Row],Tasks[_Pred1UID],Tasks[[#This Row],[UID]]),_xlfn.MAXIFS(Tasks[_Row],Tasks[_Pred2UID],Tasks[[#This Row],[UID]]),_xlfn.MAXIFS(Tasks[_Row],Tasks[_Pred3UID],Tasks[[#This Row],[UID]]),_xlfn.MAXIFS(Tasks[_Row],Tasks[_Pred4UID],Tasks[[#This Row],[UID]])))</f>
        <v>0</v>
      </c>
      <c r="ET11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1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19" s="89" t="str">
        <f aca="false">IF(NOT(Tasks[[#This Row],[_IsLeaf]]=1),"",IF(N(Tasks[[#This Row],[_Days]])&lt;=0,Tasks[[#This Row],[_LeafLateFinish]],WORKDAY.INTL(Tasks[[#This Row],[_LeafLateFinish]],-(Tasks[[#This Row],[_Days]]-1),WorkWeek,Holidays)))</f>
        <v/>
      </c>
      <c r="EW11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19" s="88" t="b">
        <f aca="false">AND(Tasks[[#This Row],[_IsLeaf]]=1,Tasks[[#This Row],[_LeafProgress]]&lt;1,N(Tasks[[#This Row],[_LeafTotalSlack]])&lt;=CriticalSlackDays)</f>
        <v>0</v>
      </c>
      <c r="EY119" s="42" t="n">
        <f aca="false">IF(AND(Tasks[[#This Row],[_IsLeaf]]=1,Tasks[[#This Row],[_ConstraintCode]]=1,Tasks[[#This Row],[Mode]]&lt;&gt;"Manual",N(Tasks[[#This Row],[Actual Start]])=0),MAX(0,N(Tasks[[#This Row],[Free Slack]])),0)</f>
        <v>0</v>
      </c>
      <c r="EZ119" s="89" t="str">
        <f aca="false">IF(NOT(Tasks[[#This Row],[_IsLeaf]]=1),"",IF(Tasks[[#This Row],[_AlapShift]]=0,Tasks[[#This Row],[_LeafCalcStart]],WORKDAY.INTL(Tasks[[#This Row],[_LeafCalcStart]],Tasks[[#This Row],[_AlapShift]],WorkWeek,Holidays)))</f>
        <v/>
      </c>
      <c r="FA119" s="89" t="str">
        <f aca="false">IF(NOT(Tasks[[#This Row],[_IsLeaf]]=1),"",IF(Tasks[[#This Row],[_AlapShift]]=0,Tasks[[#This Row],[_LeafCalcFinish]],WORKDAY.INTL(Tasks[[#This Row],[_LeafCalcFinish]],Tasks[[#This Row],[_AlapShift]],WorkWeek,Holidays)))</f>
        <v/>
      </c>
      <c r="FB119" s="89" t="str">
        <f aca="false">IF(NOT(Tasks[[#This Row],[_IsLeaf]]=1),"",IF(Tasks[[#This Row],[_AlapShift]]=0,Tasks[[#This Row],[_LeafFcstStart]],WORKDAY.INTL(Tasks[[#This Row],[_LeafFcstStart]],Tasks[[#This Row],[_AlapShift]],WorkWeek,Holidays)))</f>
        <v/>
      </c>
      <c r="FC119" s="89" t="str">
        <f aca="false">IF(NOT(Tasks[[#This Row],[_IsLeaf]]=1),"",IF(Tasks[[#This Row],[_AlapShift]]=0,Tasks[[#This Row],[_LeafFcstFinish]],WORKDAY.INTL(Tasks[[#This Row],[_LeafFcstFinish]],Tasks[[#This Row],[_AlapShift]],WorkWeek,Holidays)))</f>
        <v/>
      </c>
      <c r="FD119" s="89" t="str">
        <f aca="false">IF(Tasks[[#This Row],[Task Name]]="","",IF(Tasks[[#This Row],[_IsSummary]],MIN(INDEX(Tasks[_ShownCalcStart],Tasks[[#This Row],[_Row]]+1):INDEX(Tasks[_ShownCalcStart],Tasks[[#This Row],[_Row]]+Tasks[[#This Row],[_Descendants]])),Tasks[[#This Row],[_ShownCalcStart]]))</f>
        <v/>
      </c>
      <c r="FE119" s="89" t="str">
        <f aca="false">IF(Tasks[[#This Row],[Task Name]]="","",IF(Tasks[[#This Row],[_IsSummary]],MAX(INDEX(Tasks[_ShownCalcFinish],Tasks[[#This Row],[_Row]]+1):INDEX(Tasks[_ShownCalcFinish],Tasks[[#This Row],[_Row]]+Tasks[[#This Row],[_Descendants]])),Tasks[[#This Row],[_ShownCalcFinish]]))</f>
        <v/>
      </c>
      <c r="FF11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1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1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1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1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1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1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1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1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1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1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1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19" s="42" t="n">
        <f aca="false">IF(AND(Tasks[[#This Row],[_IsLeaf]]=1,Tasks[[#This Row],[_LeafTotalWork]]&gt;0),NETWORKDAYS.INTL(ProjectStart,Tasks[[#This Row],[_ShownFcstStart]],WorkWeek,Holidays),0)</f>
        <v>0</v>
      </c>
      <c r="FS119" s="42" t="n">
        <f aca="false">IF(AND(Tasks[[#This Row],[_IsLeaf]]=1,Tasks[[#This Row],[_LeafTotalWork]]&gt;0),MAX(Tasks[[#This Row],[_StartWorkday]],NETWORKDAYS.INTL(ProjectStart,Tasks[[#This Row],[_ShownFcstFinish]],WorkWeek,Holidays)),0)</f>
        <v>0</v>
      </c>
      <c r="FT119" s="42" t="n">
        <f aca="false">IF(AND(Tasks[[#This Row],[_IsLeaf]]=1,Tasks[[#This Row],[_LeafTotalWork]]&gt;0),Tasks[[#This Row],[_LeafWork]]/(Tasks[[#This Row],[_FinishWorkday]]-Tasks[[#This Row],[_StartWorkday]]+1),0)</f>
        <v>0</v>
      </c>
      <c r="FU119" s="42" t="n">
        <f aca="false">Tasks[[#This Row],[_WorkPerWorkday]]*(Tasks[[#This Row],[_StartWorkday]]-1)</f>
        <v>-0</v>
      </c>
      <c r="FV119" s="42" t="n">
        <f aca="false">IF(Tasks[[#This Row],[_IsLeaf]]=1,MAX(N(Tasks[[#This Row],[_Days]]),0.1),0)</f>
        <v>0</v>
      </c>
      <c r="FW119" s="42" t="n">
        <f aca="false">Tasks[[#This Row],[_WeightDur]]*Tasks[[#This Row],[_LeafProgress]]</f>
        <v>0</v>
      </c>
      <c r="FX119" s="42" t="n">
        <f aca="false">Tasks[[#This Row],[_WeightDur]]*Tasks[[#This Row],[_PlannedPct]]</f>
        <v>0</v>
      </c>
      <c r="FY11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19" s="42" t="str">
        <f aca="false">IF(AND(Tasks[[#This Row],[_IsLeaf]]=1,N(Tasks[[#This Row],[_Days]])=0,Tasks[[#This Row],[_LeafProgress]]&lt;1),Tasks[[#This Row],[_ShownFcstFinish]]+Tasks[[#This Row],[_Row]]/100000,"")</f>
        <v/>
      </c>
      <c r="GA11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19" s="42" t="str">
        <f aca="false">IF(Tasks[[#This Row],[Task Name]]="","",LEFT(Tasks[[#This Row],[WBS]],FIND(".",Tasks[[#This Row],[WBS]]&amp;".")-1))</f>
        <v/>
      </c>
      <c r="GC119" s="42" t="str">
        <f aca="false">IF(AND(Tasks[[#This Row],[Task Name]]&lt;&gt;"",Tasks[[#This Row],[_Level]]=1),Tasks[[#This Row],[_Row]],"")</f>
        <v/>
      </c>
      <c r="GD119" s="42" t="str">
        <f aca="false">IF(AND(Tasks[[#This Row],[_IsLeaf]]=1,N(Tasks[[#This Row],[_Days]])=0),Tasks[[#This Row],[Planned Finish]]+Tasks[[#This Row],[_Row]]/100000,"")</f>
        <v/>
      </c>
      <c r="GE119" s="42" t="str">
        <f aca="false">IF(AND(Tasks[[#This Row],[_IsLeaf]]=1,Tasks[[#This Row],[_LeafProgress]]&lt;1,OR(N(Tasks[[#This Row],[Finish Var]])&gt;0,Tasks[[#This Row],[Status]]="Late Start")),MAX(0,Tasks[[#This Row],[Finish Var]])+1-Tasks[[#This Row],[_Row]]/1000000,"")</f>
        <v/>
      </c>
      <c r="GF119" s="42" t="str">
        <f aca="false">IF(AND(Tasks[[#This Row],[_IsLeaf]]=1,N(Tasks[[#This Row],[Actual Start]])=0,Tasks[[#This Row],[_ShownFcstStart]]&gt;=StatusDate,Tasks[[#This Row],[_ShownFcstStart]]&lt;=LookaheadEnd),Tasks[[#This Row],[_ShownFcstStart]]+Tasks[[#This Row],[_Row]]/100000,"")</f>
        <v/>
      </c>
      <c r="GG119" s="42" t="str">
        <f aca="false">IF(AND(Tasks[[#This Row],[_IsLeaf]]=1,Tasks[[#This Row],[_LeafProgress]]&lt;1,Tasks[[#This Row],[_ShownFcstFinish]]&gt;=StatusDate,Tasks[[#This Row],[_ShownFcstFinish]]&lt;=LookaheadEnd),Tasks[[#This Row],[_ShownFcstFinish]]+Tasks[[#This Row],[_Row]]/100000,"")</f>
        <v/>
      </c>
      <c r="GH119" s="42" t="str">
        <f aca="false">IF(Tasks[[#This Row],[_LeafCritical]],Tasks[[#This Row],[_ShownFcstStart]]+Tasks[[#This Row],[_Row]]/100000,"")</f>
        <v/>
      </c>
      <c r="GI119" s="42" t="n">
        <f aca="false">Tasks[[#This Row],[_LeafWork]]*Tasks[[#This Row],[_LeafProgress]]</f>
        <v>0</v>
      </c>
      <c r="GJ119" s="89" t="str">
        <f aca="false">IF(AND(Tasks[[#This Row],[_IsLeaf]]=1,Tasks[[#This Row],[_LeafProgress]]&gt;=1),IF(N(Tasks[[#This Row],[Actual Finish]])&gt;0,Tasks[[#This Row],[Actual Finish]],Tasks[[#This Row],[_ShownFcstFinish]]),"")</f>
        <v/>
      </c>
      <c r="GK119" s="42" t="n">
        <f aca="false">IF(Tasks[[#This Row],[_IsLeaf]]=1,N(Tasks[[#This Row],[Story Points]]),0)</f>
        <v>0</v>
      </c>
      <c r="GL119" s="42" t="str">
        <f aca="false">""</f>
        <v/>
      </c>
      <c r="GM119" s="88" t="b">
        <f aca="false">IF(Tasks[[#This Row],[Task Name]]="",FALSE(),AND(Tasks[[#This Row],[_IsLeaf]]=1,N(Tasks[[#This Row],[_Days]])=0))</f>
        <v>0</v>
      </c>
      <c r="GN119" s="89" t="n">
        <f aca="false">IF(Tasks[[#This Row],[Task Name]]="",0,IF(AND(Tasks[[#This Row],[_IsLeaf]]=1,NOT(Tasks[[#This Row],[_IsMilestone]]),N(Tasks[[#This Row],[Progress]])&gt;0),Tasks[[#This Row],[Start]],0))</f>
        <v>0</v>
      </c>
      <c r="GO119" s="89" t="n">
        <f aca="false">IF(Tasks[[#This Row],[_DoneFrom]]=0,0,IF(Tasks[[#This Row],[Progress]]&gt;=1,Tasks[[#This Row],[Finish]],MAX(Tasks[[#This Row],[_DoneFrom]],Tasks[[#This Row],[Start]]+ROUND((Tasks[[#This Row],[Finish]]-Tasks[[#This Row],[Start]]+1)*Tasks[[#This Row],[Progress]],0)-1)))</f>
        <v>0</v>
      </c>
      <c r="GP119" s="89" t="n">
        <f aca="false">IF(Tasks[[#This Row],[Task Name]]="",0,IF(OR(NOT(Tasks[[#This Row],[_IsLeaf]]=1),Tasks[[#This Row],[_IsMilestone]],N(Tasks[[#This Row],[Progress]])&gt;=1),0,IF(Tasks[[#This Row],[_DoneTo]]&gt;0,Tasks[[#This Row],[_DoneTo]]+1,Tasks[[#This Row],[Start]])))</f>
        <v>0</v>
      </c>
      <c r="GQ119" s="89" t="n">
        <f aca="false">IF(Tasks[[#This Row],[_RemFrom]]=0,0,Tasks[[#This Row],[Finish]])</f>
        <v>0</v>
      </c>
      <c r="GR119" s="88" t="b">
        <f aca="false">IF(Tasks[[#This Row],[Task Name]]="",FALSE(),OR(NOT(BaselineSet),N(Tasks[[#This Row],[Baseline Start]])&gt;0))</f>
        <v>0</v>
      </c>
      <c r="GS11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1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1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19" s="90" t="str">
        <f aca="false">IF(Tasks[[#This Row],[_IsLeaf]]=1,Tasks[[#This Row],[_Row]],"")</f>
        <v/>
      </c>
      <c r="GW119" s="90" t="str">
        <f aca="false">IFERROR(INDEX(Tasks[UID],SMALL(Tasks[_PickKey],Tasks[[#This Row],[_Row]]))&amp;" "&amp;INDEX(Tasks[Task Name],SMALL(Tasks[_PickKey],Tasks[[#This Row],[_Row]])),"")</f>
        <v/>
      </c>
      <c r="GX119" s="42" t="str">
        <f aca="false">IF(Tasks[[#This Row],[Task Name]]="","",IF(Tasks[[#This Row],[_IsSummary]],NETWORKDAYS.INTL(Tasks[[#This Row],[Start]],Tasks[[#This Row],[Finish]],WorkWeek,Holidays),N(Tasks[[#This Row],[_Days]])))</f>
        <v/>
      </c>
    </row>
    <row r="120" customFormat="false" ht="15" hidden="false" customHeight="false" outlineLevel="0" collapsed="false">
      <c r="A120" s="21" t="str">
        <f aca="false">IF(Tasks[[#This Row],[Task Name]]="","",COUNTA(Tasks[[#Headers],[Task Name]]:Tasks[[#This Row],[Task Name]])-1)</f>
        <v/>
      </c>
      <c r="B120" s="22" t="n">
        <v>128</v>
      </c>
      <c r="C120" s="22"/>
      <c r="D120" s="23"/>
      <c r="E120" s="22"/>
      <c r="F120" s="23"/>
      <c r="G120" s="22"/>
      <c r="H120" s="22"/>
      <c r="I120" s="23"/>
      <c r="J120" s="22"/>
      <c r="K120" s="22"/>
      <c r="L120" s="23"/>
      <c r="M120" s="22"/>
      <c r="N120" s="22"/>
      <c r="O120" s="23"/>
      <c r="P120" s="22"/>
      <c r="Q120" s="22"/>
      <c r="R120" s="23"/>
      <c r="S120" s="23"/>
      <c r="T120" s="83"/>
      <c r="U120" s="23"/>
      <c r="V120" s="83"/>
      <c r="W120" s="23"/>
      <c r="X120" s="83"/>
      <c r="Y120" s="23"/>
      <c r="Z120" s="83"/>
      <c r="AA120" s="23"/>
      <c r="AB120" s="23"/>
      <c r="AC120" s="7"/>
      <c r="AD120" s="7"/>
      <c r="AE120" s="62" t="str">
        <f aca="false">IF(Tasks[[#This Row],[Task Name]]="","",IF(Tasks[[#This Row],[_IsSummary]],MIN(INDEX(Tasks[_ShownFcstStart],Tasks[[#This Row],[_Row]]+1):INDEX(Tasks[_ShownFcstStart],Tasks[[#This Row],[_Row]]+Tasks[[#This Row],[_Descendants]])),Tasks[[#This Row],[_ShownFcstStart]]))</f>
        <v/>
      </c>
      <c r="AF120" s="62" t="str">
        <f aca="false">IF(Tasks[[#This Row],[Task Name]]="","",IF(Tasks[[#This Row],[_IsSummary]],MAX(INDEX(Tasks[_ShownFcstFinish],Tasks[[#This Row],[_Row]]+1):INDEX(Tasks[_ShownFcstFinish],Tasks[[#This Row],[_Row]]+Tasks[[#This Row],[_Descendants]])),Tasks[[#This Row],[_ShownFcstFinish]]))</f>
        <v/>
      </c>
      <c r="AG120" s="21" t="str">
        <f aca="false">""</f>
        <v/>
      </c>
      <c r="AH120" s="23"/>
      <c r="AI12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0" s="7"/>
      <c r="AK120" s="22"/>
      <c r="AL120" s="23"/>
      <c r="AM120" s="7"/>
      <c r="AN120" s="46" t="str">
        <f aca="false">IF(Tasks[[#This Row],[Task Name]]="","",IF(Tasks[[#This Row],[Finish]]&gt;=Tasks[[#This Row],[Planned Finish]],NETWORKDAYS.INTL(Tasks[[#This Row],[Planned Finish]],Tasks[[#This Row],[Finish]],WorkWeek,Holidays)-1,1-NETWORKDAYS.INTL(Tasks[[#This Row],[Finish]],Tasks[[#This Row],[Planned Finish]],WorkWeek,Holidays)))</f>
        <v/>
      </c>
      <c r="AO120" s="21" t="str">
        <f aca="false">IF(Tasks[[#This Row],[Task Name]]="","",IF(Tasks[[#This Row],[Progress]]&gt;=1,"Complete",IF(OR(N(Tasks[[#This Row],[Actual Start]])&gt;0,Tasks[[#This Row],[Progress]]&gt;0),IF(Tasks[[#This Row],[Finish Var]]&gt;0,"Behind","In Progress"),IF(Tasks[[#This Row],[Planned Start]]&lt;StatusDate,"Late Start","Not Started"))))</f>
        <v/>
      </c>
      <c r="AP120" s="21" t="str">
        <f aca="false">IF(Tasks[[#This Row],[Task Name]]="","",IF(IF(Tasks[[#This Row],[_IsSummary]],COUNTIF(INDEX(Tasks[_LeafCritical],Tasks[[#This Row],[_Row]]+1):INDEX(Tasks[_LeafCritical],Tasks[[#This Row],[_Row]]+Tasks[[#This Row],[_Descendants]]),TRUE())&gt;0,Tasks[[#This Row],[_LeafCritical]]),"Yes",""))</f>
        <v/>
      </c>
      <c r="AQ120" s="62" t="str">
        <f aca="false">IF(Tasks[[#This Row],[Task Name]]="","",IF(N(Tasks[[#This Row],[Baseline Start]])&gt;0,Tasks[[#This Row],[Baseline Start]],Tasks[[#This Row],[_CalcStart]]))</f>
        <v/>
      </c>
      <c r="AR120" s="62" t="str">
        <f aca="false">IF(Tasks[[#This Row],[Task Name]]="","",IF(N(Tasks[[#This Row],[Baseline Finish]])&gt;0,Tasks[[#This Row],[Baseline Finish]],Tasks[[#This Row],[_CalcFinish]]))</f>
        <v/>
      </c>
      <c r="AS120" s="46" t="str">
        <f aca="false">IF(Tasks[[#This Row],[Task Name]]="","",IF(Tasks[[#This Row],[Start]]&gt;=Tasks[[#This Row],[Planned Start]],NETWORKDAYS.INTL(Tasks[[#This Row],[Planned Start]],Tasks[[#This Row],[Start]],WorkWeek,Holidays)-1,1-NETWORKDAYS.INTL(Tasks[[#This Row],[Start]],Tasks[[#This Row],[Planned Start]],WorkWeek,Holidays)))</f>
        <v/>
      </c>
      <c r="AT120" s="62" t="str">
        <f aca="false">IF(Tasks[[#This Row],[Task Name]]="","",IF(Tasks[[#This Row],[_IsSummary]],MIN(INDEX(Tasks[_LeafLateStart],Tasks[[#This Row],[_Row]]+1):INDEX(Tasks[_LeafLateStart],Tasks[[#This Row],[_Row]]+Tasks[[#This Row],[_Descendants]])),Tasks[[#This Row],[_LeafLateStart]]))</f>
        <v/>
      </c>
      <c r="AU120" s="62" t="str">
        <f aca="false">IF(Tasks[[#This Row],[Task Name]]="","",IF(Tasks[[#This Row],[_IsSummary]],MAX(INDEX(Tasks[_LeafLateFinish],Tasks[[#This Row],[_Row]]+1):INDEX(Tasks[_LeafLateFinish],Tasks[[#This Row],[_Row]]+Tasks[[#This Row],[_Descendants]])),Tasks[[#This Row],[_LeafLateFinish]]))</f>
        <v/>
      </c>
      <c r="AV120" s="46" t="str">
        <f aca="false">IF(Tasks[[#This Row],[Task Name]]="","",IF(Tasks[[#This Row],[_IsSummary]],MIN(INDEX(Tasks[_LeafTotalSlack],Tasks[[#This Row],[_Row]]+1):INDEX(Tasks[_LeafTotalSlack],Tasks[[#This Row],[_Row]]+Tasks[[#This Row],[_Descendants]])),Tasks[[#This Row],[_LeafTotalSlack]]))</f>
        <v/>
      </c>
      <c r="AW12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4"/>
      <c r="BA12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t="str">
        <f aca="false">IF(Tasks[[#This Row],[Task Name]]="","",IF(Tasks[[#This Row],[_Level]]&lt;=OutlineShowLevel,"Yes","No"))</f>
        <v/>
      </c>
      <c r="BE120" s="85" t="str">
        <f aca="false">IF(Tasks[[#This Row],[Task Name]]="","",IF(Tasks[[#This Row],[_IsSummary]],SUM(INDEX(Tasks[_LeafTotalWork],Tasks[[#This Row],[_Row]]+1):INDEX(Tasks[_LeafTotalWork],Tasks[[#This Row],[_Row]]+Tasks[[#This Row],[_Descendants]])),Tasks[[#This Row],[_LeafTotalWork]]))</f>
        <v/>
      </c>
      <c r="BF120" s="23"/>
      <c r="BG12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t="str">
        <f aca="false">""</f>
        <v/>
      </c>
      <c r="BI120" s="86"/>
      <c r="BJ120" s="22"/>
      <c r="BK120" s="46" t="str">
        <f aca="false">IF(OR(Tasks[[#This Row],[Task Name]]="",Tasks[[#This Row],[Baseline Duration]]=""),"",Tasks[[#This Row],[_SpanDays]]-N(Tasks[[#This Row],[Baseline Duration]]))</f>
        <v/>
      </c>
      <c r="BL120" s="85" t="str">
        <f aca="false">IF(OR(Tasks[[#This Row],[Task Name]]="",Tasks[[#This Row],[Baseline Work]]=""),"",Tasks[[#This Row],[Work]]-N(Tasks[[#This Row],[Baseline Work]]))</f>
        <v/>
      </c>
      <c r="BM120" s="62" t="str">
        <f aca="false">IF(Tasks[[#This Row],[Task Name]]="","",IF(OR(TakeBaseline="Yes",N(Tasks[[#This Row],[Baseline Start]])=0),Tasks[[#This Row],[Start]],Tasks[[#This Row],[Baseline Start]]))</f>
        <v/>
      </c>
      <c r="BN120" s="62" t="str">
        <f aca="false">IF(Tasks[[#This Row],[Task Name]]="","",IF(OR(TakeBaseline="Yes",N(Tasks[[#This Row],[Baseline Finish]])=0),Tasks[[#This Row],[Finish]],Tasks[[#This Row],[Baseline Finish]]))</f>
        <v/>
      </c>
      <c r="BO120" s="21" t="str">
        <f aca="false">IF(Tasks[[#This Row],[Task Name]]="","",IF(OR(TakeBaseline="Yes",N(Tasks[[#This Row],[Baseline Duration]])=0),Tasks[[#This Row],[_SpanDays]],Tasks[[#This Row],[Baseline Duration]]))</f>
        <v/>
      </c>
      <c r="BP120" s="85" t="str">
        <f aca="false">IF(Tasks[[#This Row],[Task Name]]="","",IF(OR(TakeBaseline="Yes",N(Tasks[[#This Row],[Baseline Work]])=0),Tasks[[#This Row],[Work]],Tasks[[#This Row],[Baseline Work]]))</f>
        <v/>
      </c>
      <c r="BQ120" s="7"/>
      <c r="BR120" s="7"/>
      <c r="BS120" s="22"/>
      <c r="BT120" s="87"/>
      <c r="BU120" s="42" t="str">
        <f aca="false">IF(Tasks[[#This Row],[Task Name]]="","",MAX(1,N(Tasks[[#This Row],[Level]])))</f>
        <v/>
      </c>
      <c r="BV120" s="42" t="n">
        <f aca="false">ROW()-ROW(Tasks[[#Headers],[ID]])</f>
        <v>115</v>
      </c>
      <c r="BW120" s="42" t="n">
        <f aca="false">IF(OR(Tasks[[#This Row],[Task Name]]="",Tasks[[#This Row],[_Level]]&lt;=1),0,IFERROR(LOOKUP(2,1/(Tasks[[#Headers],[_Level]]:Tasks[[#This Row],[_Level]]=Tasks[[#This Row],[_Level]]-1),ROW(Tasks[[#Headers],[_Level]]:Tasks[[#This Row],[_Level]])),0))</f>
        <v>0</v>
      </c>
      <c r="BX120" s="42" t="n">
        <f aca="false">IFERROR(N(INDEX(Tasks[_Level],Tasks[[#This Row],[_Row]]+1)),0)</f>
        <v>0</v>
      </c>
      <c r="BY120" s="88" t="b">
        <f aca="false">AND(Tasks[[#This Row],[Task Name]]&lt;&gt;"",Tasks[[#This Row],[_NextLevel]]&gt;Tasks[[#This Row],[_Level]])</f>
        <v>0</v>
      </c>
      <c r="BZ120" s="42" t="n">
        <f aca="false">IF(Tasks[[#This Row],[_IsSummary]],COUNTIF(Tasks[WBS],Tasks[[#This Row],[WBS]]&amp;".*"),0)</f>
        <v>0</v>
      </c>
      <c r="CA120" s="42" t="n">
        <f aca="false">IF(AND(Tasks[[#This Row],[Task Name]]&lt;&gt;"",NOT(Tasks[[#This Row],[_IsSummary]])),1,0)</f>
        <v>0</v>
      </c>
      <c r="CB120" s="42" t="n">
        <f aca="false">IF(N(Tasks[[#This Row],[_Pred1UID]])=0,0,IFERROR(MATCH(Tasks[[#This Row],[_Pred1UID]],Tasks[UID],0),-1))</f>
        <v>0</v>
      </c>
      <c r="CC120" s="42" t="n">
        <f aca="false">IF(N(Tasks[[#This Row],[_Pred2UID]])=0,0,IFERROR(MATCH(Tasks[[#This Row],[_Pred2UID]],Tasks[UID],0),-1))</f>
        <v>0</v>
      </c>
      <c r="CD120" s="42" t="n">
        <f aca="false">IF(N(Tasks[[#This Row],[_Pred3UID]])=0,0,IFERROR(MATCH(Tasks[[#This Row],[_Pred3UID]],Tasks[UID],0),-1))</f>
        <v>0</v>
      </c>
      <c r="CE120" s="42" t="n">
        <f aca="false">IF(N(Tasks[[#This Row],[_Pred4UID]])=0,0,IFERROR(MATCH(Tasks[[#This Row],[_Pred4UID]],Tasks[UID],0),-1))</f>
        <v>0</v>
      </c>
      <c r="CF12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0" s="89" t="n">
        <f aca="false">IF(OR(Tasks[[#This Row],[_ConstraintCode]]=2,Tasks[[#This Row],[_ConstraintCode]]=3,Tasks[[#This Row],[_ConstraintCode]]=4,Tasks[[#This Row],[_ConstraintCode]]=6),Tasks[[#This Row],[_ConstraintStart]],0)</f>
        <v>0</v>
      </c>
      <c r="CI120" s="89" t="n">
        <f aca="false">IF(OR(Tasks[[#This Row],[_ConstraintCode]]=2,Tasks[[#This Row],[_ConstraintCode]]=3,Tasks[[#This Row],[_ConstraintCode]]=5,Tasks[[#This Row],[_ConstraintCode]]=7),Tasks[[#This Row],[_ConstraintStart]],2958465)</f>
        <v>2958465</v>
      </c>
      <c r="CJ12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0" s="89" t="str">
        <f aca="false">IF(NOT(Tasks[[#This Row],[_IsLeaf]]=1),"",IF(N(Tasks[[#This Row],[_Days]])&lt;=0,Tasks[[#This Row],[_LeafCalcStart]],WORKDAY.INTL(Tasks[[#This Row],[_LeafCalcStart]],Tasks[[#This Row],[_Days]]-1,WorkWeek,Holidays)))</f>
        <v/>
      </c>
      <c r="CL12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0" s="42" t="str">
        <f aca="false">IF(Tasks[[#This Row],[_Predecessors]]="","",TRIM(MID(SUBSTITUTE(SUBSTITUTE(SUBSTITUTE(UPPER(Tasks[[#This Row],[_Predecessors]]),";",",")," ",""),",",REPT(" ",99)),1,99)))</f>
        <v/>
      </c>
      <c r="CO120" s="42" t="str">
        <f aca="false">IF(Tasks[[#This Row],[_Pred1Text]]="","",IFERROR(VALUE(LEFT(Tasks[[#This Row],[_Pred1Text]],MIN(FIND("F",Tasks[[#This Row],[_Pred1Text]]&amp;"F"),FIND("S",Tasks[[#This Row],[_Pred1Text]]&amp;"S"),FIND("+",Tasks[[#This Row],[_Pred1Text]]&amp;"+"),FIND("-",Tasks[[#This Row],[_Pred1Text]]&amp;"-"))-1)),""))</f>
        <v/>
      </c>
      <c r="CP12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0" s="42" t="str">
        <f aca="false">IF(Tasks[[#This Row],[_Pred1Text]]="","",TRIM(MID(SUBSTITUTE(SUBSTITUTE(SUBSTITUTE(UPPER(Tasks[[#This Row],[_Predecessors]]),";",",")," ",""),",",REPT(" ",99)),100,99)))</f>
        <v/>
      </c>
      <c r="CS120" s="42" t="str">
        <f aca="false">IF(Tasks[[#This Row],[_Pred2Text]]="","",IFERROR(VALUE(LEFT(Tasks[[#This Row],[_Pred2Text]],MIN(FIND("F",Tasks[[#This Row],[_Pred2Text]]&amp;"F"),FIND("S",Tasks[[#This Row],[_Pred2Text]]&amp;"S"),FIND("+",Tasks[[#This Row],[_Pred2Text]]&amp;"+"),FIND("-",Tasks[[#This Row],[_Pred2Text]]&amp;"-"))-1)),""))</f>
        <v/>
      </c>
      <c r="CT12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0" s="42" t="str">
        <f aca="false">IF(Tasks[[#This Row],[_Pred2Text]]="","",TRIM(MID(SUBSTITUTE(SUBSTITUTE(SUBSTITUTE(UPPER(Tasks[[#This Row],[_Predecessors]]),";",",")," ",""),",",REPT(" ",99)),199,99)))</f>
        <v/>
      </c>
      <c r="CW120" s="42" t="str">
        <f aca="false">IF(Tasks[[#This Row],[_Pred3Text]]="","",IFERROR(VALUE(LEFT(Tasks[[#This Row],[_Pred3Text]],MIN(FIND("F",Tasks[[#This Row],[_Pred3Text]]&amp;"F"),FIND("S",Tasks[[#This Row],[_Pred3Text]]&amp;"S"),FIND("+",Tasks[[#This Row],[_Pred3Text]]&amp;"+"),FIND("-",Tasks[[#This Row],[_Pred3Text]]&amp;"-"))-1)),""))</f>
        <v/>
      </c>
      <c r="CX12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0" s="42" t="str">
        <f aca="false">IF(Tasks[[#This Row],[_Pred3Text]]="","",TRIM(MID(SUBSTITUTE(SUBSTITUTE(SUBSTITUTE(UPPER(Tasks[[#This Row],[_Predecessors]]),";",",")," ",""),",",REPT(" ",99)),298,99)))</f>
        <v/>
      </c>
      <c r="DA120" s="42" t="str">
        <f aca="false">IF(Tasks[[#This Row],[_Pred4Text]]="","",IFERROR(VALUE(LEFT(Tasks[[#This Row],[_Pred4Text]],MIN(FIND("F",Tasks[[#This Row],[_Pred4Text]]&amp;"F"),FIND("S",Tasks[[#This Row],[_Pred4Text]]&amp;"S"),FIND("+",Tasks[[#This Row],[_Pred4Text]]&amp;"+"),FIND("-",Tasks[[#This Row],[_Pred4Text]]&amp;"-"))-1)),""))</f>
        <v/>
      </c>
      <c r="DB12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0" s="42" t="str">
        <f aca="false">IF(OR(Tasks[[#This Row],[Task Name]]="",Tasks[[#This Row],[_Resources]]=""),"",TRIM(MID(SUBSTITUTE(Tasks[[#This Row],[_Resources]],",",REPT(" ",99)),1,99)))</f>
        <v/>
      </c>
      <c r="DE120" s="42" t="str">
        <f aca="false">IF(Tasks[[#This Row],[_Res1Text]]="","",TRIM(MID(SUBSTITUTE(Tasks[[#This Row],[_Resources]],",",REPT(" ",99)),100,99)))</f>
        <v/>
      </c>
      <c r="DF120" s="42" t="str">
        <f aca="false">IF(Tasks[[#This Row],[_Res2Text]]="","",TRIM(MID(SUBSTITUTE(Tasks[[#This Row],[_Resources]],",",REPT(" ",99)),199,99)))</f>
        <v/>
      </c>
      <c r="DG120" s="42" t="str">
        <f aca="false">IF(Tasks[[#This Row],[_Res3Text]]="","",TRIM(MID(SUBSTITUTE(Tasks[[#This Row],[_Resources]],",",REPT(" ",99)),298,99)))</f>
        <v/>
      </c>
      <c r="DH120" s="42" t="n">
        <f aca="false">IF(Tasks[[#This Row],[_Res1Text]]="",0,IFERROR(MATCH(TRIM(LEFT(Tasks[[#This Row],[_Res1Text]],FIND("[",Tasks[[#This Row],[_Res1Text]]&amp;"[")-1)),res_Name,0),IFERROR(MATCH(TRIM(LEFT(Tasks[[#This Row],[_Res1Text]],FIND("[",Tasks[[#This Row],[_Res1Text]]&amp;"[")-1)),res_Initials,0),0)))</f>
        <v>0</v>
      </c>
      <c r="DI120" s="42" t="n">
        <f aca="false">IF(Tasks[[#This Row],[_Res2Text]]="",0,IFERROR(MATCH(TRIM(LEFT(Tasks[[#This Row],[_Res2Text]],FIND("[",Tasks[[#This Row],[_Res2Text]]&amp;"[")-1)),res_Name,0),IFERROR(MATCH(TRIM(LEFT(Tasks[[#This Row],[_Res2Text]],FIND("[",Tasks[[#This Row],[_Res2Text]]&amp;"[")-1)),res_Initials,0),0)))</f>
        <v>0</v>
      </c>
      <c r="DJ120" s="42" t="n">
        <f aca="false">IF(Tasks[[#This Row],[_Res3Text]]="",0,IFERROR(MATCH(TRIM(LEFT(Tasks[[#This Row],[_Res3Text]],FIND("[",Tasks[[#This Row],[_Res3Text]]&amp;"[")-1)),res_Name,0),IFERROR(MATCH(TRIM(LEFT(Tasks[[#This Row],[_Res3Text]],FIND("[",Tasks[[#This Row],[_Res3Text]]&amp;"[")-1)),res_Initials,0),0)))</f>
        <v>0</v>
      </c>
      <c r="DK120" s="42" t="n">
        <f aca="false">IF(Tasks[[#This Row],[_Res4Text]]="",0,IFERROR(MATCH(TRIM(LEFT(Tasks[[#This Row],[_Res4Text]],FIND("[",Tasks[[#This Row],[_Res4Text]]&amp;"[")-1)),res_Name,0),IFERROR(MATCH(TRIM(LEFT(Tasks[[#This Row],[_Res4Text]],FIND("[",Tasks[[#This Row],[_Res4Text]]&amp;"[")-1)),res_Initials,0),0)))</f>
        <v>0</v>
      </c>
      <c r="DL120" s="42" t="str">
        <f aca="false">IF(Tasks[[#This Row],[_Res1Text]]="","",IF(Tasks[[#This Row],[_Res1Row]]&gt;0,INDEX(res_Name,Tasks[[#This Row],[_Res1Row]]),TRIM(LEFT(Tasks[[#This Row],[_Res1Text]],FIND("[",Tasks[[#This Row],[_Res1Text]]&amp;"[")-1))))</f>
        <v/>
      </c>
      <c r="DM12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0" s="42" t="n">
        <f aca="false">IF(NOT(Tasks[[#This Row],[_IsLeaf]]=1),0,(Tasks[[#This Row],[_Resource1]]&lt;&gt;"")+(Tasks[[#This Row],[_Res2]]&lt;&gt;"")+(Tasks[[#This Row],[_Res3]]&lt;&gt;"")+(Tasks[[#This Row],[_Res4]]&lt;&gt;""))</f>
        <v>0</v>
      </c>
      <c r="DO120" s="42" t="str">
        <f aca="false">IF(Tasks[[#This Row],[_Res2Text]]="","",IF(Tasks[[#This Row],[_Res2Row]]&gt;0,INDEX(res_Name,Tasks[[#This Row],[_Res2Row]]),TRIM(LEFT(Tasks[[#This Row],[_Res2Text]],FIND("[",Tasks[[#This Row],[_Res2Text]]&amp;"[")-1))))</f>
        <v/>
      </c>
      <c r="DP12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0" s="42" t="n">
        <f aca="false">IF(OR(NOT(Tasks[[#This Row],[_IsLeaf]]=1),Tasks[[#This Row],[_Res2Row]]=0),0,N(Tasks[[#This Row],[_Days]])*HoursPerDay*IF(Tasks[[#This Row],[_Res2Units]]="",DefaultUnits,Tasks[[#This Row],[_Res2Units]]))</f>
        <v>0</v>
      </c>
      <c r="DR120" s="42" t="n">
        <f aca="false">IF(AND(AND(Tasks[[#This Row],[_IsLeaf]]=1,Tasks[[#This Row],[_LeafTotalWork]]&gt;0),Tasks[[#This Row],[_Res2Work]]&gt;0),Tasks[[#This Row],[_Res2Work]]/(Tasks[[#This Row],[_FinishWorkday]]-Tasks[[#This Row],[_StartWorkday]]+1),0)</f>
        <v>0</v>
      </c>
      <c r="DS120" s="42" t="n">
        <f aca="false">Tasks[[#This Row],[_Res2WorkPerWD]]*MAX(0,Tasks[[#This Row],[_StartWorkday]]-1)</f>
        <v>0</v>
      </c>
      <c r="DT120" s="42" t="n">
        <f aca="false">Tasks[[#This Row],[_Res2Work]]*Tasks[[#This Row],[_LeafProgress]]</f>
        <v>0</v>
      </c>
      <c r="DU120" s="42" t="str">
        <f aca="false">IF(Tasks[[#This Row],[_Res3Text]]="","",IF(Tasks[[#This Row],[_Res3Row]]&gt;0,INDEX(res_Name,Tasks[[#This Row],[_Res3Row]]),TRIM(LEFT(Tasks[[#This Row],[_Res3Text]],FIND("[",Tasks[[#This Row],[_Res3Text]]&amp;"[")-1))))</f>
        <v/>
      </c>
      <c r="DV12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0" s="42" t="n">
        <f aca="false">IF(OR(NOT(Tasks[[#This Row],[_IsLeaf]]=1),Tasks[[#This Row],[_Res3Row]]=0),0,N(Tasks[[#This Row],[_Days]])*HoursPerDay*IF(Tasks[[#This Row],[_Res3Units]]="",DefaultUnits,Tasks[[#This Row],[_Res3Units]]))</f>
        <v>0</v>
      </c>
      <c r="DX120" s="42" t="n">
        <f aca="false">IF(AND(AND(Tasks[[#This Row],[_IsLeaf]]=1,Tasks[[#This Row],[_LeafTotalWork]]&gt;0),Tasks[[#This Row],[_Res3Work]]&gt;0),Tasks[[#This Row],[_Res3Work]]/(Tasks[[#This Row],[_FinishWorkday]]-Tasks[[#This Row],[_StartWorkday]]+1),0)</f>
        <v>0</v>
      </c>
      <c r="DY120" s="42" t="n">
        <f aca="false">Tasks[[#This Row],[_Res3WorkPerWD]]*MAX(0,Tasks[[#This Row],[_StartWorkday]]-1)</f>
        <v>0</v>
      </c>
      <c r="DZ120" s="42" t="n">
        <f aca="false">Tasks[[#This Row],[_Res3Work]]*Tasks[[#This Row],[_LeafProgress]]</f>
        <v>0</v>
      </c>
      <c r="EA120" s="42" t="str">
        <f aca="false">IF(Tasks[[#This Row],[_Res4Text]]="","",IF(Tasks[[#This Row],[_Res4Row]]&gt;0,INDEX(res_Name,Tasks[[#This Row],[_Res4Row]]),TRIM(LEFT(Tasks[[#This Row],[_Res4Text]],FIND("[",Tasks[[#This Row],[_Res4Text]]&amp;"[")-1))))</f>
        <v/>
      </c>
      <c r="EB12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0" s="42" t="n">
        <f aca="false">IF(OR(NOT(Tasks[[#This Row],[_IsLeaf]]=1),Tasks[[#This Row],[_Res4Row]]=0),0,N(Tasks[[#This Row],[_Days]])*HoursPerDay*IF(Tasks[[#This Row],[_Res4Units]]="",DefaultUnits,Tasks[[#This Row],[_Res4Units]]))</f>
        <v>0</v>
      </c>
      <c r="ED120" s="42" t="n">
        <f aca="false">IF(AND(AND(Tasks[[#This Row],[_IsLeaf]]=1,Tasks[[#This Row],[_LeafTotalWork]]&gt;0),Tasks[[#This Row],[_Res4Work]]&gt;0),Tasks[[#This Row],[_Res4Work]]/(Tasks[[#This Row],[_FinishWorkday]]-Tasks[[#This Row],[_StartWorkday]]+1),0)</f>
        <v>0</v>
      </c>
      <c r="EE120" s="42" t="n">
        <f aca="false">Tasks[[#This Row],[_Res4WorkPerWD]]*MAX(0,Tasks[[#This Row],[_StartWorkday]]-1)</f>
        <v>0</v>
      </c>
      <c r="EF120" s="42" t="n">
        <f aca="false">Tasks[[#This Row],[_Res4Work]]*Tasks[[#This Row],[_LeafProgress]]</f>
        <v>0</v>
      </c>
      <c r="EG120" s="42" t="n">
        <f aca="false">IF(ISNUMBER(Tasks[[#This Row],[% Complete]]),Tasks[[#This Row],[% Complete]],IF(Tasks[[#This Row],[Stage]]="",0,IFERROR(INDEX(stg_Pct,MATCH(Tasks[[#This Row],[Stage]],stg_Name,0)),0)))</f>
        <v>0</v>
      </c>
      <c r="EH120" s="42" t="n">
        <f aca="false">IF(NOT(Tasks[[#This Row],[_IsLeaf]]=1),0,IF(N(Tasks[[#This Row],[Actual Finish]])&gt;0,1,MIN(1,Tasks[[#This Row],[_Pct]])))</f>
        <v>0</v>
      </c>
      <c r="EI120" s="42" t="n">
        <f aca="false">IF(OR(NOT(Tasks[[#This Row],[_IsLeaf]]=1),Tasks[[#This Row],[_Res1Row]]=0),0,N(Tasks[[#This Row],[_Days]])*HoursPerDay*IF(Tasks[[#This Row],[_Units1]]="",DefaultUnits,Tasks[[#This Row],[_Units1]]))</f>
        <v>0</v>
      </c>
      <c r="EJ120" s="42" t="n">
        <f aca="false">Tasks[[#This Row],[_LeafWork]]+Tasks[[#This Row],[_Res2Work]]+Tasks[[#This Row],[_Res3Work]]+Tasks[[#This Row],[_Res4Work]]</f>
        <v>0</v>
      </c>
      <c r="EK12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0" s="42" t="n">
        <f aca="false">IF(NOT(Tasks[[#This Row],[_IsLeaf]]=1),0,MAX(_xlfn.MAXIFS(Tasks[_Row],Tasks[_Pred1UID],Tasks[[#This Row],[UID]]),_xlfn.MAXIFS(Tasks[_Row],Tasks[_Pred2UID],Tasks[[#This Row],[UID]]),_xlfn.MAXIFS(Tasks[_Row],Tasks[_Pred3UID],Tasks[[#This Row],[UID]]),_xlfn.MAXIFS(Tasks[_Row],Tasks[_Pred4UID],Tasks[[#This Row],[UID]])))</f>
        <v>0</v>
      </c>
      <c r="ET12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0" s="89" t="str">
        <f aca="false">IF(NOT(Tasks[[#This Row],[_IsLeaf]]=1),"",IF(N(Tasks[[#This Row],[_Days]])&lt;=0,Tasks[[#This Row],[_LeafLateFinish]],WORKDAY.INTL(Tasks[[#This Row],[_LeafLateFinish]],-(Tasks[[#This Row],[_Days]]-1),WorkWeek,Holidays)))</f>
        <v/>
      </c>
      <c r="EW12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0" s="88" t="b">
        <f aca="false">AND(Tasks[[#This Row],[_IsLeaf]]=1,Tasks[[#This Row],[_LeafProgress]]&lt;1,N(Tasks[[#This Row],[_LeafTotalSlack]])&lt;=CriticalSlackDays)</f>
        <v>0</v>
      </c>
      <c r="EY120" s="42" t="n">
        <f aca="false">IF(AND(Tasks[[#This Row],[_IsLeaf]]=1,Tasks[[#This Row],[_ConstraintCode]]=1,Tasks[[#This Row],[Mode]]&lt;&gt;"Manual",N(Tasks[[#This Row],[Actual Start]])=0),MAX(0,N(Tasks[[#This Row],[Free Slack]])),0)</f>
        <v>0</v>
      </c>
      <c r="EZ120" s="89" t="str">
        <f aca="false">IF(NOT(Tasks[[#This Row],[_IsLeaf]]=1),"",IF(Tasks[[#This Row],[_AlapShift]]=0,Tasks[[#This Row],[_LeafCalcStart]],WORKDAY.INTL(Tasks[[#This Row],[_LeafCalcStart]],Tasks[[#This Row],[_AlapShift]],WorkWeek,Holidays)))</f>
        <v/>
      </c>
      <c r="FA120" s="89" t="str">
        <f aca="false">IF(NOT(Tasks[[#This Row],[_IsLeaf]]=1),"",IF(Tasks[[#This Row],[_AlapShift]]=0,Tasks[[#This Row],[_LeafCalcFinish]],WORKDAY.INTL(Tasks[[#This Row],[_LeafCalcFinish]],Tasks[[#This Row],[_AlapShift]],WorkWeek,Holidays)))</f>
        <v/>
      </c>
      <c r="FB120" s="89" t="str">
        <f aca="false">IF(NOT(Tasks[[#This Row],[_IsLeaf]]=1),"",IF(Tasks[[#This Row],[_AlapShift]]=0,Tasks[[#This Row],[_LeafFcstStart]],WORKDAY.INTL(Tasks[[#This Row],[_LeafFcstStart]],Tasks[[#This Row],[_AlapShift]],WorkWeek,Holidays)))</f>
        <v/>
      </c>
      <c r="FC120" s="89" t="str">
        <f aca="false">IF(NOT(Tasks[[#This Row],[_IsLeaf]]=1),"",IF(Tasks[[#This Row],[_AlapShift]]=0,Tasks[[#This Row],[_LeafFcstFinish]],WORKDAY.INTL(Tasks[[#This Row],[_LeafFcstFinish]],Tasks[[#This Row],[_AlapShift]],WorkWeek,Holidays)))</f>
        <v/>
      </c>
      <c r="FD120" s="89" t="str">
        <f aca="false">IF(Tasks[[#This Row],[Task Name]]="","",IF(Tasks[[#This Row],[_IsSummary]],MIN(INDEX(Tasks[_ShownCalcStart],Tasks[[#This Row],[_Row]]+1):INDEX(Tasks[_ShownCalcStart],Tasks[[#This Row],[_Row]]+Tasks[[#This Row],[_Descendants]])),Tasks[[#This Row],[_ShownCalcStart]]))</f>
        <v/>
      </c>
      <c r="FE120" s="89" t="str">
        <f aca="false">IF(Tasks[[#This Row],[Task Name]]="","",IF(Tasks[[#This Row],[_IsSummary]],MAX(INDEX(Tasks[_ShownCalcFinish],Tasks[[#This Row],[_Row]]+1):INDEX(Tasks[_ShownCalcFinish],Tasks[[#This Row],[_Row]]+Tasks[[#This Row],[_Descendants]])),Tasks[[#This Row],[_ShownCalcFinish]]))</f>
        <v/>
      </c>
      <c r="FF12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0" s="42" t="n">
        <f aca="false">IF(AND(Tasks[[#This Row],[_IsLeaf]]=1,Tasks[[#This Row],[_LeafTotalWork]]&gt;0),NETWORKDAYS.INTL(ProjectStart,Tasks[[#This Row],[_ShownFcstStart]],WorkWeek,Holidays),0)</f>
        <v>0</v>
      </c>
      <c r="FS120" s="42" t="n">
        <f aca="false">IF(AND(Tasks[[#This Row],[_IsLeaf]]=1,Tasks[[#This Row],[_LeafTotalWork]]&gt;0),MAX(Tasks[[#This Row],[_StartWorkday]],NETWORKDAYS.INTL(ProjectStart,Tasks[[#This Row],[_ShownFcstFinish]],WorkWeek,Holidays)),0)</f>
        <v>0</v>
      </c>
      <c r="FT120" s="42" t="n">
        <f aca="false">IF(AND(Tasks[[#This Row],[_IsLeaf]]=1,Tasks[[#This Row],[_LeafTotalWork]]&gt;0),Tasks[[#This Row],[_LeafWork]]/(Tasks[[#This Row],[_FinishWorkday]]-Tasks[[#This Row],[_StartWorkday]]+1),0)</f>
        <v>0</v>
      </c>
      <c r="FU120" s="42" t="n">
        <f aca="false">Tasks[[#This Row],[_WorkPerWorkday]]*(Tasks[[#This Row],[_StartWorkday]]-1)</f>
        <v>-0</v>
      </c>
      <c r="FV120" s="42" t="n">
        <f aca="false">IF(Tasks[[#This Row],[_IsLeaf]]=1,MAX(N(Tasks[[#This Row],[_Days]]),0.1),0)</f>
        <v>0</v>
      </c>
      <c r="FW120" s="42" t="n">
        <f aca="false">Tasks[[#This Row],[_WeightDur]]*Tasks[[#This Row],[_LeafProgress]]</f>
        <v>0</v>
      </c>
      <c r="FX120" s="42" t="n">
        <f aca="false">Tasks[[#This Row],[_WeightDur]]*Tasks[[#This Row],[_PlannedPct]]</f>
        <v>0</v>
      </c>
      <c r="FY12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0" s="42" t="str">
        <f aca="false">IF(AND(Tasks[[#This Row],[_IsLeaf]]=1,N(Tasks[[#This Row],[_Days]])=0,Tasks[[#This Row],[_LeafProgress]]&lt;1),Tasks[[#This Row],[_ShownFcstFinish]]+Tasks[[#This Row],[_Row]]/100000,"")</f>
        <v/>
      </c>
      <c r="GA12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0" s="42" t="str">
        <f aca="false">IF(Tasks[[#This Row],[Task Name]]="","",LEFT(Tasks[[#This Row],[WBS]],FIND(".",Tasks[[#This Row],[WBS]]&amp;".")-1))</f>
        <v/>
      </c>
      <c r="GC120" s="42" t="str">
        <f aca="false">IF(AND(Tasks[[#This Row],[Task Name]]&lt;&gt;"",Tasks[[#This Row],[_Level]]=1),Tasks[[#This Row],[_Row]],"")</f>
        <v/>
      </c>
      <c r="GD120" s="42" t="str">
        <f aca="false">IF(AND(Tasks[[#This Row],[_IsLeaf]]=1,N(Tasks[[#This Row],[_Days]])=0),Tasks[[#This Row],[Planned Finish]]+Tasks[[#This Row],[_Row]]/100000,"")</f>
        <v/>
      </c>
      <c r="GE120" s="42" t="str">
        <f aca="false">IF(AND(Tasks[[#This Row],[_IsLeaf]]=1,Tasks[[#This Row],[_LeafProgress]]&lt;1,OR(N(Tasks[[#This Row],[Finish Var]])&gt;0,Tasks[[#This Row],[Status]]="Late Start")),MAX(0,Tasks[[#This Row],[Finish Var]])+1-Tasks[[#This Row],[_Row]]/1000000,"")</f>
        <v/>
      </c>
      <c r="GF120" s="42" t="str">
        <f aca="false">IF(AND(Tasks[[#This Row],[_IsLeaf]]=1,N(Tasks[[#This Row],[Actual Start]])=0,Tasks[[#This Row],[_ShownFcstStart]]&gt;=StatusDate,Tasks[[#This Row],[_ShownFcstStart]]&lt;=LookaheadEnd),Tasks[[#This Row],[_ShownFcstStart]]+Tasks[[#This Row],[_Row]]/100000,"")</f>
        <v/>
      </c>
      <c r="GG120" s="42" t="str">
        <f aca="false">IF(AND(Tasks[[#This Row],[_IsLeaf]]=1,Tasks[[#This Row],[_LeafProgress]]&lt;1,Tasks[[#This Row],[_ShownFcstFinish]]&gt;=StatusDate,Tasks[[#This Row],[_ShownFcstFinish]]&lt;=LookaheadEnd),Tasks[[#This Row],[_ShownFcstFinish]]+Tasks[[#This Row],[_Row]]/100000,"")</f>
        <v/>
      </c>
      <c r="GH120" s="42" t="str">
        <f aca="false">IF(Tasks[[#This Row],[_LeafCritical]],Tasks[[#This Row],[_ShownFcstStart]]+Tasks[[#This Row],[_Row]]/100000,"")</f>
        <v/>
      </c>
      <c r="GI120" s="42" t="n">
        <f aca="false">Tasks[[#This Row],[_LeafWork]]*Tasks[[#This Row],[_LeafProgress]]</f>
        <v>0</v>
      </c>
      <c r="GJ120" s="89" t="str">
        <f aca="false">IF(AND(Tasks[[#This Row],[_IsLeaf]]=1,Tasks[[#This Row],[_LeafProgress]]&gt;=1),IF(N(Tasks[[#This Row],[Actual Finish]])&gt;0,Tasks[[#This Row],[Actual Finish]],Tasks[[#This Row],[_ShownFcstFinish]]),"")</f>
        <v/>
      </c>
      <c r="GK120" s="42" t="n">
        <f aca="false">IF(Tasks[[#This Row],[_IsLeaf]]=1,N(Tasks[[#This Row],[Story Points]]),0)</f>
        <v>0</v>
      </c>
      <c r="GL120" s="42" t="str">
        <f aca="false">""</f>
        <v/>
      </c>
      <c r="GM120" s="88" t="b">
        <f aca="false">IF(Tasks[[#This Row],[Task Name]]="",FALSE(),AND(Tasks[[#This Row],[_IsLeaf]]=1,N(Tasks[[#This Row],[_Days]])=0))</f>
        <v>0</v>
      </c>
      <c r="GN120" s="89" t="n">
        <f aca="false">IF(Tasks[[#This Row],[Task Name]]="",0,IF(AND(Tasks[[#This Row],[_IsLeaf]]=1,NOT(Tasks[[#This Row],[_IsMilestone]]),N(Tasks[[#This Row],[Progress]])&gt;0),Tasks[[#This Row],[Start]],0))</f>
        <v>0</v>
      </c>
      <c r="GO120" s="89" t="n">
        <f aca="false">IF(Tasks[[#This Row],[_DoneFrom]]=0,0,IF(Tasks[[#This Row],[Progress]]&gt;=1,Tasks[[#This Row],[Finish]],MAX(Tasks[[#This Row],[_DoneFrom]],Tasks[[#This Row],[Start]]+ROUND((Tasks[[#This Row],[Finish]]-Tasks[[#This Row],[Start]]+1)*Tasks[[#This Row],[Progress]],0)-1)))</f>
        <v>0</v>
      </c>
      <c r="GP120" s="89" t="n">
        <f aca="false">IF(Tasks[[#This Row],[Task Name]]="",0,IF(OR(NOT(Tasks[[#This Row],[_IsLeaf]]=1),Tasks[[#This Row],[_IsMilestone]],N(Tasks[[#This Row],[Progress]])&gt;=1),0,IF(Tasks[[#This Row],[_DoneTo]]&gt;0,Tasks[[#This Row],[_DoneTo]]+1,Tasks[[#This Row],[Start]])))</f>
        <v>0</v>
      </c>
      <c r="GQ120" s="89" t="n">
        <f aca="false">IF(Tasks[[#This Row],[_RemFrom]]=0,0,Tasks[[#This Row],[Finish]])</f>
        <v>0</v>
      </c>
      <c r="GR120" s="88" t="b">
        <f aca="false">IF(Tasks[[#This Row],[Task Name]]="",FALSE(),OR(NOT(BaselineSet),N(Tasks[[#This Row],[Baseline Start]])&gt;0))</f>
        <v>0</v>
      </c>
      <c r="GS12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0" s="90" t="str">
        <f aca="false">IF(Tasks[[#This Row],[_IsLeaf]]=1,Tasks[[#This Row],[_Row]],"")</f>
        <v/>
      </c>
      <c r="GW120" s="90" t="str">
        <f aca="false">IFERROR(INDEX(Tasks[UID],SMALL(Tasks[_PickKey],Tasks[[#This Row],[_Row]]))&amp;" "&amp;INDEX(Tasks[Task Name],SMALL(Tasks[_PickKey],Tasks[[#This Row],[_Row]])),"")</f>
        <v/>
      </c>
      <c r="GX120" s="42" t="str">
        <f aca="false">IF(Tasks[[#This Row],[Task Name]]="","",IF(Tasks[[#This Row],[_IsSummary]],NETWORKDAYS.INTL(Tasks[[#This Row],[Start]],Tasks[[#This Row],[Finish]],WorkWeek,Holidays),N(Tasks[[#This Row],[_Days]])))</f>
        <v/>
      </c>
    </row>
    <row r="121" customFormat="false" ht="15" hidden="false" customHeight="false" outlineLevel="0" collapsed="false">
      <c r="A121" s="21" t="str">
        <f aca="false">IF(Tasks[[#This Row],[Task Name]]="","",COUNTA(Tasks[[#Headers],[Task Name]]:Tasks[[#This Row],[Task Name]])-1)</f>
        <v/>
      </c>
      <c r="B121" s="22" t="n">
        <v>129</v>
      </c>
      <c r="C121" s="22"/>
      <c r="D121" s="23"/>
      <c r="E121" s="22"/>
      <c r="F121" s="23"/>
      <c r="G121" s="22"/>
      <c r="H121" s="22"/>
      <c r="I121" s="23"/>
      <c r="J121" s="22"/>
      <c r="K121" s="22"/>
      <c r="L121" s="23"/>
      <c r="M121" s="22"/>
      <c r="N121" s="22"/>
      <c r="O121" s="23"/>
      <c r="P121" s="22"/>
      <c r="Q121" s="22"/>
      <c r="R121" s="23"/>
      <c r="S121" s="23"/>
      <c r="T121" s="83"/>
      <c r="U121" s="23"/>
      <c r="V121" s="83"/>
      <c r="W121" s="23"/>
      <c r="X121" s="83"/>
      <c r="Y121" s="23"/>
      <c r="Z121" s="83"/>
      <c r="AA121" s="23"/>
      <c r="AB121" s="23"/>
      <c r="AC121" s="7"/>
      <c r="AD121" s="7"/>
      <c r="AE121" s="62" t="str">
        <f aca="false">IF(Tasks[[#This Row],[Task Name]]="","",IF(Tasks[[#This Row],[_IsSummary]],MIN(INDEX(Tasks[_ShownFcstStart],Tasks[[#This Row],[_Row]]+1):INDEX(Tasks[_ShownFcstStart],Tasks[[#This Row],[_Row]]+Tasks[[#This Row],[_Descendants]])),Tasks[[#This Row],[_ShownFcstStart]]))</f>
        <v/>
      </c>
      <c r="AF121" s="62" t="str">
        <f aca="false">IF(Tasks[[#This Row],[Task Name]]="","",IF(Tasks[[#This Row],[_IsSummary]],MAX(INDEX(Tasks[_ShownFcstFinish],Tasks[[#This Row],[_Row]]+1):INDEX(Tasks[_ShownFcstFinish],Tasks[[#This Row],[_Row]]+Tasks[[#This Row],[_Descendants]])),Tasks[[#This Row],[_ShownFcstFinish]]))</f>
        <v/>
      </c>
      <c r="AG121" s="21" t="str">
        <f aca="false">""</f>
        <v/>
      </c>
      <c r="AH121" s="23"/>
      <c r="AI12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1" s="7"/>
      <c r="AK121" s="22"/>
      <c r="AL121" s="23"/>
      <c r="AM121" s="7"/>
      <c r="AN121" s="46" t="str">
        <f aca="false">IF(Tasks[[#This Row],[Task Name]]="","",IF(Tasks[[#This Row],[Finish]]&gt;=Tasks[[#This Row],[Planned Finish]],NETWORKDAYS.INTL(Tasks[[#This Row],[Planned Finish]],Tasks[[#This Row],[Finish]],WorkWeek,Holidays)-1,1-NETWORKDAYS.INTL(Tasks[[#This Row],[Finish]],Tasks[[#This Row],[Planned Finish]],WorkWeek,Holidays)))</f>
        <v/>
      </c>
      <c r="AO121" s="21" t="str">
        <f aca="false">IF(Tasks[[#This Row],[Task Name]]="","",IF(Tasks[[#This Row],[Progress]]&gt;=1,"Complete",IF(OR(N(Tasks[[#This Row],[Actual Start]])&gt;0,Tasks[[#This Row],[Progress]]&gt;0),IF(Tasks[[#This Row],[Finish Var]]&gt;0,"Behind","In Progress"),IF(Tasks[[#This Row],[Planned Start]]&lt;StatusDate,"Late Start","Not Started"))))</f>
        <v/>
      </c>
      <c r="AP121" s="21" t="str">
        <f aca="false">IF(Tasks[[#This Row],[Task Name]]="","",IF(IF(Tasks[[#This Row],[_IsSummary]],COUNTIF(INDEX(Tasks[_LeafCritical],Tasks[[#This Row],[_Row]]+1):INDEX(Tasks[_LeafCritical],Tasks[[#This Row],[_Row]]+Tasks[[#This Row],[_Descendants]]),TRUE())&gt;0,Tasks[[#This Row],[_LeafCritical]]),"Yes",""))</f>
        <v/>
      </c>
      <c r="AQ121" s="62" t="str">
        <f aca="false">IF(Tasks[[#This Row],[Task Name]]="","",IF(N(Tasks[[#This Row],[Baseline Start]])&gt;0,Tasks[[#This Row],[Baseline Start]],Tasks[[#This Row],[_CalcStart]]))</f>
        <v/>
      </c>
      <c r="AR121" s="62" t="str">
        <f aca="false">IF(Tasks[[#This Row],[Task Name]]="","",IF(N(Tasks[[#This Row],[Baseline Finish]])&gt;0,Tasks[[#This Row],[Baseline Finish]],Tasks[[#This Row],[_CalcFinish]]))</f>
        <v/>
      </c>
      <c r="AS121" s="46" t="str">
        <f aca="false">IF(Tasks[[#This Row],[Task Name]]="","",IF(Tasks[[#This Row],[Start]]&gt;=Tasks[[#This Row],[Planned Start]],NETWORKDAYS.INTL(Tasks[[#This Row],[Planned Start]],Tasks[[#This Row],[Start]],WorkWeek,Holidays)-1,1-NETWORKDAYS.INTL(Tasks[[#This Row],[Start]],Tasks[[#This Row],[Planned Start]],WorkWeek,Holidays)))</f>
        <v/>
      </c>
      <c r="AT121" s="62" t="str">
        <f aca="false">IF(Tasks[[#This Row],[Task Name]]="","",IF(Tasks[[#This Row],[_IsSummary]],MIN(INDEX(Tasks[_LeafLateStart],Tasks[[#This Row],[_Row]]+1):INDEX(Tasks[_LeafLateStart],Tasks[[#This Row],[_Row]]+Tasks[[#This Row],[_Descendants]])),Tasks[[#This Row],[_LeafLateStart]]))</f>
        <v/>
      </c>
      <c r="AU121" s="62" t="str">
        <f aca="false">IF(Tasks[[#This Row],[Task Name]]="","",IF(Tasks[[#This Row],[_IsSummary]],MAX(INDEX(Tasks[_LeafLateFinish],Tasks[[#This Row],[_Row]]+1):INDEX(Tasks[_LeafLateFinish],Tasks[[#This Row],[_Row]]+Tasks[[#This Row],[_Descendants]])),Tasks[[#This Row],[_LeafLateFinish]]))</f>
        <v/>
      </c>
      <c r="AV121" s="46" t="str">
        <f aca="false">IF(Tasks[[#This Row],[Task Name]]="","",IF(Tasks[[#This Row],[_IsSummary]],MIN(INDEX(Tasks[_LeafTotalSlack],Tasks[[#This Row],[_Row]]+1):INDEX(Tasks[_LeafTotalSlack],Tasks[[#This Row],[_Row]]+Tasks[[#This Row],[_Descendants]])),Tasks[[#This Row],[_LeafTotalSlack]]))</f>
        <v/>
      </c>
      <c r="AW12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4"/>
      <c r="BA12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t="str">
        <f aca="false">IF(Tasks[[#This Row],[Task Name]]="","",IF(Tasks[[#This Row],[_Level]]&lt;=OutlineShowLevel,"Yes","No"))</f>
        <v/>
      </c>
      <c r="BE121" s="85" t="str">
        <f aca="false">IF(Tasks[[#This Row],[Task Name]]="","",IF(Tasks[[#This Row],[_IsSummary]],SUM(INDEX(Tasks[_LeafTotalWork],Tasks[[#This Row],[_Row]]+1):INDEX(Tasks[_LeafTotalWork],Tasks[[#This Row],[_Row]]+Tasks[[#This Row],[_Descendants]])),Tasks[[#This Row],[_LeafTotalWork]]))</f>
        <v/>
      </c>
      <c r="BF121" s="23"/>
      <c r="BG12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t="str">
        <f aca="false">""</f>
        <v/>
      </c>
      <c r="BI121" s="86"/>
      <c r="BJ121" s="22"/>
      <c r="BK121" s="46" t="str">
        <f aca="false">IF(OR(Tasks[[#This Row],[Task Name]]="",Tasks[[#This Row],[Baseline Duration]]=""),"",Tasks[[#This Row],[_SpanDays]]-N(Tasks[[#This Row],[Baseline Duration]]))</f>
        <v/>
      </c>
      <c r="BL121" s="85" t="str">
        <f aca="false">IF(OR(Tasks[[#This Row],[Task Name]]="",Tasks[[#This Row],[Baseline Work]]=""),"",Tasks[[#This Row],[Work]]-N(Tasks[[#This Row],[Baseline Work]]))</f>
        <v/>
      </c>
      <c r="BM121" s="62" t="str">
        <f aca="false">IF(Tasks[[#This Row],[Task Name]]="","",IF(OR(TakeBaseline="Yes",N(Tasks[[#This Row],[Baseline Start]])=0),Tasks[[#This Row],[Start]],Tasks[[#This Row],[Baseline Start]]))</f>
        <v/>
      </c>
      <c r="BN121" s="62" t="str">
        <f aca="false">IF(Tasks[[#This Row],[Task Name]]="","",IF(OR(TakeBaseline="Yes",N(Tasks[[#This Row],[Baseline Finish]])=0),Tasks[[#This Row],[Finish]],Tasks[[#This Row],[Baseline Finish]]))</f>
        <v/>
      </c>
      <c r="BO121" s="21" t="str">
        <f aca="false">IF(Tasks[[#This Row],[Task Name]]="","",IF(OR(TakeBaseline="Yes",N(Tasks[[#This Row],[Baseline Duration]])=0),Tasks[[#This Row],[_SpanDays]],Tasks[[#This Row],[Baseline Duration]]))</f>
        <v/>
      </c>
      <c r="BP121" s="85" t="str">
        <f aca="false">IF(Tasks[[#This Row],[Task Name]]="","",IF(OR(TakeBaseline="Yes",N(Tasks[[#This Row],[Baseline Work]])=0),Tasks[[#This Row],[Work]],Tasks[[#This Row],[Baseline Work]]))</f>
        <v/>
      </c>
      <c r="BQ121" s="7"/>
      <c r="BR121" s="7"/>
      <c r="BS121" s="22"/>
      <c r="BT121" s="87"/>
      <c r="BU121" s="42" t="str">
        <f aca="false">IF(Tasks[[#This Row],[Task Name]]="","",MAX(1,N(Tasks[[#This Row],[Level]])))</f>
        <v/>
      </c>
      <c r="BV121" s="42" t="n">
        <f aca="false">ROW()-ROW(Tasks[[#Headers],[ID]])</f>
        <v>116</v>
      </c>
      <c r="BW121" s="42" t="n">
        <f aca="false">IF(OR(Tasks[[#This Row],[Task Name]]="",Tasks[[#This Row],[_Level]]&lt;=1),0,IFERROR(LOOKUP(2,1/(Tasks[[#Headers],[_Level]]:Tasks[[#This Row],[_Level]]=Tasks[[#This Row],[_Level]]-1),ROW(Tasks[[#Headers],[_Level]]:Tasks[[#This Row],[_Level]])),0))</f>
        <v>0</v>
      </c>
      <c r="BX121" s="42" t="n">
        <f aca="false">IFERROR(N(INDEX(Tasks[_Level],Tasks[[#This Row],[_Row]]+1)),0)</f>
        <v>0</v>
      </c>
      <c r="BY121" s="88" t="b">
        <f aca="false">AND(Tasks[[#This Row],[Task Name]]&lt;&gt;"",Tasks[[#This Row],[_NextLevel]]&gt;Tasks[[#This Row],[_Level]])</f>
        <v>0</v>
      </c>
      <c r="BZ121" s="42" t="n">
        <f aca="false">IF(Tasks[[#This Row],[_IsSummary]],COUNTIF(Tasks[WBS],Tasks[[#This Row],[WBS]]&amp;".*"),0)</f>
        <v>0</v>
      </c>
      <c r="CA121" s="42" t="n">
        <f aca="false">IF(AND(Tasks[[#This Row],[Task Name]]&lt;&gt;"",NOT(Tasks[[#This Row],[_IsSummary]])),1,0)</f>
        <v>0</v>
      </c>
      <c r="CB121" s="42" t="n">
        <f aca="false">IF(N(Tasks[[#This Row],[_Pred1UID]])=0,0,IFERROR(MATCH(Tasks[[#This Row],[_Pred1UID]],Tasks[UID],0),-1))</f>
        <v>0</v>
      </c>
      <c r="CC121" s="42" t="n">
        <f aca="false">IF(N(Tasks[[#This Row],[_Pred2UID]])=0,0,IFERROR(MATCH(Tasks[[#This Row],[_Pred2UID]],Tasks[UID],0),-1))</f>
        <v>0</v>
      </c>
      <c r="CD121" s="42" t="n">
        <f aca="false">IF(N(Tasks[[#This Row],[_Pred3UID]])=0,0,IFERROR(MATCH(Tasks[[#This Row],[_Pred3UID]],Tasks[UID],0),-1))</f>
        <v>0</v>
      </c>
      <c r="CE121" s="42" t="n">
        <f aca="false">IF(N(Tasks[[#This Row],[_Pred4UID]])=0,0,IFERROR(MATCH(Tasks[[#This Row],[_Pred4UID]],Tasks[UID],0),-1))</f>
        <v>0</v>
      </c>
      <c r="CF12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1" s="89" t="n">
        <f aca="false">IF(OR(Tasks[[#This Row],[_ConstraintCode]]=2,Tasks[[#This Row],[_ConstraintCode]]=3,Tasks[[#This Row],[_ConstraintCode]]=4,Tasks[[#This Row],[_ConstraintCode]]=6),Tasks[[#This Row],[_ConstraintStart]],0)</f>
        <v>0</v>
      </c>
      <c r="CI121" s="89" t="n">
        <f aca="false">IF(OR(Tasks[[#This Row],[_ConstraintCode]]=2,Tasks[[#This Row],[_ConstraintCode]]=3,Tasks[[#This Row],[_ConstraintCode]]=5,Tasks[[#This Row],[_ConstraintCode]]=7),Tasks[[#This Row],[_ConstraintStart]],2958465)</f>
        <v>2958465</v>
      </c>
      <c r="CJ12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1" s="89" t="str">
        <f aca="false">IF(NOT(Tasks[[#This Row],[_IsLeaf]]=1),"",IF(N(Tasks[[#This Row],[_Days]])&lt;=0,Tasks[[#This Row],[_LeafCalcStart]],WORKDAY.INTL(Tasks[[#This Row],[_LeafCalcStart]],Tasks[[#This Row],[_Days]]-1,WorkWeek,Holidays)))</f>
        <v/>
      </c>
      <c r="CL12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1" s="42" t="str">
        <f aca="false">IF(Tasks[[#This Row],[_Predecessors]]="","",TRIM(MID(SUBSTITUTE(SUBSTITUTE(SUBSTITUTE(UPPER(Tasks[[#This Row],[_Predecessors]]),";",",")," ",""),",",REPT(" ",99)),1,99)))</f>
        <v/>
      </c>
      <c r="CO121" s="42" t="str">
        <f aca="false">IF(Tasks[[#This Row],[_Pred1Text]]="","",IFERROR(VALUE(LEFT(Tasks[[#This Row],[_Pred1Text]],MIN(FIND("F",Tasks[[#This Row],[_Pred1Text]]&amp;"F"),FIND("S",Tasks[[#This Row],[_Pred1Text]]&amp;"S"),FIND("+",Tasks[[#This Row],[_Pred1Text]]&amp;"+"),FIND("-",Tasks[[#This Row],[_Pred1Text]]&amp;"-"))-1)),""))</f>
        <v/>
      </c>
      <c r="CP12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1" s="42" t="str">
        <f aca="false">IF(Tasks[[#This Row],[_Pred1Text]]="","",TRIM(MID(SUBSTITUTE(SUBSTITUTE(SUBSTITUTE(UPPER(Tasks[[#This Row],[_Predecessors]]),";",",")," ",""),",",REPT(" ",99)),100,99)))</f>
        <v/>
      </c>
      <c r="CS121" s="42" t="str">
        <f aca="false">IF(Tasks[[#This Row],[_Pred2Text]]="","",IFERROR(VALUE(LEFT(Tasks[[#This Row],[_Pred2Text]],MIN(FIND("F",Tasks[[#This Row],[_Pred2Text]]&amp;"F"),FIND("S",Tasks[[#This Row],[_Pred2Text]]&amp;"S"),FIND("+",Tasks[[#This Row],[_Pred2Text]]&amp;"+"),FIND("-",Tasks[[#This Row],[_Pred2Text]]&amp;"-"))-1)),""))</f>
        <v/>
      </c>
      <c r="CT12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1" s="42" t="str">
        <f aca="false">IF(Tasks[[#This Row],[_Pred2Text]]="","",TRIM(MID(SUBSTITUTE(SUBSTITUTE(SUBSTITUTE(UPPER(Tasks[[#This Row],[_Predecessors]]),";",",")," ",""),",",REPT(" ",99)),199,99)))</f>
        <v/>
      </c>
      <c r="CW121" s="42" t="str">
        <f aca="false">IF(Tasks[[#This Row],[_Pred3Text]]="","",IFERROR(VALUE(LEFT(Tasks[[#This Row],[_Pred3Text]],MIN(FIND("F",Tasks[[#This Row],[_Pred3Text]]&amp;"F"),FIND("S",Tasks[[#This Row],[_Pred3Text]]&amp;"S"),FIND("+",Tasks[[#This Row],[_Pred3Text]]&amp;"+"),FIND("-",Tasks[[#This Row],[_Pred3Text]]&amp;"-"))-1)),""))</f>
        <v/>
      </c>
      <c r="CX12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1" s="42" t="str">
        <f aca="false">IF(Tasks[[#This Row],[_Pred3Text]]="","",TRIM(MID(SUBSTITUTE(SUBSTITUTE(SUBSTITUTE(UPPER(Tasks[[#This Row],[_Predecessors]]),";",",")," ",""),",",REPT(" ",99)),298,99)))</f>
        <v/>
      </c>
      <c r="DA121" s="42" t="str">
        <f aca="false">IF(Tasks[[#This Row],[_Pred4Text]]="","",IFERROR(VALUE(LEFT(Tasks[[#This Row],[_Pred4Text]],MIN(FIND("F",Tasks[[#This Row],[_Pred4Text]]&amp;"F"),FIND("S",Tasks[[#This Row],[_Pred4Text]]&amp;"S"),FIND("+",Tasks[[#This Row],[_Pred4Text]]&amp;"+"),FIND("-",Tasks[[#This Row],[_Pred4Text]]&amp;"-"))-1)),""))</f>
        <v/>
      </c>
      <c r="DB12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1" s="42" t="str">
        <f aca="false">IF(OR(Tasks[[#This Row],[Task Name]]="",Tasks[[#This Row],[_Resources]]=""),"",TRIM(MID(SUBSTITUTE(Tasks[[#This Row],[_Resources]],",",REPT(" ",99)),1,99)))</f>
        <v/>
      </c>
      <c r="DE121" s="42" t="str">
        <f aca="false">IF(Tasks[[#This Row],[_Res1Text]]="","",TRIM(MID(SUBSTITUTE(Tasks[[#This Row],[_Resources]],",",REPT(" ",99)),100,99)))</f>
        <v/>
      </c>
      <c r="DF121" s="42" t="str">
        <f aca="false">IF(Tasks[[#This Row],[_Res2Text]]="","",TRIM(MID(SUBSTITUTE(Tasks[[#This Row],[_Resources]],",",REPT(" ",99)),199,99)))</f>
        <v/>
      </c>
      <c r="DG121" s="42" t="str">
        <f aca="false">IF(Tasks[[#This Row],[_Res3Text]]="","",TRIM(MID(SUBSTITUTE(Tasks[[#This Row],[_Resources]],",",REPT(" ",99)),298,99)))</f>
        <v/>
      </c>
      <c r="DH121" s="42" t="n">
        <f aca="false">IF(Tasks[[#This Row],[_Res1Text]]="",0,IFERROR(MATCH(TRIM(LEFT(Tasks[[#This Row],[_Res1Text]],FIND("[",Tasks[[#This Row],[_Res1Text]]&amp;"[")-1)),res_Name,0),IFERROR(MATCH(TRIM(LEFT(Tasks[[#This Row],[_Res1Text]],FIND("[",Tasks[[#This Row],[_Res1Text]]&amp;"[")-1)),res_Initials,0),0)))</f>
        <v>0</v>
      </c>
      <c r="DI121" s="42" t="n">
        <f aca="false">IF(Tasks[[#This Row],[_Res2Text]]="",0,IFERROR(MATCH(TRIM(LEFT(Tasks[[#This Row],[_Res2Text]],FIND("[",Tasks[[#This Row],[_Res2Text]]&amp;"[")-1)),res_Name,0),IFERROR(MATCH(TRIM(LEFT(Tasks[[#This Row],[_Res2Text]],FIND("[",Tasks[[#This Row],[_Res2Text]]&amp;"[")-1)),res_Initials,0),0)))</f>
        <v>0</v>
      </c>
      <c r="DJ121" s="42" t="n">
        <f aca="false">IF(Tasks[[#This Row],[_Res3Text]]="",0,IFERROR(MATCH(TRIM(LEFT(Tasks[[#This Row],[_Res3Text]],FIND("[",Tasks[[#This Row],[_Res3Text]]&amp;"[")-1)),res_Name,0),IFERROR(MATCH(TRIM(LEFT(Tasks[[#This Row],[_Res3Text]],FIND("[",Tasks[[#This Row],[_Res3Text]]&amp;"[")-1)),res_Initials,0),0)))</f>
        <v>0</v>
      </c>
      <c r="DK121" s="42" t="n">
        <f aca="false">IF(Tasks[[#This Row],[_Res4Text]]="",0,IFERROR(MATCH(TRIM(LEFT(Tasks[[#This Row],[_Res4Text]],FIND("[",Tasks[[#This Row],[_Res4Text]]&amp;"[")-1)),res_Name,0),IFERROR(MATCH(TRIM(LEFT(Tasks[[#This Row],[_Res4Text]],FIND("[",Tasks[[#This Row],[_Res4Text]]&amp;"[")-1)),res_Initials,0),0)))</f>
        <v>0</v>
      </c>
      <c r="DL121" s="42" t="str">
        <f aca="false">IF(Tasks[[#This Row],[_Res1Text]]="","",IF(Tasks[[#This Row],[_Res1Row]]&gt;0,INDEX(res_Name,Tasks[[#This Row],[_Res1Row]]),TRIM(LEFT(Tasks[[#This Row],[_Res1Text]],FIND("[",Tasks[[#This Row],[_Res1Text]]&amp;"[")-1))))</f>
        <v/>
      </c>
      <c r="DM12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1" s="42" t="n">
        <f aca="false">IF(NOT(Tasks[[#This Row],[_IsLeaf]]=1),0,(Tasks[[#This Row],[_Resource1]]&lt;&gt;"")+(Tasks[[#This Row],[_Res2]]&lt;&gt;"")+(Tasks[[#This Row],[_Res3]]&lt;&gt;"")+(Tasks[[#This Row],[_Res4]]&lt;&gt;""))</f>
        <v>0</v>
      </c>
      <c r="DO121" s="42" t="str">
        <f aca="false">IF(Tasks[[#This Row],[_Res2Text]]="","",IF(Tasks[[#This Row],[_Res2Row]]&gt;0,INDEX(res_Name,Tasks[[#This Row],[_Res2Row]]),TRIM(LEFT(Tasks[[#This Row],[_Res2Text]],FIND("[",Tasks[[#This Row],[_Res2Text]]&amp;"[")-1))))</f>
        <v/>
      </c>
      <c r="DP12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1" s="42" t="n">
        <f aca="false">IF(OR(NOT(Tasks[[#This Row],[_IsLeaf]]=1),Tasks[[#This Row],[_Res2Row]]=0),0,N(Tasks[[#This Row],[_Days]])*HoursPerDay*IF(Tasks[[#This Row],[_Res2Units]]="",DefaultUnits,Tasks[[#This Row],[_Res2Units]]))</f>
        <v>0</v>
      </c>
      <c r="DR121" s="42" t="n">
        <f aca="false">IF(AND(AND(Tasks[[#This Row],[_IsLeaf]]=1,Tasks[[#This Row],[_LeafTotalWork]]&gt;0),Tasks[[#This Row],[_Res2Work]]&gt;0),Tasks[[#This Row],[_Res2Work]]/(Tasks[[#This Row],[_FinishWorkday]]-Tasks[[#This Row],[_StartWorkday]]+1),0)</f>
        <v>0</v>
      </c>
      <c r="DS121" s="42" t="n">
        <f aca="false">Tasks[[#This Row],[_Res2WorkPerWD]]*MAX(0,Tasks[[#This Row],[_StartWorkday]]-1)</f>
        <v>0</v>
      </c>
      <c r="DT121" s="42" t="n">
        <f aca="false">Tasks[[#This Row],[_Res2Work]]*Tasks[[#This Row],[_LeafProgress]]</f>
        <v>0</v>
      </c>
      <c r="DU121" s="42" t="str">
        <f aca="false">IF(Tasks[[#This Row],[_Res3Text]]="","",IF(Tasks[[#This Row],[_Res3Row]]&gt;0,INDEX(res_Name,Tasks[[#This Row],[_Res3Row]]),TRIM(LEFT(Tasks[[#This Row],[_Res3Text]],FIND("[",Tasks[[#This Row],[_Res3Text]]&amp;"[")-1))))</f>
        <v/>
      </c>
      <c r="DV12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1" s="42" t="n">
        <f aca="false">IF(OR(NOT(Tasks[[#This Row],[_IsLeaf]]=1),Tasks[[#This Row],[_Res3Row]]=0),0,N(Tasks[[#This Row],[_Days]])*HoursPerDay*IF(Tasks[[#This Row],[_Res3Units]]="",DefaultUnits,Tasks[[#This Row],[_Res3Units]]))</f>
        <v>0</v>
      </c>
      <c r="DX121" s="42" t="n">
        <f aca="false">IF(AND(AND(Tasks[[#This Row],[_IsLeaf]]=1,Tasks[[#This Row],[_LeafTotalWork]]&gt;0),Tasks[[#This Row],[_Res3Work]]&gt;0),Tasks[[#This Row],[_Res3Work]]/(Tasks[[#This Row],[_FinishWorkday]]-Tasks[[#This Row],[_StartWorkday]]+1),0)</f>
        <v>0</v>
      </c>
      <c r="DY121" s="42" t="n">
        <f aca="false">Tasks[[#This Row],[_Res3WorkPerWD]]*MAX(0,Tasks[[#This Row],[_StartWorkday]]-1)</f>
        <v>0</v>
      </c>
      <c r="DZ121" s="42" t="n">
        <f aca="false">Tasks[[#This Row],[_Res3Work]]*Tasks[[#This Row],[_LeafProgress]]</f>
        <v>0</v>
      </c>
      <c r="EA121" s="42" t="str">
        <f aca="false">IF(Tasks[[#This Row],[_Res4Text]]="","",IF(Tasks[[#This Row],[_Res4Row]]&gt;0,INDEX(res_Name,Tasks[[#This Row],[_Res4Row]]),TRIM(LEFT(Tasks[[#This Row],[_Res4Text]],FIND("[",Tasks[[#This Row],[_Res4Text]]&amp;"[")-1))))</f>
        <v/>
      </c>
      <c r="EB12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1" s="42" t="n">
        <f aca="false">IF(OR(NOT(Tasks[[#This Row],[_IsLeaf]]=1),Tasks[[#This Row],[_Res4Row]]=0),0,N(Tasks[[#This Row],[_Days]])*HoursPerDay*IF(Tasks[[#This Row],[_Res4Units]]="",DefaultUnits,Tasks[[#This Row],[_Res4Units]]))</f>
        <v>0</v>
      </c>
      <c r="ED121" s="42" t="n">
        <f aca="false">IF(AND(AND(Tasks[[#This Row],[_IsLeaf]]=1,Tasks[[#This Row],[_LeafTotalWork]]&gt;0),Tasks[[#This Row],[_Res4Work]]&gt;0),Tasks[[#This Row],[_Res4Work]]/(Tasks[[#This Row],[_FinishWorkday]]-Tasks[[#This Row],[_StartWorkday]]+1),0)</f>
        <v>0</v>
      </c>
      <c r="EE121" s="42" t="n">
        <f aca="false">Tasks[[#This Row],[_Res4WorkPerWD]]*MAX(0,Tasks[[#This Row],[_StartWorkday]]-1)</f>
        <v>0</v>
      </c>
      <c r="EF121" s="42" t="n">
        <f aca="false">Tasks[[#This Row],[_Res4Work]]*Tasks[[#This Row],[_LeafProgress]]</f>
        <v>0</v>
      </c>
      <c r="EG121" s="42" t="n">
        <f aca="false">IF(ISNUMBER(Tasks[[#This Row],[% Complete]]),Tasks[[#This Row],[% Complete]],IF(Tasks[[#This Row],[Stage]]="",0,IFERROR(INDEX(stg_Pct,MATCH(Tasks[[#This Row],[Stage]],stg_Name,0)),0)))</f>
        <v>0</v>
      </c>
      <c r="EH121" s="42" t="n">
        <f aca="false">IF(NOT(Tasks[[#This Row],[_IsLeaf]]=1),0,IF(N(Tasks[[#This Row],[Actual Finish]])&gt;0,1,MIN(1,Tasks[[#This Row],[_Pct]])))</f>
        <v>0</v>
      </c>
      <c r="EI121" s="42" t="n">
        <f aca="false">IF(OR(NOT(Tasks[[#This Row],[_IsLeaf]]=1),Tasks[[#This Row],[_Res1Row]]=0),0,N(Tasks[[#This Row],[_Days]])*HoursPerDay*IF(Tasks[[#This Row],[_Units1]]="",DefaultUnits,Tasks[[#This Row],[_Units1]]))</f>
        <v>0</v>
      </c>
      <c r="EJ121" s="42" t="n">
        <f aca="false">Tasks[[#This Row],[_LeafWork]]+Tasks[[#This Row],[_Res2Work]]+Tasks[[#This Row],[_Res3Work]]+Tasks[[#This Row],[_Res4Work]]</f>
        <v>0</v>
      </c>
      <c r="EK12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1" s="42" t="n">
        <f aca="false">IF(NOT(Tasks[[#This Row],[_IsLeaf]]=1),0,MAX(_xlfn.MAXIFS(Tasks[_Row],Tasks[_Pred1UID],Tasks[[#This Row],[UID]]),_xlfn.MAXIFS(Tasks[_Row],Tasks[_Pred2UID],Tasks[[#This Row],[UID]]),_xlfn.MAXIFS(Tasks[_Row],Tasks[_Pred3UID],Tasks[[#This Row],[UID]]),_xlfn.MAXIFS(Tasks[_Row],Tasks[_Pred4UID],Tasks[[#This Row],[UID]])))</f>
        <v>0</v>
      </c>
      <c r="ET12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1" s="89" t="str">
        <f aca="false">IF(NOT(Tasks[[#This Row],[_IsLeaf]]=1),"",IF(N(Tasks[[#This Row],[_Days]])&lt;=0,Tasks[[#This Row],[_LeafLateFinish]],WORKDAY.INTL(Tasks[[#This Row],[_LeafLateFinish]],-(Tasks[[#This Row],[_Days]]-1),WorkWeek,Holidays)))</f>
        <v/>
      </c>
      <c r="EW12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1" s="88" t="b">
        <f aca="false">AND(Tasks[[#This Row],[_IsLeaf]]=1,Tasks[[#This Row],[_LeafProgress]]&lt;1,N(Tasks[[#This Row],[_LeafTotalSlack]])&lt;=CriticalSlackDays)</f>
        <v>0</v>
      </c>
      <c r="EY121" s="42" t="n">
        <f aca="false">IF(AND(Tasks[[#This Row],[_IsLeaf]]=1,Tasks[[#This Row],[_ConstraintCode]]=1,Tasks[[#This Row],[Mode]]&lt;&gt;"Manual",N(Tasks[[#This Row],[Actual Start]])=0),MAX(0,N(Tasks[[#This Row],[Free Slack]])),0)</f>
        <v>0</v>
      </c>
      <c r="EZ121" s="89" t="str">
        <f aca="false">IF(NOT(Tasks[[#This Row],[_IsLeaf]]=1),"",IF(Tasks[[#This Row],[_AlapShift]]=0,Tasks[[#This Row],[_LeafCalcStart]],WORKDAY.INTL(Tasks[[#This Row],[_LeafCalcStart]],Tasks[[#This Row],[_AlapShift]],WorkWeek,Holidays)))</f>
        <v/>
      </c>
      <c r="FA121" s="89" t="str">
        <f aca="false">IF(NOT(Tasks[[#This Row],[_IsLeaf]]=1),"",IF(Tasks[[#This Row],[_AlapShift]]=0,Tasks[[#This Row],[_LeafCalcFinish]],WORKDAY.INTL(Tasks[[#This Row],[_LeafCalcFinish]],Tasks[[#This Row],[_AlapShift]],WorkWeek,Holidays)))</f>
        <v/>
      </c>
      <c r="FB121" s="89" t="str">
        <f aca="false">IF(NOT(Tasks[[#This Row],[_IsLeaf]]=1),"",IF(Tasks[[#This Row],[_AlapShift]]=0,Tasks[[#This Row],[_LeafFcstStart]],WORKDAY.INTL(Tasks[[#This Row],[_LeafFcstStart]],Tasks[[#This Row],[_AlapShift]],WorkWeek,Holidays)))</f>
        <v/>
      </c>
      <c r="FC121" s="89" t="str">
        <f aca="false">IF(NOT(Tasks[[#This Row],[_IsLeaf]]=1),"",IF(Tasks[[#This Row],[_AlapShift]]=0,Tasks[[#This Row],[_LeafFcstFinish]],WORKDAY.INTL(Tasks[[#This Row],[_LeafFcstFinish]],Tasks[[#This Row],[_AlapShift]],WorkWeek,Holidays)))</f>
        <v/>
      </c>
      <c r="FD121" s="89" t="str">
        <f aca="false">IF(Tasks[[#This Row],[Task Name]]="","",IF(Tasks[[#This Row],[_IsSummary]],MIN(INDEX(Tasks[_ShownCalcStart],Tasks[[#This Row],[_Row]]+1):INDEX(Tasks[_ShownCalcStart],Tasks[[#This Row],[_Row]]+Tasks[[#This Row],[_Descendants]])),Tasks[[#This Row],[_ShownCalcStart]]))</f>
        <v/>
      </c>
      <c r="FE121" s="89" t="str">
        <f aca="false">IF(Tasks[[#This Row],[Task Name]]="","",IF(Tasks[[#This Row],[_IsSummary]],MAX(INDEX(Tasks[_ShownCalcFinish],Tasks[[#This Row],[_Row]]+1):INDEX(Tasks[_ShownCalcFinish],Tasks[[#This Row],[_Row]]+Tasks[[#This Row],[_Descendants]])),Tasks[[#This Row],[_ShownCalcFinish]]))</f>
        <v/>
      </c>
      <c r="FF12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1" s="42" t="n">
        <f aca="false">IF(AND(Tasks[[#This Row],[_IsLeaf]]=1,Tasks[[#This Row],[_LeafTotalWork]]&gt;0),NETWORKDAYS.INTL(ProjectStart,Tasks[[#This Row],[_ShownFcstStart]],WorkWeek,Holidays),0)</f>
        <v>0</v>
      </c>
      <c r="FS121" s="42" t="n">
        <f aca="false">IF(AND(Tasks[[#This Row],[_IsLeaf]]=1,Tasks[[#This Row],[_LeafTotalWork]]&gt;0),MAX(Tasks[[#This Row],[_StartWorkday]],NETWORKDAYS.INTL(ProjectStart,Tasks[[#This Row],[_ShownFcstFinish]],WorkWeek,Holidays)),0)</f>
        <v>0</v>
      </c>
      <c r="FT121" s="42" t="n">
        <f aca="false">IF(AND(Tasks[[#This Row],[_IsLeaf]]=1,Tasks[[#This Row],[_LeafTotalWork]]&gt;0),Tasks[[#This Row],[_LeafWork]]/(Tasks[[#This Row],[_FinishWorkday]]-Tasks[[#This Row],[_StartWorkday]]+1),0)</f>
        <v>0</v>
      </c>
      <c r="FU121" s="42" t="n">
        <f aca="false">Tasks[[#This Row],[_WorkPerWorkday]]*(Tasks[[#This Row],[_StartWorkday]]-1)</f>
        <v>-0</v>
      </c>
      <c r="FV121" s="42" t="n">
        <f aca="false">IF(Tasks[[#This Row],[_IsLeaf]]=1,MAX(N(Tasks[[#This Row],[_Days]]),0.1),0)</f>
        <v>0</v>
      </c>
      <c r="FW121" s="42" t="n">
        <f aca="false">Tasks[[#This Row],[_WeightDur]]*Tasks[[#This Row],[_LeafProgress]]</f>
        <v>0</v>
      </c>
      <c r="FX121" s="42" t="n">
        <f aca="false">Tasks[[#This Row],[_WeightDur]]*Tasks[[#This Row],[_PlannedPct]]</f>
        <v>0</v>
      </c>
      <c r="FY12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1" s="42" t="str">
        <f aca="false">IF(AND(Tasks[[#This Row],[_IsLeaf]]=1,N(Tasks[[#This Row],[_Days]])=0,Tasks[[#This Row],[_LeafProgress]]&lt;1),Tasks[[#This Row],[_ShownFcstFinish]]+Tasks[[#This Row],[_Row]]/100000,"")</f>
        <v/>
      </c>
      <c r="GA12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1" s="42" t="str">
        <f aca="false">IF(Tasks[[#This Row],[Task Name]]="","",LEFT(Tasks[[#This Row],[WBS]],FIND(".",Tasks[[#This Row],[WBS]]&amp;".")-1))</f>
        <v/>
      </c>
      <c r="GC121" s="42" t="str">
        <f aca="false">IF(AND(Tasks[[#This Row],[Task Name]]&lt;&gt;"",Tasks[[#This Row],[_Level]]=1),Tasks[[#This Row],[_Row]],"")</f>
        <v/>
      </c>
      <c r="GD121" s="42" t="str">
        <f aca="false">IF(AND(Tasks[[#This Row],[_IsLeaf]]=1,N(Tasks[[#This Row],[_Days]])=0),Tasks[[#This Row],[Planned Finish]]+Tasks[[#This Row],[_Row]]/100000,"")</f>
        <v/>
      </c>
      <c r="GE121" s="42" t="str">
        <f aca="false">IF(AND(Tasks[[#This Row],[_IsLeaf]]=1,Tasks[[#This Row],[_LeafProgress]]&lt;1,OR(N(Tasks[[#This Row],[Finish Var]])&gt;0,Tasks[[#This Row],[Status]]="Late Start")),MAX(0,Tasks[[#This Row],[Finish Var]])+1-Tasks[[#This Row],[_Row]]/1000000,"")</f>
        <v/>
      </c>
      <c r="GF121" s="42" t="str">
        <f aca="false">IF(AND(Tasks[[#This Row],[_IsLeaf]]=1,N(Tasks[[#This Row],[Actual Start]])=0,Tasks[[#This Row],[_ShownFcstStart]]&gt;=StatusDate,Tasks[[#This Row],[_ShownFcstStart]]&lt;=LookaheadEnd),Tasks[[#This Row],[_ShownFcstStart]]+Tasks[[#This Row],[_Row]]/100000,"")</f>
        <v/>
      </c>
      <c r="GG121" s="42" t="str">
        <f aca="false">IF(AND(Tasks[[#This Row],[_IsLeaf]]=1,Tasks[[#This Row],[_LeafProgress]]&lt;1,Tasks[[#This Row],[_ShownFcstFinish]]&gt;=StatusDate,Tasks[[#This Row],[_ShownFcstFinish]]&lt;=LookaheadEnd),Tasks[[#This Row],[_ShownFcstFinish]]+Tasks[[#This Row],[_Row]]/100000,"")</f>
        <v/>
      </c>
      <c r="GH121" s="42" t="str">
        <f aca="false">IF(Tasks[[#This Row],[_LeafCritical]],Tasks[[#This Row],[_ShownFcstStart]]+Tasks[[#This Row],[_Row]]/100000,"")</f>
        <v/>
      </c>
      <c r="GI121" s="42" t="n">
        <f aca="false">Tasks[[#This Row],[_LeafWork]]*Tasks[[#This Row],[_LeafProgress]]</f>
        <v>0</v>
      </c>
      <c r="GJ121" s="89" t="str">
        <f aca="false">IF(AND(Tasks[[#This Row],[_IsLeaf]]=1,Tasks[[#This Row],[_LeafProgress]]&gt;=1),IF(N(Tasks[[#This Row],[Actual Finish]])&gt;0,Tasks[[#This Row],[Actual Finish]],Tasks[[#This Row],[_ShownFcstFinish]]),"")</f>
        <v/>
      </c>
      <c r="GK121" s="42" t="n">
        <f aca="false">IF(Tasks[[#This Row],[_IsLeaf]]=1,N(Tasks[[#This Row],[Story Points]]),0)</f>
        <v>0</v>
      </c>
      <c r="GL121" s="42" t="str">
        <f aca="false">""</f>
        <v/>
      </c>
      <c r="GM121" s="88" t="b">
        <f aca="false">IF(Tasks[[#This Row],[Task Name]]="",FALSE(),AND(Tasks[[#This Row],[_IsLeaf]]=1,N(Tasks[[#This Row],[_Days]])=0))</f>
        <v>0</v>
      </c>
      <c r="GN121" s="89" t="n">
        <f aca="false">IF(Tasks[[#This Row],[Task Name]]="",0,IF(AND(Tasks[[#This Row],[_IsLeaf]]=1,NOT(Tasks[[#This Row],[_IsMilestone]]),N(Tasks[[#This Row],[Progress]])&gt;0),Tasks[[#This Row],[Start]],0))</f>
        <v>0</v>
      </c>
      <c r="GO121" s="89" t="n">
        <f aca="false">IF(Tasks[[#This Row],[_DoneFrom]]=0,0,IF(Tasks[[#This Row],[Progress]]&gt;=1,Tasks[[#This Row],[Finish]],MAX(Tasks[[#This Row],[_DoneFrom]],Tasks[[#This Row],[Start]]+ROUND((Tasks[[#This Row],[Finish]]-Tasks[[#This Row],[Start]]+1)*Tasks[[#This Row],[Progress]],0)-1)))</f>
        <v>0</v>
      </c>
      <c r="GP121" s="89" t="n">
        <f aca="false">IF(Tasks[[#This Row],[Task Name]]="",0,IF(OR(NOT(Tasks[[#This Row],[_IsLeaf]]=1),Tasks[[#This Row],[_IsMilestone]],N(Tasks[[#This Row],[Progress]])&gt;=1),0,IF(Tasks[[#This Row],[_DoneTo]]&gt;0,Tasks[[#This Row],[_DoneTo]]+1,Tasks[[#This Row],[Start]])))</f>
        <v>0</v>
      </c>
      <c r="GQ121" s="89" t="n">
        <f aca="false">IF(Tasks[[#This Row],[_RemFrom]]=0,0,Tasks[[#This Row],[Finish]])</f>
        <v>0</v>
      </c>
      <c r="GR121" s="88" t="b">
        <f aca="false">IF(Tasks[[#This Row],[Task Name]]="",FALSE(),OR(NOT(BaselineSet),N(Tasks[[#This Row],[Baseline Start]])&gt;0))</f>
        <v>0</v>
      </c>
      <c r="GS12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1" s="90" t="str">
        <f aca="false">IF(Tasks[[#This Row],[_IsLeaf]]=1,Tasks[[#This Row],[_Row]],"")</f>
        <v/>
      </c>
      <c r="GW121" s="90" t="str">
        <f aca="false">IFERROR(INDEX(Tasks[UID],SMALL(Tasks[_PickKey],Tasks[[#This Row],[_Row]]))&amp;" "&amp;INDEX(Tasks[Task Name],SMALL(Tasks[_PickKey],Tasks[[#This Row],[_Row]])),"")</f>
        <v/>
      </c>
      <c r="GX121" s="42" t="str">
        <f aca="false">IF(Tasks[[#This Row],[Task Name]]="","",IF(Tasks[[#This Row],[_IsSummary]],NETWORKDAYS.INTL(Tasks[[#This Row],[Start]],Tasks[[#This Row],[Finish]],WorkWeek,Holidays),N(Tasks[[#This Row],[_Days]])))</f>
        <v/>
      </c>
    </row>
    <row r="122" customFormat="false" ht="15" hidden="false" customHeight="false" outlineLevel="0" collapsed="false">
      <c r="A122" s="21" t="str">
        <f aca="false">IF(Tasks[[#This Row],[Task Name]]="","",COUNTA(Tasks[[#Headers],[Task Name]]:Tasks[[#This Row],[Task Name]])-1)</f>
        <v/>
      </c>
      <c r="B122" s="22" t="n">
        <v>130</v>
      </c>
      <c r="C122" s="22"/>
      <c r="D122" s="23"/>
      <c r="E122" s="22"/>
      <c r="F122" s="23"/>
      <c r="G122" s="22"/>
      <c r="H122" s="22"/>
      <c r="I122" s="23"/>
      <c r="J122" s="22"/>
      <c r="K122" s="22"/>
      <c r="L122" s="23"/>
      <c r="M122" s="22"/>
      <c r="N122" s="22"/>
      <c r="O122" s="23"/>
      <c r="P122" s="22"/>
      <c r="Q122" s="22"/>
      <c r="R122" s="23"/>
      <c r="S122" s="23"/>
      <c r="T122" s="83"/>
      <c r="U122" s="23"/>
      <c r="V122" s="83"/>
      <c r="W122" s="23"/>
      <c r="X122" s="83"/>
      <c r="Y122" s="23"/>
      <c r="Z122" s="83"/>
      <c r="AA122" s="23"/>
      <c r="AB122" s="23"/>
      <c r="AC122" s="7"/>
      <c r="AD122" s="7"/>
      <c r="AE122" s="62" t="str">
        <f aca="false">IF(Tasks[[#This Row],[Task Name]]="","",IF(Tasks[[#This Row],[_IsSummary]],MIN(INDEX(Tasks[_ShownFcstStart],Tasks[[#This Row],[_Row]]+1):INDEX(Tasks[_ShownFcstStart],Tasks[[#This Row],[_Row]]+Tasks[[#This Row],[_Descendants]])),Tasks[[#This Row],[_ShownFcstStart]]))</f>
        <v/>
      </c>
      <c r="AF122" s="62" t="str">
        <f aca="false">IF(Tasks[[#This Row],[Task Name]]="","",IF(Tasks[[#This Row],[_IsSummary]],MAX(INDEX(Tasks[_ShownFcstFinish],Tasks[[#This Row],[_Row]]+1):INDEX(Tasks[_ShownFcstFinish],Tasks[[#This Row],[_Row]]+Tasks[[#This Row],[_Descendants]])),Tasks[[#This Row],[_ShownFcstFinish]]))</f>
        <v/>
      </c>
      <c r="AG122" s="21" t="str">
        <f aca="false">""</f>
        <v/>
      </c>
      <c r="AH122" s="23"/>
      <c r="AI12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2" s="7"/>
      <c r="AK122" s="22"/>
      <c r="AL122" s="23"/>
      <c r="AM122" s="7"/>
      <c r="AN122" s="46" t="str">
        <f aca="false">IF(Tasks[[#This Row],[Task Name]]="","",IF(Tasks[[#This Row],[Finish]]&gt;=Tasks[[#This Row],[Planned Finish]],NETWORKDAYS.INTL(Tasks[[#This Row],[Planned Finish]],Tasks[[#This Row],[Finish]],WorkWeek,Holidays)-1,1-NETWORKDAYS.INTL(Tasks[[#This Row],[Finish]],Tasks[[#This Row],[Planned Finish]],WorkWeek,Holidays)))</f>
        <v/>
      </c>
      <c r="AO122" s="21" t="str">
        <f aca="false">IF(Tasks[[#This Row],[Task Name]]="","",IF(Tasks[[#This Row],[Progress]]&gt;=1,"Complete",IF(OR(N(Tasks[[#This Row],[Actual Start]])&gt;0,Tasks[[#This Row],[Progress]]&gt;0),IF(Tasks[[#This Row],[Finish Var]]&gt;0,"Behind","In Progress"),IF(Tasks[[#This Row],[Planned Start]]&lt;StatusDate,"Late Start","Not Started"))))</f>
        <v/>
      </c>
      <c r="AP122" s="21" t="str">
        <f aca="false">IF(Tasks[[#This Row],[Task Name]]="","",IF(IF(Tasks[[#This Row],[_IsSummary]],COUNTIF(INDEX(Tasks[_LeafCritical],Tasks[[#This Row],[_Row]]+1):INDEX(Tasks[_LeafCritical],Tasks[[#This Row],[_Row]]+Tasks[[#This Row],[_Descendants]]),TRUE())&gt;0,Tasks[[#This Row],[_LeafCritical]]),"Yes",""))</f>
        <v/>
      </c>
      <c r="AQ122" s="62" t="str">
        <f aca="false">IF(Tasks[[#This Row],[Task Name]]="","",IF(N(Tasks[[#This Row],[Baseline Start]])&gt;0,Tasks[[#This Row],[Baseline Start]],Tasks[[#This Row],[_CalcStart]]))</f>
        <v/>
      </c>
      <c r="AR122" s="62" t="str">
        <f aca="false">IF(Tasks[[#This Row],[Task Name]]="","",IF(N(Tasks[[#This Row],[Baseline Finish]])&gt;0,Tasks[[#This Row],[Baseline Finish]],Tasks[[#This Row],[_CalcFinish]]))</f>
        <v/>
      </c>
      <c r="AS122" s="46" t="str">
        <f aca="false">IF(Tasks[[#This Row],[Task Name]]="","",IF(Tasks[[#This Row],[Start]]&gt;=Tasks[[#This Row],[Planned Start]],NETWORKDAYS.INTL(Tasks[[#This Row],[Planned Start]],Tasks[[#This Row],[Start]],WorkWeek,Holidays)-1,1-NETWORKDAYS.INTL(Tasks[[#This Row],[Start]],Tasks[[#This Row],[Planned Start]],WorkWeek,Holidays)))</f>
        <v/>
      </c>
      <c r="AT122" s="62" t="str">
        <f aca="false">IF(Tasks[[#This Row],[Task Name]]="","",IF(Tasks[[#This Row],[_IsSummary]],MIN(INDEX(Tasks[_LeafLateStart],Tasks[[#This Row],[_Row]]+1):INDEX(Tasks[_LeafLateStart],Tasks[[#This Row],[_Row]]+Tasks[[#This Row],[_Descendants]])),Tasks[[#This Row],[_LeafLateStart]]))</f>
        <v/>
      </c>
      <c r="AU122" s="62" t="str">
        <f aca="false">IF(Tasks[[#This Row],[Task Name]]="","",IF(Tasks[[#This Row],[_IsSummary]],MAX(INDEX(Tasks[_LeafLateFinish],Tasks[[#This Row],[_Row]]+1):INDEX(Tasks[_LeafLateFinish],Tasks[[#This Row],[_Row]]+Tasks[[#This Row],[_Descendants]])),Tasks[[#This Row],[_LeafLateFinish]]))</f>
        <v/>
      </c>
      <c r="AV122" s="46" t="str">
        <f aca="false">IF(Tasks[[#This Row],[Task Name]]="","",IF(Tasks[[#This Row],[_IsSummary]],MIN(INDEX(Tasks[_LeafTotalSlack],Tasks[[#This Row],[_Row]]+1):INDEX(Tasks[_LeafTotalSlack],Tasks[[#This Row],[_Row]]+Tasks[[#This Row],[_Descendants]])),Tasks[[#This Row],[_LeafTotalSlack]]))</f>
        <v/>
      </c>
      <c r="AW12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4"/>
      <c r="BA12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t="str">
        <f aca="false">IF(Tasks[[#This Row],[Task Name]]="","",IF(Tasks[[#This Row],[_Level]]&lt;=OutlineShowLevel,"Yes","No"))</f>
        <v/>
      </c>
      <c r="BE122" s="85" t="str">
        <f aca="false">IF(Tasks[[#This Row],[Task Name]]="","",IF(Tasks[[#This Row],[_IsSummary]],SUM(INDEX(Tasks[_LeafTotalWork],Tasks[[#This Row],[_Row]]+1):INDEX(Tasks[_LeafTotalWork],Tasks[[#This Row],[_Row]]+Tasks[[#This Row],[_Descendants]])),Tasks[[#This Row],[_LeafTotalWork]]))</f>
        <v/>
      </c>
      <c r="BF122" s="23"/>
      <c r="BG12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t="str">
        <f aca="false">""</f>
        <v/>
      </c>
      <c r="BI122" s="86"/>
      <c r="BJ122" s="22"/>
      <c r="BK122" s="46" t="str">
        <f aca="false">IF(OR(Tasks[[#This Row],[Task Name]]="",Tasks[[#This Row],[Baseline Duration]]=""),"",Tasks[[#This Row],[_SpanDays]]-N(Tasks[[#This Row],[Baseline Duration]]))</f>
        <v/>
      </c>
      <c r="BL122" s="85" t="str">
        <f aca="false">IF(OR(Tasks[[#This Row],[Task Name]]="",Tasks[[#This Row],[Baseline Work]]=""),"",Tasks[[#This Row],[Work]]-N(Tasks[[#This Row],[Baseline Work]]))</f>
        <v/>
      </c>
      <c r="BM122" s="62" t="str">
        <f aca="false">IF(Tasks[[#This Row],[Task Name]]="","",IF(OR(TakeBaseline="Yes",N(Tasks[[#This Row],[Baseline Start]])=0),Tasks[[#This Row],[Start]],Tasks[[#This Row],[Baseline Start]]))</f>
        <v/>
      </c>
      <c r="BN122" s="62" t="str">
        <f aca="false">IF(Tasks[[#This Row],[Task Name]]="","",IF(OR(TakeBaseline="Yes",N(Tasks[[#This Row],[Baseline Finish]])=0),Tasks[[#This Row],[Finish]],Tasks[[#This Row],[Baseline Finish]]))</f>
        <v/>
      </c>
      <c r="BO122" s="21" t="str">
        <f aca="false">IF(Tasks[[#This Row],[Task Name]]="","",IF(OR(TakeBaseline="Yes",N(Tasks[[#This Row],[Baseline Duration]])=0),Tasks[[#This Row],[_SpanDays]],Tasks[[#This Row],[Baseline Duration]]))</f>
        <v/>
      </c>
      <c r="BP122" s="85" t="str">
        <f aca="false">IF(Tasks[[#This Row],[Task Name]]="","",IF(OR(TakeBaseline="Yes",N(Tasks[[#This Row],[Baseline Work]])=0),Tasks[[#This Row],[Work]],Tasks[[#This Row],[Baseline Work]]))</f>
        <v/>
      </c>
      <c r="BQ122" s="7"/>
      <c r="BR122" s="7"/>
      <c r="BS122" s="22"/>
      <c r="BT122" s="87"/>
      <c r="BU122" s="42" t="str">
        <f aca="false">IF(Tasks[[#This Row],[Task Name]]="","",MAX(1,N(Tasks[[#This Row],[Level]])))</f>
        <v/>
      </c>
      <c r="BV122" s="42" t="n">
        <f aca="false">ROW()-ROW(Tasks[[#Headers],[ID]])</f>
        <v>117</v>
      </c>
      <c r="BW122" s="42" t="n">
        <f aca="false">IF(OR(Tasks[[#This Row],[Task Name]]="",Tasks[[#This Row],[_Level]]&lt;=1),0,IFERROR(LOOKUP(2,1/(Tasks[[#Headers],[_Level]]:Tasks[[#This Row],[_Level]]=Tasks[[#This Row],[_Level]]-1),ROW(Tasks[[#Headers],[_Level]]:Tasks[[#This Row],[_Level]])),0))</f>
        <v>0</v>
      </c>
      <c r="BX122" s="42" t="n">
        <f aca="false">IFERROR(N(INDEX(Tasks[_Level],Tasks[[#This Row],[_Row]]+1)),0)</f>
        <v>0</v>
      </c>
      <c r="BY122" s="88" t="b">
        <f aca="false">AND(Tasks[[#This Row],[Task Name]]&lt;&gt;"",Tasks[[#This Row],[_NextLevel]]&gt;Tasks[[#This Row],[_Level]])</f>
        <v>0</v>
      </c>
      <c r="BZ122" s="42" t="n">
        <f aca="false">IF(Tasks[[#This Row],[_IsSummary]],COUNTIF(Tasks[WBS],Tasks[[#This Row],[WBS]]&amp;".*"),0)</f>
        <v>0</v>
      </c>
      <c r="CA122" s="42" t="n">
        <f aca="false">IF(AND(Tasks[[#This Row],[Task Name]]&lt;&gt;"",NOT(Tasks[[#This Row],[_IsSummary]])),1,0)</f>
        <v>0</v>
      </c>
      <c r="CB122" s="42" t="n">
        <f aca="false">IF(N(Tasks[[#This Row],[_Pred1UID]])=0,0,IFERROR(MATCH(Tasks[[#This Row],[_Pred1UID]],Tasks[UID],0),-1))</f>
        <v>0</v>
      </c>
      <c r="CC122" s="42" t="n">
        <f aca="false">IF(N(Tasks[[#This Row],[_Pred2UID]])=0,0,IFERROR(MATCH(Tasks[[#This Row],[_Pred2UID]],Tasks[UID],0),-1))</f>
        <v>0</v>
      </c>
      <c r="CD122" s="42" t="n">
        <f aca="false">IF(N(Tasks[[#This Row],[_Pred3UID]])=0,0,IFERROR(MATCH(Tasks[[#This Row],[_Pred3UID]],Tasks[UID],0),-1))</f>
        <v>0</v>
      </c>
      <c r="CE122" s="42" t="n">
        <f aca="false">IF(N(Tasks[[#This Row],[_Pred4UID]])=0,0,IFERROR(MATCH(Tasks[[#This Row],[_Pred4UID]],Tasks[UID],0),-1))</f>
        <v>0</v>
      </c>
      <c r="CF12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2" s="89" t="n">
        <f aca="false">IF(OR(Tasks[[#This Row],[_ConstraintCode]]=2,Tasks[[#This Row],[_ConstraintCode]]=3,Tasks[[#This Row],[_ConstraintCode]]=4,Tasks[[#This Row],[_ConstraintCode]]=6),Tasks[[#This Row],[_ConstraintStart]],0)</f>
        <v>0</v>
      </c>
      <c r="CI122" s="89" t="n">
        <f aca="false">IF(OR(Tasks[[#This Row],[_ConstraintCode]]=2,Tasks[[#This Row],[_ConstraintCode]]=3,Tasks[[#This Row],[_ConstraintCode]]=5,Tasks[[#This Row],[_ConstraintCode]]=7),Tasks[[#This Row],[_ConstraintStart]],2958465)</f>
        <v>2958465</v>
      </c>
      <c r="CJ12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2" s="89" t="str">
        <f aca="false">IF(NOT(Tasks[[#This Row],[_IsLeaf]]=1),"",IF(N(Tasks[[#This Row],[_Days]])&lt;=0,Tasks[[#This Row],[_LeafCalcStart]],WORKDAY.INTL(Tasks[[#This Row],[_LeafCalcStart]],Tasks[[#This Row],[_Days]]-1,WorkWeek,Holidays)))</f>
        <v/>
      </c>
      <c r="CL12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2" s="42" t="str">
        <f aca="false">IF(Tasks[[#This Row],[_Predecessors]]="","",TRIM(MID(SUBSTITUTE(SUBSTITUTE(SUBSTITUTE(UPPER(Tasks[[#This Row],[_Predecessors]]),";",",")," ",""),",",REPT(" ",99)),1,99)))</f>
        <v/>
      </c>
      <c r="CO122" s="42" t="str">
        <f aca="false">IF(Tasks[[#This Row],[_Pred1Text]]="","",IFERROR(VALUE(LEFT(Tasks[[#This Row],[_Pred1Text]],MIN(FIND("F",Tasks[[#This Row],[_Pred1Text]]&amp;"F"),FIND("S",Tasks[[#This Row],[_Pred1Text]]&amp;"S"),FIND("+",Tasks[[#This Row],[_Pred1Text]]&amp;"+"),FIND("-",Tasks[[#This Row],[_Pred1Text]]&amp;"-"))-1)),""))</f>
        <v/>
      </c>
      <c r="CP12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2" s="42" t="str">
        <f aca="false">IF(Tasks[[#This Row],[_Pred1Text]]="","",TRIM(MID(SUBSTITUTE(SUBSTITUTE(SUBSTITUTE(UPPER(Tasks[[#This Row],[_Predecessors]]),";",",")," ",""),",",REPT(" ",99)),100,99)))</f>
        <v/>
      </c>
      <c r="CS122" s="42" t="str">
        <f aca="false">IF(Tasks[[#This Row],[_Pred2Text]]="","",IFERROR(VALUE(LEFT(Tasks[[#This Row],[_Pred2Text]],MIN(FIND("F",Tasks[[#This Row],[_Pred2Text]]&amp;"F"),FIND("S",Tasks[[#This Row],[_Pred2Text]]&amp;"S"),FIND("+",Tasks[[#This Row],[_Pred2Text]]&amp;"+"),FIND("-",Tasks[[#This Row],[_Pred2Text]]&amp;"-"))-1)),""))</f>
        <v/>
      </c>
      <c r="CT12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2" s="42" t="str">
        <f aca="false">IF(Tasks[[#This Row],[_Pred2Text]]="","",TRIM(MID(SUBSTITUTE(SUBSTITUTE(SUBSTITUTE(UPPER(Tasks[[#This Row],[_Predecessors]]),";",",")," ",""),",",REPT(" ",99)),199,99)))</f>
        <v/>
      </c>
      <c r="CW122" s="42" t="str">
        <f aca="false">IF(Tasks[[#This Row],[_Pred3Text]]="","",IFERROR(VALUE(LEFT(Tasks[[#This Row],[_Pred3Text]],MIN(FIND("F",Tasks[[#This Row],[_Pred3Text]]&amp;"F"),FIND("S",Tasks[[#This Row],[_Pred3Text]]&amp;"S"),FIND("+",Tasks[[#This Row],[_Pred3Text]]&amp;"+"),FIND("-",Tasks[[#This Row],[_Pred3Text]]&amp;"-"))-1)),""))</f>
        <v/>
      </c>
      <c r="CX12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2" s="42" t="str">
        <f aca="false">IF(Tasks[[#This Row],[_Pred3Text]]="","",TRIM(MID(SUBSTITUTE(SUBSTITUTE(SUBSTITUTE(UPPER(Tasks[[#This Row],[_Predecessors]]),";",",")," ",""),",",REPT(" ",99)),298,99)))</f>
        <v/>
      </c>
      <c r="DA122" s="42" t="str">
        <f aca="false">IF(Tasks[[#This Row],[_Pred4Text]]="","",IFERROR(VALUE(LEFT(Tasks[[#This Row],[_Pred4Text]],MIN(FIND("F",Tasks[[#This Row],[_Pred4Text]]&amp;"F"),FIND("S",Tasks[[#This Row],[_Pred4Text]]&amp;"S"),FIND("+",Tasks[[#This Row],[_Pred4Text]]&amp;"+"),FIND("-",Tasks[[#This Row],[_Pred4Text]]&amp;"-"))-1)),""))</f>
        <v/>
      </c>
      <c r="DB12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2" s="42" t="str">
        <f aca="false">IF(OR(Tasks[[#This Row],[Task Name]]="",Tasks[[#This Row],[_Resources]]=""),"",TRIM(MID(SUBSTITUTE(Tasks[[#This Row],[_Resources]],",",REPT(" ",99)),1,99)))</f>
        <v/>
      </c>
      <c r="DE122" s="42" t="str">
        <f aca="false">IF(Tasks[[#This Row],[_Res1Text]]="","",TRIM(MID(SUBSTITUTE(Tasks[[#This Row],[_Resources]],",",REPT(" ",99)),100,99)))</f>
        <v/>
      </c>
      <c r="DF122" s="42" t="str">
        <f aca="false">IF(Tasks[[#This Row],[_Res2Text]]="","",TRIM(MID(SUBSTITUTE(Tasks[[#This Row],[_Resources]],",",REPT(" ",99)),199,99)))</f>
        <v/>
      </c>
      <c r="DG122" s="42" t="str">
        <f aca="false">IF(Tasks[[#This Row],[_Res3Text]]="","",TRIM(MID(SUBSTITUTE(Tasks[[#This Row],[_Resources]],",",REPT(" ",99)),298,99)))</f>
        <v/>
      </c>
      <c r="DH122" s="42" t="n">
        <f aca="false">IF(Tasks[[#This Row],[_Res1Text]]="",0,IFERROR(MATCH(TRIM(LEFT(Tasks[[#This Row],[_Res1Text]],FIND("[",Tasks[[#This Row],[_Res1Text]]&amp;"[")-1)),res_Name,0),IFERROR(MATCH(TRIM(LEFT(Tasks[[#This Row],[_Res1Text]],FIND("[",Tasks[[#This Row],[_Res1Text]]&amp;"[")-1)),res_Initials,0),0)))</f>
        <v>0</v>
      </c>
      <c r="DI122" s="42" t="n">
        <f aca="false">IF(Tasks[[#This Row],[_Res2Text]]="",0,IFERROR(MATCH(TRIM(LEFT(Tasks[[#This Row],[_Res2Text]],FIND("[",Tasks[[#This Row],[_Res2Text]]&amp;"[")-1)),res_Name,0),IFERROR(MATCH(TRIM(LEFT(Tasks[[#This Row],[_Res2Text]],FIND("[",Tasks[[#This Row],[_Res2Text]]&amp;"[")-1)),res_Initials,0),0)))</f>
        <v>0</v>
      </c>
      <c r="DJ122" s="42" t="n">
        <f aca="false">IF(Tasks[[#This Row],[_Res3Text]]="",0,IFERROR(MATCH(TRIM(LEFT(Tasks[[#This Row],[_Res3Text]],FIND("[",Tasks[[#This Row],[_Res3Text]]&amp;"[")-1)),res_Name,0),IFERROR(MATCH(TRIM(LEFT(Tasks[[#This Row],[_Res3Text]],FIND("[",Tasks[[#This Row],[_Res3Text]]&amp;"[")-1)),res_Initials,0),0)))</f>
        <v>0</v>
      </c>
      <c r="DK122" s="42" t="n">
        <f aca="false">IF(Tasks[[#This Row],[_Res4Text]]="",0,IFERROR(MATCH(TRIM(LEFT(Tasks[[#This Row],[_Res4Text]],FIND("[",Tasks[[#This Row],[_Res4Text]]&amp;"[")-1)),res_Name,0),IFERROR(MATCH(TRIM(LEFT(Tasks[[#This Row],[_Res4Text]],FIND("[",Tasks[[#This Row],[_Res4Text]]&amp;"[")-1)),res_Initials,0),0)))</f>
        <v>0</v>
      </c>
      <c r="DL122" s="42" t="str">
        <f aca="false">IF(Tasks[[#This Row],[_Res1Text]]="","",IF(Tasks[[#This Row],[_Res1Row]]&gt;0,INDEX(res_Name,Tasks[[#This Row],[_Res1Row]]),TRIM(LEFT(Tasks[[#This Row],[_Res1Text]],FIND("[",Tasks[[#This Row],[_Res1Text]]&amp;"[")-1))))</f>
        <v/>
      </c>
      <c r="DM12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2" s="42" t="n">
        <f aca="false">IF(NOT(Tasks[[#This Row],[_IsLeaf]]=1),0,(Tasks[[#This Row],[_Resource1]]&lt;&gt;"")+(Tasks[[#This Row],[_Res2]]&lt;&gt;"")+(Tasks[[#This Row],[_Res3]]&lt;&gt;"")+(Tasks[[#This Row],[_Res4]]&lt;&gt;""))</f>
        <v>0</v>
      </c>
      <c r="DO122" s="42" t="str">
        <f aca="false">IF(Tasks[[#This Row],[_Res2Text]]="","",IF(Tasks[[#This Row],[_Res2Row]]&gt;0,INDEX(res_Name,Tasks[[#This Row],[_Res2Row]]),TRIM(LEFT(Tasks[[#This Row],[_Res2Text]],FIND("[",Tasks[[#This Row],[_Res2Text]]&amp;"[")-1))))</f>
        <v/>
      </c>
      <c r="DP12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2" s="42" t="n">
        <f aca="false">IF(OR(NOT(Tasks[[#This Row],[_IsLeaf]]=1),Tasks[[#This Row],[_Res2Row]]=0),0,N(Tasks[[#This Row],[_Days]])*HoursPerDay*IF(Tasks[[#This Row],[_Res2Units]]="",DefaultUnits,Tasks[[#This Row],[_Res2Units]]))</f>
        <v>0</v>
      </c>
      <c r="DR122" s="42" t="n">
        <f aca="false">IF(AND(AND(Tasks[[#This Row],[_IsLeaf]]=1,Tasks[[#This Row],[_LeafTotalWork]]&gt;0),Tasks[[#This Row],[_Res2Work]]&gt;0),Tasks[[#This Row],[_Res2Work]]/(Tasks[[#This Row],[_FinishWorkday]]-Tasks[[#This Row],[_StartWorkday]]+1),0)</f>
        <v>0</v>
      </c>
      <c r="DS122" s="42" t="n">
        <f aca="false">Tasks[[#This Row],[_Res2WorkPerWD]]*MAX(0,Tasks[[#This Row],[_StartWorkday]]-1)</f>
        <v>0</v>
      </c>
      <c r="DT122" s="42" t="n">
        <f aca="false">Tasks[[#This Row],[_Res2Work]]*Tasks[[#This Row],[_LeafProgress]]</f>
        <v>0</v>
      </c>
      <c r="DU122" s="42" t="str">
        <f aca="false">IF(Tasks[[#This Row],[_Res3Text]]="","",IF(Tasks[[#This Row],[_Res3Row]]&gt;0,INDEX(res_Name,Tasks[[#This Row],[_Res3Row]]),TRIM(LEFT(Tasks[[#This Row],[_Res3Text]],FIND("[",Tasks[[#This Row],[_Res3Text]]&amp;"[")-1))))</f>
        <v/>
      </c>
      <c r="DV12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2" s="42" t="n">
        <f aca="false">IF(OR(NOT(Tasks[[#This Row],[_IsLeaf]]=1),Tasks[[#This Row],[_Res3Row]]=0),0,N(Tasks[[#This Row],[_Days]])*HoursPerDay*IF(Tasks[[#This Row],[_Res3Units]]="",DefaultUnits,Tasks[[#This Row],[_Res3Units]]))</f>
        <v>0</v>
      </c>
      <c r="DX122" s="42" t="n">
        <f aca="false">IF(AND(AND(Tasks[[#This Row],[_IsLeaf]]=1,Tasks[[#This Row],[_LeafTotalWork]]&gt;0),Tasks[[#This Row],[_Res3Work]]&gt;0),Tasks[[#This Row],[_Res3Work]]/(Tasks[[#This Row],[_FinishWorkday]]-Tasks[[#This Row],[_StartWorkday]]+1),0)</f>
        <v>0</v>
      </c>
      <c r="DY122" s="42" t="n">
        <f aca="false">Tasks[[#This Row],[_Res3WorkPerWD]]*MAX(0,Tasks[[#This Row],[_StartWorkday]]-1)</f>
        <v>0</v>
      </c>
      <c r="DZ122" s="42" t="n">
        <f aca="false">Tasks[[#This Row],[_Res3Work]]*Tasks[[#This Row],[_LeafProgress]]</f>
        <v>0</v>
      </c>
      <c r="EA122" s="42" t="str">
        <f aca="false">IF(Tasks[[#This Row],[_Res4Text]]="","",IF(Tasks[[#This Row],[_Res4Row]]&gt;0,INDEX(res_Name,Tasks[[#This Row],[_Res4Row]]),TRIM(LEFT(Tasks[[#This Row],[_Res4Text]],FIND("[",Tasks[[#This Row],[_Res4Text]]&amp;"[")-1))))</f>
        <v/>
      </c>
      <c r="EB12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2" s="42" t="n">
        <f aca="false">IF(OR(NOT(Tasks[[#This Row],[_IsLeaf]]=1),Tasks[[#This Row],[_Res4Row]]=0),0,N(Tasks[[#This Row],[_Days]])*HoursPerDay*IF(Tasks[[#This Row],[_Res4Units]]="",DefaultUnits,Tasks[[#This Row],[_Res4Units]]))</f>
        <v>0</v>
      </c>
      <c r="ED122" s="42" t="n">
        <f aca="false">IF(AND(AND(Tasks[[#This Row],[_IsLeaf]]=1,Tasks[[#This Row],[_LeafTotalWork]]&gt;0),Tasks[[#This Row],[_Res4Work]]&gt;0),Tasks[[#This Row],[_Res4Work]]/(Tasks[[#This Row],[_FinishWorkday]]-Tasks[[#This Row],[_StartWorkday]]+1),0)</f>
        <v>0</v>
      </c>
      <c r="EE122" s="42" t="n">
        <f aca="false">Tasks[[#This Row],[_Res4WorkPerWD]]*MAX(0,Tasks[[#This Row],[_StartWorkday]]-1)</f>
        <v>0</v>
      </c>
      <c r="EF122" s="42" t="n">
        <f aca="false">Tasks[[#This Row],[_Res4Work]]*Tasks[[#This Row],[_LeafProgress]]</f>
        <v>0</v>
      </c>
      <c r="EG122" s="42" t="n">
        <f aca="false">IF(ISNUMBER(Tasks[[#This Row],[% Complete]]),Tasks[[#This Row],[% Complete]],IF(Tasks[[#This Row],[Stage]]="",0,IFERROR(INDEX(stg_Pct,MATCH(Tasks[[#This Row],[Stage]],stg_Name,0)),0)))</f>
        <v>0</v>
      </c>
      <c r="EH122" s="42" t="n">
        <f aca="false">IF(NOT(Tasks[[#This Row],[_IsLeaf]]=1),0,IF(N(Tasks[[#This Row],[Actual Finish]])&gt;0,1,MIN(1,Tasks[[#This Row],[_Pct]])))</f>
        <v>0</v>
      </c>
      <c r="EI122" s="42" t="n">
        <f aca="false">IF(OR(NOT(Tasks[[#This Row],[_IsLeaf]]=1),Tasks[[#This Row],[_Res1Row]]=0),0,N(Tasks[[#This Row],[_Days]])*HoursPerDay*IF(Tasks[[#This Row],[_Units1]]="",DefaultUnits,Tasks[[#This Row],[_Units1]]))</f>
        <v>0</v>
      </c>
      <c r="EJ122" s="42" t="n">
        <f aca="false">Tasks[[#This Row],[_LeafWork]]+Tasks[[#This Row],[_Res2Work]]+Tasks[[#This Row],[_Res3Work]]+Tasks[[#This Row],[_Res4Work]]</f>
        <v>0</v>
      </c>
      <c r="EK12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2" s="42" t="n">
        <f aca="false">IF(NOT(Tasks[[#This Row],[_IsLeaf]]=1),0,MAX(_xlfn.MAXIFS(Tasks[_Row],Tasks[_Pred1UID],Tasks[[#This Row],[UID]]),_xlfn.MAXIFS(Tasks[_Row],Tasks[_Pred2UID],Tasks[[#This Row],[UID]]),_xlfn.MAXIFS(Tasks[_Row],Tasks[_Pred3UID],Tasks[[#This Row],[UID]]),_xlfn.MAXIFS(Tasks[_Row],Tasks[_Pred4UID],Tasks[[#This Row],[UID]])))</f>
        <v>0</v>
      </c>
      <c r="ET12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2" s="89" t="str">
        <f aca="false">IF(NOT(Tasks[[#This Row],[_IsLeaf]]=1),"",IF(N(Tasks[[#This Row],[_Days]])&lt;=0,Tasks[[#This Row],[_LeafLateFinish]],WORKDAY.INTL(Tasks[[#This Row],[_LeafLateFinish]],-(Tasks[[#This Row],[_Days]]-1),WorkWeek,Holidays)))</f>
        <v/>
      </c>
      <c r="EW12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2" s="88" t="b">
        <f aca="false">AND(Tasks[[#This Row],[_IsLeaf]]=1,Tasks[[#This Row],[_LeafProgress]]&lt;1,N(Tasks[[#This Row],[_LeafTotalSlack]])&lt;=CriticalSlackDays)</f>
        <v>0</v>
      </c>
      <c r="EY122" s="42" t="n">
        <f aca="false">IF(AND(Tasks[[#This Row],[_IsLeaf]]=1,Tasks[[#This Row],[_ConstraintCode]]=1,Tasks[[#This Row],[Mode]]&lt;&gt;"Manual",N(Tasks[[#This Row],[Actual Start]])=0),MAX(0,N(Tasks[[#This Row],[Free Slack]])),0)</f>
        <v>0</v>
      </c>
      <c r="EZ122" s="89" t="str">
        <f aca="false">IF(NOT(Tasks[[#This Row],[_IsLeaf]]=1),"",IF(Tasks[[#This Row],[_AlapShift]]=0,Tasks[[#This Row],[_LeafCalcStart]],WORKDAY.INTL(Tasks[[#This Row],[_LeafCalcStart]],Tasks[[#This Row],[_AlapShift]],WorkWeek,Holidays)))</f>
        <v/>
      </c>
      <c r="FA122" s="89" t="str">
        <f aca="false">IF(NOT(Tasks[[#This Row],[_IsLeaf]]=1),"",IF(Tasks[[#This Row],[_AlapShift]]=0,Tasks[[#This Row],[_LeafCalcFinish]],WORKDAY.INTL(Tasks[[#This Row],[_LeafCalcFinish]],Tasks[[#This Row],[_AlapShift]],WorkWeek,Holidays)))</f>
        <v/>
      </c>
      <c r="FB122" s="89" t="str">
        <f aca="false">IF(NOT(Tasks[[#This Row],[_IsLeaf]]=1),"",IF(Tasks[[#This Row],[_AlapShift]]=0,Tasks[[#This Row],[_LeafFcstStart]],WORKDAY.INTL(Tasks[[#This Row],[_LeafFcstStart]],Tasks[[#This Row],[_AlapShift]],WorkWeek,Holidays)))</f>
        <v/>
      </c>
      <c r="FC122" s="89" t="str">
        <f aca="false">IF(NOT(Tasks[[#This Row],[_IsLeaf]]=1),"",IF(Tasks[[#This Row],[_AlapShift]]=0,Tasks[[#This Row],[_LeafFcstFinish]],WORKDAY.INTL(Tasks[[#This Row],[_LeafFcstFinish]],Tasks[[#This Row],[_AlapShift]],WorkWeek,Holidays)))</f>
        <v/>
      </c>
      <c r="FD122" s="89" t="str">
        <f aca="false">IF(Tasks[[#This Row],[Task Name]]="","",IF(Tasks[[#This Row],[_IsSummary]],MIN(INDEX(Tasks[_ShownCalcStart],Tasks[[#This Row],[_Row]]+1):INDEX(Tasks[_ShownCalcStart],Tasks[[#This Row],[_Row]]+Tasks[[#This Row],[_Descendants]])),Tasks[[#This Row],[_ShownCalcStart]]))</f>
        <v/>
      </c>
      <c r="FE122" s="89" t="str">
        <f aca="false">IF(Tasks[[#This Row],[Task Name]]="","",IF(Tasks[[#This Row],[_IsSummary]],MAX(INDEX(Tasks[_ShownCalcFinish],Tasks[[#This Row],[_Row]]+1):INDEX(Tasks[_ShownCalcFinish],Tasks[[#This Row],[_Row]]+Tasks[[#This Row],[_Descendants]])),Tasks[[#This Row],[_ShownCalcFinish]]))</f>
        <v/>
      </c>
      <c r="FF12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2" s="42" t="n">
        <f aca="false">IF(AND(Tasks[[#This Row],[_IsLeaf]]=1,Tasks[[#This Row],[_LeafTotalWork]]&gt;0),NETWORKDAYS.INTL(ProjectStart,Tasks[[#This Row],[_ShownFcstStart]],WorkWeek,Holidays),0)</f>
        <v>0</v>
      </c>
      <c r="FS122" s="42" t="n">
        <f aca="false">IF(AND(Tasks[[#This Row],[_IsLeaf]]=1,Tasks[[#This Row],[_LeafTotalWork]]&gt;0),MAX(Tasks[[#This Row],[_StartWorkday]],NETWORKDAYS.INTL(ProjectStart,Tasks[[#This Row],[_ShownFcstFinish]],WorkWeek,Holidays)),0)</f>
        <v>0</v>
      </c>
      <c r="FT122" s="42" t="n">
        <f aca="false">IF(AND(Tasks[[#This Row],[_IsLeaf]]=1,Tasks[[#This Row],[_LeafTotalWork]]&gt;0),Tasks[[#This Row],[_LeafWork]]/(Tasks[[#This Row],[_FinishWorkday]]-Tasks[[#This Row],[_StartWorkday]]+1),0)</f>
        <v>0</v>
      </c>
      <c r="FU122" s="42" t="n">
        <f aca="false">Tasks[[#This Row],[_WorkPerWorkday]]*(Tasks[[#This Row],[_StartWorkday]]-1)</f>
        <v>-0</v>
      </c>
      <c r="FV122" s="42" t="n">
        <f aca="false">IF(Tasks[[#This Row],[_IsLeaf]]=1,MAX(N(Tasks[[#This Row],[_Days]]),0.1),0)</f>
        <v>0</v>
      </c>
      <c r="FW122" s="42" t="n">
        <f aca="false">Tasks[[#This Row],[_WeightDur]]*Tasks[[#This Row],[_LeafProgress]]</f>
        <v>0</v>
      </c>
      <c r="FX122" s="42" t="n">
        <f aca="false">Tasks[[#This Row],[_WeightDur]]*Tasks[[#This Row],[_PlannedPct]]</f>
        <v>0</v>
      </c>
      <c r="FY12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2" s="42" t="str">
        <f aca="false">IF(AND(Tasks[[#This Row],[_IsLeaf]]=1,N(Tasks[[#This Row],[_Days]])=0,Tasks[[#This Row],[_LeafProgress]]&lt;1),Tasks[[#This Row],[_ShownFcstFinish]]+Tasks[[#This Row],[_Row]]/100000,"")</f>
        <v/>
      </c>
      <c r="GA12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2" s="42" t="str">
        <f aca="false">IF(Tasks[[#This Row],[Task Name]]="","",LEFT(Tasks[[#This Row],[WBS]],FIND(".",Tasks[[#This Row],[WBS]]&amp;".")-1))</f>
        <v/>
      </c>
      <c r="GC122" s="42" t="str">
        <f aca="false">IF(AND(Tasks[[#This Row],[Task Name]]&lt;&gt;"",Tasks[[#This Row],[_Level]]=1),Tasks[[#This Row],[_Row]],"")</f>
        <v/>
      </c>
      <c r="GD122" s="42" t="str">
        <f aca="false">IF(AND(Tasks[[#This Row],[_IsLeaf]]=1,N(Tasks[[#This Row],[_Days]])=0),Tasks[[#This Row],[Planned Finish]]+Tasks[[#This Row],[_Row]]/100000,"")</f>
        <v/>
      </c>
      <c r="GE122" s="42" t="str">
        <f aca="false">IF(AND(Tasks[[#This Row],[_IsLeaf]]=1,Tasks[[#This Row],[_LeafProgress]]&lt;1,OR(N(Tasks[[#This Row],[Finish Var]])&gt;0,Tasks[[#This Row],[Status]]="Late Start")),MAX(0,Tasks[[#This Row],[Finish Var]])+1-Tasks[[#This Row],[_Row]]/1000000,"")</f>
        <v/>
      </c>
      <c r="GF122" s="42" t="str">
        <f aca="false">IF(AND(Tasks[[#This Row],[_IsLeaf]]=1,N(Tasks[[#This Row],[Actual Start]])=0,Tasks[[#This Row],[_ShownFcstStart]]&gt;=StatusDate,Tasks[[#This Row],[_ShownFcstStart]]&lt;=LookaheadEnd),Tasks[[#This Row],[_ShownFcstStart]]+Tasks[[#This Row],[_Row]]/100000,"")</f>
        <v/>
      </c>
      <c r="GG122" s="42" t="str">
        <f aca="false">IF(AND(Tasks[[#This Row],[_IsLeaf]]=1,Tasks[[#This Row],[_LeafProgress]]&lt;1,Tasks[[#This Row],[_ShownFcstFinish]]&gt;=StatusDate,Tasks[[#This Row],[_ShownFcstFinish]]&lt;=LookaheadEnd),Tasks[[#This Row],[_ShownFcstFinish]]+Tasks[[#This Row],[_Row]]/100000,"")</f>
        <v/>
      </c>
      <c r="GH122" s="42" t="str">
        <f aca="false">IF(Tasks[[#This Row],[_LeafCritical]],Tasks[[#This Row],[_ShownFcstStart]]+Tasks[[#This Row],[_Row]]/100000,"")</f>
        <v/>
      </c>
      <c r="GI122" s="42" t="n">
        <f aca="false">Tasks[[#This Row],[_LeafWork]]*Tasks[[#This Row],[_LeafProgress]]</f>
        <v>0</v>
      </c>
      <c r="GJ122" s="89" t="str">
        <f aca="false">IF(AND(Tasks[[#This Row],[_IsLeaf]]=1,Tasks[[#This Row],[_LeafProgress]]&gt;=1),IF(N(Tasks[[#This Row],[Actual Finish]])&gt;0,Tasks[[#This Row],[Actual Finish]],Tasks[[#This Row],[_ShownFcstFinish]]),"")</f>
        <v/>
      </c>
      <c r="GK122" s="42" t="n">
        <f aca="false">IF(Tasks[[#This Row],[_IsLeaf]]=1,N(Tasks[[#This Row],[Story Points]]),0)</f>
        <v>0</v>
      </c>
      <c r="GL122" s="42" t="str">
        <f aca="false">""</f>
        <v/>
      </c>
      <c r="GM122" s="88" t="b">
        <f aca="false">IF(Tasks[[#This Row],[Task Name]]="",FALSE(),AND(Tasks[[#This Row],[_IsLeaf]]=1,N(Tasks[[#This Row],[_Days]])=0))</f>
        <v>0</v>
      </c>
      <c r="GN122" s="89" t="n">
        <f aca="false">IF(Tasks[[#This Row],[Task Name]]="",0,IF(AND(Tasks[[#This Row],[_IsLeaf]]=1,NOT(Tasks[[#This Row],[_IsMilestone]]),N(Tasks[[#This Row],[Progress]])&gt;0),Tasks[[#This Row],[Start]],0))</f>
        <v>0</v>
      </c>
      <c r="GO122" s="89" t="n">
        <f aca="false">IF(Tasks[[#This Row],[_DoneFrom]]=0,0,IF(Tasks[[#This Row],[Progress]]&gt;=1,Tasks[[#This Row],[Finish]],MAX(Tasks[[#This Row],[_DoneFrom]],Tasks[[#This Row],[Start]]+ROUND((Tasks[[#This Row],[Finish]]-Tasks[[#This Row],[Start]]+1)*Tasks[[#This Row],[Progress]],0)-1)))</f>
        <v>0</v>
      </c>
      <c r="GP122" s="89" t="n">
        <f aca="false">IF(Tasks[[#This Row],[Task Name]]="",0,IF(OR(NOT(Tasks[[#This Row],[_IsLeaf]]=1),Tasks[[#This Row],[_IsMilestone]],N(Tasks[[#This Row],[Progress]])&gt;=1),0,IF(Tasks[[#This Row],[_DoneTo]]&gt;0,Tasks[[#This Row],[_DoneTo]]+1,Tasks[[#This Row],[Start]])))</f>
        <v>0</v>
      </c>
      <c r="GQ122" s="89" t="n">
        <f aca="false">IF(Tasks[[#This Row],[_RemFrom]]=0,0,Tasks[[#This Row],[Finish]])</f>
        <v>0</v>
      </c>
      <c r="GR122" s="88" t="b">
        <f aca="false">IF(Tasks[[#This Row],[Task Name]]="",FALSE(),OR(NOT(BaselineSet),N(Tasks[[#This Row],[Baseline Start]])&gt;0))</f>
        <v>0</v>
      </c>
      <c r="GS12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2" s="90" t="str">
        <f aca="false">IF(Tasks[[#This Row],[_IsLeaf]]=1,Tasks[[#This Row],[_Row]],"")</f>
        <v/>
      </c>
      <c r="GW122" s="90" t="str">
        <f aca="false">IFERROR(INDEX(Tasks[UID],SMALL(Tasks[_PickKey],Tasks[[#This Row],[_Row]]))&amp;" "&amp;INDEX(Tasks[Task Name],SMALL(Tasks[_PickKey],Tasks[[#This Row],[_Row]])),"")</f>
        <v/>
      </c>
      <c r="GX122" s="42" t="str">
        <f aca="false">IF(Tasks[[#This Row],[Task Name]]="","",IF(Tasks[[#This Row],[_IsSummary]],NETWORKDAYS.INTL(Tasks[[#This Row],[Start]],Tasks[[#This Row],[Finish]],WorkWeek,Holidays),N(Tasks[[#This Row],[_Days]])))</f>
        <v/>
      </c>
    </row>
    <row r="123" customFormat="false" ht="15" hidden="false" customHeight="false" outlineLevel="0" collapsed="false">
      <c r="A123" s="21" t="str">
        <f aca="false">IF(Tasks[[#This Row],[Task Name]]="","",COUNTA(Tasks[[#Headers],[Task Name]]:Tasks[[#This Row],[Task Name]])-1)</f>
        <v/>
      </c>
      <c r="B123" s="22" t="n">
        <v>131</v>
      </c>
      <c r="C123" s="22"/>
      <c r="D123" s="23"/>
      <c r="E123" s="22"/>
      <c r="F123" s="23"/>
      <c r="G123" s="22"/>
      <c r="H123" s="22"/>
      <c r="I123" s="23"/>
      <c r="J123" s="22"/>
      <c r="K123" s="22"/>
      <c r="L123" s="23"/>
      <c r="M123" s="22"/>
      <c r="N123" s="22"/>
      <c r="O123" s="23"/>
      <c r="P123" s="22"/>
      <c r="Q123" s="22"/>
      <c r="R123" s="23"/>
      <c r="S123" s="23"/>
      <c r="T123" s="83"/>
      <c r="U123" s="23"/>
      <c r="V123" s="83"/>
      <c r="W123" s="23"/>
      <c r="X123" s="83"/>
      <c r="Y123" s="23"/>
      <c r="Z123" s="83"/>
      <c r="AA123" s="23"/>
      <c r="AB123" s="23"/>
      <c r="AC123" s="7"/>
      <c r="AD123" s="7"/>
      <c r="AE123" s="62" t="str">
        <f aca="false">IF(Tasks[[#This Row],[Task Name]]="","",IF(Tasks[[#This Row],[_IsSummary]],MIN(INDEX(Tasks[_ShownFcstStart],Tasks[[#This Row],[_Row]]+1):INDEX(Tasks[_ShownFcstStart],Tasks[[#This Row],[_Row]]+Tasks[[#This Row],[_Descendants]])),Tasks[[#This Row],[_ShownFcstStart]]))</f>
        <v/>
      </c>
      <c r="AF123" s="62" t="str">
        <f aca="false">IF(Tasks[[#This Row],[Task Name]]="","",IF(Tasks[[#This Row],[_IsSummary]],MAX(INDEX(Tasks[_ShownFcstFinish],Tasks[[#This Row],[_Row]]+1):INDEX(Tasks[_ShownFcstFinish],Tasks[[#This Row],[_Row]]+Tasks[[#This Row],[_Descendants]])),Tasks[[#This Row],[_ShownFcstFinish]]))</f>
        <v/>
      </c>
      <c r="AG123" s="21" t="str">
        <f aca="false">""</f>
        <v/>
      </c>
      <c r="AH123" s="23"/>
      <c r="AI12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3" s="7"/>
      <c r="AK123" s="22"/>
      <c r="AL123" s="23"/>
      <c r="AM123" s="7"/>
      <c r="AN123" s="46" t="str">
        <f aca="false">IF(Tasks[[#This Row],[Task Name]]="","",IF(Tasks[[#This Row],[Finish]]&gt;=Tasks[[#This Row],[Planned Finish]],NETWORKDAYS.INTL(Tasks[[#This Row],[Planned Finish]],Tasks[[#This Row],[Finish]],WorkWeek,Holidays)-1,1-NETWORKDAYS.INTL(Tasks[[#This Row],[Finish]],Tasks[[#This Row],[Planned Finish]],WorkWeek,Holidays)))</f>
        <v/>
      </c>
      <c r="AO123" s="21" t="str">
        <f aca="false">IF(Tasks[[#This Row],[Task Name]]="","",IF(Tasks[[#This Row],[Progress]]&gt;=1,"Complete",IF(OR(N(Tasks[[#This Row],[Actual Start]])&gt;0,Tasks[[#This Row],[Progress]]&gt;0),IF(Tasks[[#This Row],[Finish Var]]&gt;0,"Behind","In Progress"),IF(Tasks[[#This Row],[Planned Start]]&lt;StatusDate,"Late Start","Not Started"))))</f>
        <v/>
      </c>
      <c r="AP123" s="21" t="str">
        <f aca="false">IF(Tasks[[#This Row],[Task Name]]="","",IF(IF(Tasks[[#This Row],[_IsSummary]],COUNTIF(INDEX(Tasks[_LeafCritical],Tasks[[#This Row],[_Row]]+1):INDEX(Tasks[_LeafCritical],Tasks[[#This Row],[_Row]]+Tasks[[#This Row],[_Descendants]]),TRUE())&gt;0,Tasks[[#This Row],[_LeafCritical]]),"Yes",""))</f>
        <v/>
      </c>
      <c r="AQ123" s="62" t="str">
        <f aca="false">IF(Tasks[[#This Row],[Task Name]]="","",IF(N(Tasks[[#This Row],[Baseline Start]])&gt;0,Tasks[[#This Row],[Baseline Start]],Tasks[[#This Row],[_CalcStart]]))</f>
        <v/>
      </c>
      <c r="AR123" s="62" t="str">
        <f aca="false">IF(Tasks[[#This Row],[Task Name]]="","",IF(N(Tasks[[#This Row],[Baseline Finish]])&gt;0,Tasks[[#This Row],[Baseline Finish]],Tasks[[#This Row],[_CalcFinish]]))</f>
        <v/>
      </c>
      <c r="AS123" s="46" t="str">
        <f aca="false">IF(Tasks[[#This Row],[Task Name]]="","",IF(Tasks[[#This Row],[Start]]&gt;=Tasks[[#This Row],[Planned Start]],NETWORKDAYS.INTL(Tasks[[#This Row],[Planned Start]],Tasks[[#This Row],[Start]],WorkWeek,Holidays)-1,1-NETWORKDAYS.INTL(Tasks[[#This Row],[Start]],Tasks[[#This Row],[Planned Start]],WorkWeek,Holidays)))</f>
        <v/>
      </c>
      <c r="AT123" s="62" t="str">
        <f aca="false">IF(Tasks[[#This Row],[Task Name]]="","",IF(Tasks[[#This Row],[_IsSummary]],MIN(INDEX(Tasks[_LeafLateStart],Tasks[[#This Row],[_Row]]+1):INDEX(Tasks[_LeafLateStart],Tasks[[#This Row],[_Row]]+Tasks[[#This Row],[_Descendants]])),Tasks[[#This Row],[_LeafLateStart]]))</f>
        <v/>
      </c>
      <c r="AU123" s="62" t="str">
        <f aca="false">IF(Tasks[[#This Row],[Task Name]]="","",IF(Tasks[[#This Row],[_IsSummary]],MAX(INDEX(Tasks[_LeafLateFinish],Tasks[[#This Row],[_Row]]+1):INDEX(Tasks[_LeafLateFinish],Tasks[[#This Row],[_Row]]+Tasks[[#This Row],[_Descendants]])),Tasks[[#This Row],[_LeafLateFinish]]))</f>
        <v/>
      </c>
      <c r="AV123" s="46" t="str">
        <f aca="false">IF(Tasks[[#This Row],[Task Name]]="","",IF(Tasks[[#This Row],[_IsSummary]],MIN(INDEX(Tasks[_LeafTotalSlack],Tasks[[#This Row],[_Row]]+1):INDEX(Tasks[_LeafTotalSlack],Tasks[[#This Row],[_Row]]+Tasks[[#This Row],[_Descendants]])),Tasks[[#This Row],[_LeafTotalSlack]]))</f>
        <v/>
      </c>
      <c r="AW12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4"/>
      <c r="BA12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t="str">
        <f aca="false">IF(Tasks[[#This Row],[Task Name]]="","",IF(Tasks[[#This Row],[_Level]]&lt;=OutlineShowLevel,"Yes","No"))</f>
        <v/>
      </c>
      <c r="BE123" s="85" t="str">
        <f aca="false">IF(Tasks[[#This Row],[Task Name]]="","",IF(Tasks[[#This Row],[_IsSummary]],SUM(INDEX(Tasks[_LeafTotalWork],Tasks[[#This Row],[_Row]]+1):INDEX(Tasks[_LeafTotalWork],Tasks[[#This Row],[_Row]]+Tasks[[#This Row],[_Descendants]])),Tasks[[#This Row],[_LeafTotalWork]]))</f>
        <v/>
      </c>
      <c r="BF123" s="23"/>
      <c r="BG12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t="str">
        <f aca="false">""</f>
        <v/>
      </c>
      <c r="BI123" s="86"/>
      <c r="BJ123" s="22"/>
      <c r="BK123" s="46" t="str">
        <f aca="false">IF(OR(Tasks[[#This Row],[Task Name]]="",Tasks[[#This Row],[Baseline Duration]]=""),"",Tasks[[#This Row],[_SpanDays]]-N(Tasks[[#This Row],[Baseline Duration]]))</f>
        <v/>
      </c>
      <c r="BL123" s="85" t="str">
        <f aca="false">IF(OR(Tasks[[#This Row],[Task Name]]="",Tasks[[#This Row],[Baseline Work]]=""),"",Tasks[[#This Row],[Work]]-N(Tasks[[#This Row],[Baseline Work]]))</f>
        <v/>
      </c>
      <c r="BM123" s="62" t="str">
        <f aca="false">IF(Tasks[[#This Row],[Task Name]]="","",IF(OR(TakeBaseline="Yes",N(Tasks[[#This Row],[Baseline Start]])=0),Tasks[[#This Row],[Start]],Tasks[[#This Row],[Baseline Start]]))</f>
        <v/>
      </c>
      <c r="BN123" s="62" t="str">
        <f aca="false">IF(Tasks[[#This Row],[Task Name]]="","",IF(OR(TakeBaseline="Yes",N(Tasks[[#This Row],[Baseline Finish]])=0),Tasks[[#This Row],[Finish]],Tasks[[#This Row],[Baseline Finish]]))</f>
        <v/>
      </c>
      <c r="BO123" s="21" t="str">
        <f aca="false">IF(Tasks[[#This Row],[Task Name]]="","",IF(OR(TakeBaseline="Yes",N(Tasks[[#This Row],[Baseline Duration]])=0),Tasks[[#This Row],[_SpanDays]],Tasks[[#This Row],[Baseline Duration]]))</f>
        <v/>
      </c>
      <c r="BP123" s="85" t="str">
        <f aca="false">IF(Tasks[[#This Row],[Task Name]]="","",IF(OR(TakeBaseline="Yes",N(Tasks[[#This Row],[Baseline Work]])=0),Tasks[[#This Row],[Work]],Tasks[[#This Row],[Baseline Work]]))</f>
        <v/>
      </c>
      <c r="BQ123" s="7"/>
      <c r="BR123" s="7"/>
      <c r="BS123" s="22"/>
      <c r="BT123" s="87"/>
      <c r="BU123" s="42" t="str">
        <f aca="false">IF(Tasks[[#This Row],[Task Name]]="","",MAX(1,N(Tasks[[#This Row],[Level]])))</f>
        <v/>
      </c>
      <c r="BV123" s="42" t="n">
        <f aca="false">ROW()-ROW(Tasks[[#Headers],[ID]])</f>
        <v>118</v>
      </c>
      <c r="BW123" s="42" t="n">
        <f aca="false">IF(OR(Tasks[[#This Row],[Task Name]]="",Tasks[[#This Row],[_Level]]&lt;=1),0,IFERROR(LOOKUP(2,1/(Tasks[[#Headers],[_Level]]:Tasks[[#This Row],[_Level]]=Tasks[[#This Row],[_Level]]-1),ROW(Tasks[[#Headers],[_Level]]:Tasks[[#This Row],[_Level]])),0))</f>
        <v>0</v>
      </c>
      <c r="BX123" s="42" t="n">
        <f aca="false">IFERROR(N(INDEX(Tasks[_Level],Tasks[[#This Row],[_Row]]+1)),0)</f>
        <v>0</v>
      </c>
      <c r="BY123" s="88" t="b">
        <f aca="false">AND(Tasks[[#This Row],[Task Name]]&lt;&gt;"",Tasks[[#This Row],[_NextLevel]]&gt;Tasks[[#This Row],[_Level]])</f>
        <v>0</v>
      </c>
      <c r="BZ123" s="42" t="n">
        <f aca="false">IF(Tasks[[#This Row],[_IsSummary]],COUNTIF(Tasks[WBS],Tasks[[#This Row],[WBS]]&amp;".*"),0)</f>
        <v>0</v>
      </c>
      <c r="CA123" s="42" t="n">
        <f aca="false">IF(AND(Tasks[[#This Row],[Task Name]]&lt;&gt;"",NOT(Tasks[[#This Row],[_IsSummary]])),1,0)</f>
        <v>0</v>
      </c>
      <c r="CB123" s="42" t="n">
        <f aca="false">IF(N(Tasks[[#This Row],[_Pred1UID]])=0,0,IFERROR(MATCH(Tasks[[#This Row],[_Pred1UID]],Tasks[UID],0),-1))</f>
        <v>0</v>
      </c>
      <c r="CC123" s="42" t="n">
        <f aca="false">IF(N(Tasks[[#This Row],[_Pred2UID]])=0,0,IFERROR(MATCH(Tasks[[#This Row],[_Pred2UID]],Tasks[UID],0),-1))</f>
        <v>0</v>
      </c>
      <c r="CD123" s="42" t="n">
        <f aca="false">IF(N(Tasks[[#This Row],[_Pred3UID]])=0,0,IFERROR(MATCH(Tasks[[#This Row],[_Pred3UID]],Tasks[UID],0),-1))</f>
        <v>0</v>
      </c>
      <c r="CE123" s="42" t="n">
        <f aca="false">IF(N(Tasks[[#This Row],[_Pred4UID]])=0,0,IFERROR(MATCH(Tasks[[#This Row],[_Pred4UID]],Tasks[UID],0),-1))</f>
        <v>0</v>
      </c>
      <c r="CF12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3" s="89" t="n">
        <f aca="false">IF(OR(Tasks[[#This Row],[_ConstraintCode]]=2,Tasks[[#This Row],[_ConstraintCode]]=3,Tasks[[#This Row],[_ConstraintCode]]=4,Tasks[[#This Row],[_ConstraintCode]]=6),Tasks[[#This Row],[_ConstraintStart]],0)</f>
        <v>0</v>
      </c>
      <c r="CI123" s="89" t="n">
        <f aca="false">IF(OR(Tasks[[#This Row],[_ConstraintCode]]=2,Tasks[[#This Row],[_ConstraintCode]]=3,Tasks[[#This Row],[_ConstraintCode]]=5,Tasks[[#This Row],[_ConstraintCode]]=7),Tasks[[#This Row],[_ConstraintStart]],2958465)</f>
        <v>2958465</v>
      </c>
      <c r="CJ12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3" s="89" t="str">
        <f aca="false">IF(NOT(Tasks[[#This Row],[_IsLeaf]]=1),"",IF(N(Tasks[[#This Row],[_Days]])&lt;=0,Tasks[[#This Row],[_LeafCalcStart]],WORKDAY.INTL(Tasks[[#This Row],[_LeafCalcStart]],Tasks[[#This Row],[_Days]]-1,WorkWeek,Holidays)))</f>
        <v/>
      </c>
      <c r="CL12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3" s="42" t="str">
        <f aca="false">IF(Tasks[[#This Row],[_Predecessors]]="","",TRIM(MID(SUBSTITUTE(SUBSTITUTE(SUBSTITUTE(UPPER(Tasks[[#This Row],[_Predecessors]]),";",",")," ",""),",",REPT(" ",99)),1,99)))</f>
        <v/>
      </c>
      <c r="CO123" s="42" t="str">
        <f aca="false">IF(Tasks[[#This Row],[_Pred1Text]]="","",IFERROR(VALUE(LEFT(Tasks[[#This Row],[_Pred1Text]],MIN(FIND("F",Tasks[[#This Row],[_Pred1Text]]&amp;"F"),FIND("S",Tasks[[#This Row],[_Pred1Text]]&amp;"S"),FIND("+",Tasks[[#This Row],[_Pred1Text]]&amp;"+"),FIND("-",Tasks[[#This Row],[_Pred1Text]]&amp;"-"))-1)),""))</f>
        <v/>
      </c>
      <c r="CP12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3" s="42" t="str">
        <f aca="false">IF(Tasks[[#This Row],[_Pred1Text]]="","",TRIM(MID(SUBSTITUTE(SUBSTITUTE(SUBSTITUTE(UPPER(Tasks[[#This Row],[_Predecessors]]),";",",")," ",""),",",REPT(" ",99)),100,99)))</f>
        <v/>
      </c>
      <c r="CS123" s="42" t="str">
        <f aca="false">IF(Tasks[[#This Row],[_Pred2Text]]="","",IFERROR(VALUE(LEFT(Tasks[[#This Row],[_Pred2Text]],MIN(FIND("F",Tasks[[#This Row],[_Pred2Text]]&amp;"F"),FIND("S",Tasks[[#This Row],[_Pred2Text]]&amp;"S"),FIND("+",Tasks[[#This Row],[_Pred2Text]]&amp;"+"),FIND("-",Tasks[[#This Row],[_Pred2Text]]&amp;"-"))-1)),""))</f>
        <v/>
      </c>
      <c r="CT12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3" s="42" t="str">
        <f aca="false">IF(Tasks[[#This Row],[_Pred2Text]]="","",TRIM(MID(SUBSTITUTE(SUBSTITUTE(SUBSTITUTE(UPPER(Tasks[[#This Row],[_Predecessors]]),";",",")," ",""),",",REPT(" ",99)),199,99)))</f>
        <v/>
      </c>
      <c r="CW123" s="42" t="str">
        <f aca="false">IF(Tasks[[#This Row],[_Pred3Text]]="","",IFERROR(VALUE(LEFT(Tasks[[#This Row],[_Pred3Text]],MIN(FIND("F",Tasks[[#This Row],[_Pred3Text]]&amp;"F"),FIND("S",Tasks[[#This Row],[_Pred3Text]]&amp;"S"),FIND("+",Tasks[[#This Row],[_Pred3Text]]&amp;"+"),FIND("-",Tasks[[#This Row],[_Pred3Text]]&amp;"-"))-1)),""))</f>
        <v/>
      </c>
      <c r="CX12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3" s="42" t="str">
        <f aca="false">IF(Tasks[[#This Row],[_Pred3Text]]="","",TRIM(MID(SUBSTITUTE(SUBSTITUTE(SUBSTITUTE(UPPER(Tasks[[#This Row],[_Predecessors]]),";",",")," ",""),",",REPT(" ",99)),298,99)))</f>
        <v/>
      </c>
      <c r="DA123" s="42" t="str">
        <f aca="false">IF(Tasks[[#This Row],[_Pred4Text]]="","",IFERROR(VALUE(LEFT(Tasks[[#This Row],[_Pred4Text]],MIN(FIND("F",Tasks[[#This Row],[_Pred4Text]]&amp;"F"),FIND("S",Tasks[[#This Row],[_Pred4Text]]&amp;"S"),FIND("+",Tasks[[#This Row],[_Pred4Text]]&amp;"+"),FIND("-",Tasks[[#This Row],[_Pred4Text]]&amp;"-"))-1)),""))</f>
        <v/>
      </c>
      <c r="DB12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3" s="42" t="str">
        <f aca="false">IF(OR(Tasks[[#This Row],[Task Name]]="",Tasks[[#This Row],[_Resources]]=""),"",TRIM(MID(SUBSTITUTE(Tasks[[#This Row],[_Resources]],",",REPT(" ",99)),1,99)))</f>
        <v/>
      </c>
      <c r="DE123" s="42" t="str">
        <f aca="false">IF(Tasks[[#This Row],[_Res1Text]]="","",TRIM(MID(SUBSTITUTE(Tasks[[#This Row],[_Resources]],",",REPT(" ",99)),100,99)))</f>
        <v/>
      </c>
      <c r="DF123" s="42" t="str">
        <f aca="false">IF(Tasks[[#This Row],[_Res2Text]]="","",TRIM(MID(SUBSTITUTE(Tasks[[#This Row],[_Resources]],",",REPT(" ",99)),199,99)))</f>
        <v/>
      </c>
      <c r="DG123" s="42" t="str">
        <f aca="false">IF(Tasks[[#This Row],[_Res3Text]]="","",TRIM(MID(SUBSTITUTE(Tasks[[#This Row],[_Resources]],",",REPT(" ",99)),298,99)))</f>
        <v/>
      </c>
      <c r="DH123" s="42" t="n">
        <f aca="false">IF(Tasks[[#This Row],[_Res1Text]]="",0,IFERROR(MATCH(TRIM(LEFT(Tasks[[#This Row],[_Res1Text]],FIND("[",Tasks[[#This Row],[_Res1Text]]&amp;"[")-1)),res_Name,0),IFERROR(MATCH(TRIM(LEFT(Tasks[[#This Row],[_Res1Text]],FIND("[",Tasks[[#This Row],[_Res1Text]]&amp;"[")-1)),res_Initials,0),0)))</f>
        <v>0</v>
      </c>
      <c r="DI123" s="42" t="n">
        <f aca="false">IF(Tasks[[#This Row],[_Res2Text]]="",0,IFERROR(MATCH(TRIM(LEFT(Tasks[[#This Row],[_Res2Text]],FIND("[",Tasks[[#This Row],[_Res2Text]]&amp;"[")-1)),res_Name,0),IFERROR(MATCH(TRIM(LEFT(Tasks[[#This Row],[_Res2Text]],FIND("[",Tasks[[#This Row],[_Res2Text]]&amp;"[")-1)),res_Initials,0),0)))</f>
        <v>0</v>
      </c>
      <c r="DJ123" s="42" t="n">
        <f aca="false">IF(Tasks[[#This Row],[_Res3Text]]="",0,IFERROR(MATCH(TRIM(LEFT(Tasks[[#This Row],[_Res3Text]],FIND("[",Tasks[[#This Row],[_Res3Text]]&amp;"[")-1)),res_Name,0),IFERROR(MATCH(TRIM(LEFT(Tasks[[#This Row],[_Res3Text]],FIND("[",Tasks[[#This Row],[_Res3Text]]&amp;"[")-1)),res_Initials,0),0)))</f>
        <v>0</v>
      </c>
      <c r="DK123" s="42" t="n">
        <f aca="false">IF(Tasks[[#This Row],[_Res4Text]]="",0,IFERROR(MATCH(TRIM(LEFT(Tasks[[#This Row],[_Res4Text]],FIND("[",Tasks[[#This Row],[_Res4Text]]&amp;"[")-1)),res_Name,0),IFERROR(MATCH(TRIM(LEFT(Tasks[[#This Row],[_Res4Text]],FIND("[",Tasks[[#This Row],[_Res4Text]]&amp;"[")-1)),res_Initials,0),0)))</f>
        <v>0</v>
      </c>
      <c r="DL123" s="42" t="str">
        <f aca="false">IF(Tasks[[#This Row],[_Res1Text]]="","",IF(Tasks[[#This Row],[_Res1Row]]&gt;0,INDEX(res_Name,Tasks[[#This Row],[_Res1Row]]),TRIM(LEFT(Tasks[[#This Row],[_Res1Text]],FIND("[",Tasks[[#This Row],[_Res1Text]]&amp;"[")-1))))</f>
        <v/>
      </c>
      <c r="DM12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3" s="42" t="n">
        <f aca="false">IF(NOT(Tasks[[#This Row],[_IsLeaf]]=1),0,(Tasks[[#This Row],[_Resource1]]&lt;&gt;"")+(Tasks[[#This Row],[_Res2]]&lt;&gt;"")+(Tasks[[#This Row],[_Res3]]&lt;&gt;"")+(Tasks[[#This Row],[_Res4]]&lt;&gt;""))</f>
        <v>0</v>
      </c>
      <c r="DO123" s="42" t="str">
        <f aca="false">IF(Tasks[[#This Row],[_Res2Text]]="","",IF(Tasks[[#This Row],[_Res2Row]]&gt;0,INDEX(res_Name,Tasks[[#This Row],[_Res2Row]]),TRIM(LEFT(Tasks[[#This Row],[_Res2Text]],FIND("[",Tasks[[#This Row],[_Res2Text]]&amp;"[")-1))))</f>
        <v/>
      </c>
      <c r="DP12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3" s="42" t="n">
        <f aca="false">IF(OR(NOT(Tasks[[#This Row],[_IsLeaf]]=1),Tasks[[#This Row],[_Res2Row]]=0),0,N(Tasks[[#This Row],[_Days]])*HoursPerDay*IF(Tasks[[#This Row],[_Res2Units]]="",DefaultUnits,Tasks[[#This Row],[_Res2Units]]))</f>
        <v>0</v>
      </c>
      <c r="DR123" s="42" t="n">
        <f aca="false">IF(AND(AND(Tasks[[#This Row],[_IsLeaf]]=1,Tasks[[#This Row],[_LeafTotalWork]]&gt;0),Tasks[[#This Row],[_Res2Work]]&gt;0),Tasks[[#This Row],[_Res2Work]]/(Tasks[[#This Row],[_FinishWorkday]]-Tasks[[#This Row],[_StartWorkday]]+1),0)</f>
        <v>0</v>
      </c>
      <c r="DS123" s="42" t="n">
        <f aca="false">Tasks[[#This Row],[_Res2WorkPerWD]]*MAX(0,Tasks[[#This Row],[_StartWorkday]]-1)</f>
        <v>0</v>
      </c>
      <c r="DT123" s="42" t="n">
        <f aca="false">Tasks[[#This Row],[_Res2Work]]*Tasks[[#This Row],[_LeafProgress]]</f>
        <v>0</v>
      </c>
      <c r="DU123" s="42" t="str">
        <f aca="false">IF(Tasks[[#This Row],[_Res3Text]]="","",IF(Tasks[[#This Row],[_Res3Row]]&gt;0,INDEX(res_Name,Tasks[[#This Row],[_Res3Row]]),TRIM(LEFT(Tasks[[#This Row],[_Res3Text]],FIND("[",Tasks[[#This Row],[_Res3Text]]&amp;"[")-1))))</f>
        <v/>
      </c>
      <c r="DV12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3" s="42" t="n">
        <f aca="false">IF(OR(NOT(Tasks[[#This Row],[_IsLeaf]]=1),Tasks[[#This Row],[_Res3Row]]=0),0,N(Tasks[[#This Row],[_Days]])*HoursPerDay*IF(Tasks[[#This Row],[_Res3Units]]="",DefaultUnits,Tasks[[#This Row],[_Res3Units]]))</f>
        <v>0</v>
      </c>
      <c r="DX123" s="42" t="n">
        <f aca="false">IF(AND(AND(Tasks[[#This Row],[_IsLeaf]]=1,Tasks[[#This Row],[_LeafTotalWork]]&gt;0),Tasks[[#This Row],[_Res3Work]]&gt;0),Tasks[[#This Row],[_Res3Work]]/(Tasks[[#This Row],[_FinishWorkday]]-Tasks[[#This Row],[_StartWorkday]]+1),0)</f>
        <v>0</v>
      </c>
      <c r="DY123" s="42" t="n">
        <f aca="false">Tasks[[#This Row],[_Res3WorkPerWD]]*MAX(0,Tasks[[#This Row],[_StartWorkday]]-1)</f>
        <v>0</v>
      </c>
      <c r="DZ123" s="42" t="n">
        <f aca="false">Tasks[[#This Row],[_Res3Work]]*Tasks[[#This Row],[_LeafProgress]]</f>
        <v>0</v>
      </c>
      <c r="EA123" s="42" t="str">
        <f aca="false">IF(Tasks[[#This Row],[_Res4Text]]="","",IF(Tasks[[#This Row],[_Res4Row]]&gt;0,INDEX(res_Name,Tasks[[#This Row],[_Res4Row]]),TRIM(LEFT(Tasks[[#This Row],[_Res4Text]],FIND("[",Tasks[[#This Row],[_Res4Text]]&amp;"[")-1))))</f>
        <v/>
      </c>
      <c r="EB12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3" s="42" t="n">
        <f aca="false">IF(OR(NOT(Tasks[[#This Row],[_IsLeaf]]=1),Tasks[[#This Row],[_Res4Row]]=0),0,N(Tasks[[#This Row],[_Days]])*HoursPerDay*IF(Tasks[[#This Row],[_Res4Units]]="",DefaultUnits,Tasks[[#This Row],[_Res4Units]]))</f>
        <v>0</v>
      </c>
      <c r="ED123" s="42" t="n">
        <f aca="false">IF(AND(AND(Tasks[[#This Row],[_IsLeaf]]=1,Tasks[[#This Row],[_LeafTotalWork]]&gt;0),Tasks[[#This Row],[_Res4Work]]&gt;0),Tasks[[#This Row],[_Res4Work]]/(Tasks[[#This Row],[_FinishWorkday]]-Tasks[[#This Row],[_StartWorkday]]+1),0)</f>
        <v>0</v>
      </c>
      <c r="EE123" s="42" t="n">
        <f aca="false">Tasks[[#This Row],[_Res4WorkPerWD]]*MAX(0,Tasks[[#This Row],[_StartWorkday]]-1)</f>
        <v>0</v>
      </c>
      <c r="EF123" s="42" t="n">
        <f aca="false">Tasks[[#This Row],[_Res4Work]]*Tasks[[#This Row],[_LeafProgress]]</f>
        <v>0</v>
      </c>
      <c r="EG123" s="42" t="n">
        <f aca="false">IF(ISNUMBER(Tasks[[#This Row],[% Complete]]),Tasks[[#This Row],[% Complete]],IF(Tasks[[#This Row],[Stage]]="",0,IFERROR(INDEX(stg_Pct,MATCH(Tasks[[#This Row],[Stage]],stg_Name,0)),0)))</f>
        <v>0</v>
      </c>
      <c r="EH123" s="42" t="n">
        <f aca="false">IF(NOT(Tasks[[#This Row],[_IsLeaf]]=1),0,IF(N(Tasks[[#This Row],[Actual Finish]])&gt;0,1,MIN(1,Tasks[[#This Row],[_Pct]])))</f>
        <v>0</v>
      </c>
      <c r="EI123" s="42" t="n">
        <f aca="false">IF(OR(NOT(Tasks[[#This Row],[_IsLeaf]]=1),Tasks[[#This Row],[_Res1Row]]=0),0,N(Tasks[[#This Row],[_Days]])*HoursPerDay*IF(Tasks[[#This Row],[_Units1]]="",DefaultUnits,Tasks[[#This Row],[_Units1]]))</f>
        <v>0</v>
      </c>
      <c r="EJ123" s="42" t="n">
        <f aca="false">Tasks[[#This Row],[_LeafWork]]+Tasks[[#This Row],[_Res2Work]]+Tasks[[#This Row],[_Res3Work]]+Tasks[[#This Row],[_Res4Work]]</f>
        <v>0</v>
      </c>
      <c r="EK12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3" s="42" t="n">
        <f aca="false">IF(NOT(Tasks[[#This Row],[_IsLeaf]]=1),0,MAX(_xlfn.MAXIFS(Tasks[_Row],Tasks[_Pred1UID],Tasks[[#This Row],[UID]]),_xlfn.MAXIFS(Tasks[_Row],Tasks[_Pred2UID],Tasks[[#This Row],[UID]]),_xlfn.MAXIFS(Tasks[_Row],Tasks[_Pred3UID],Tasks[[#This Row],[UID]]),_xlfn.MAXIFS(Tasks[_Row],Tasks[_Pred4UID],Tasks[[#This Row],[UID]])))</f>
        <v>0</v>
      </c>
      <c r="ET12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3" s="89" t="str">
        <f aca="false">IF(NOT(Tasks[[#This Row],[_IsLeaf]]=1),"",IF(N(Tasks[[#This Row],[_Days]])&lt;=0,Tasks[[#This Row],[_LeafLateFinish]],WORKDAY.INTL(Tasks[[#This Row],[_LeafLateFinish]],-(Tasks[[#This Row],[_Days]]-1),WorkWeek,Holidays)))</f>
        <v/>
      </c>
      <c r="EW12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3" s="88" t="b">
        <f aca="false">AND(Tasks[[#This Row],[_IsLeaf]]=1,Tasks[[#This Row],[_LeafProgress]]&lt;1,N(Tasks[[#This Row],[_LeafTotalSlack]])&lt;=CriticalSlackDays)</f>
        <v>0</v>
      </c>
      <c r="EY123" s="42" t="n">
        <f aca="false">IF(AND(Tasks[[#This Row],[_IsLeaf]]=1,Tasks[[#This Row],[_ConstraintCode]]=1,Tasks[[#This Row],[Mode]]&lt;&gt;"Manual",N(Tasks[[#This Row],[Actual Start]])=0),MAX(0,N(Tasks[[#This Row],[Free Slack]])),0)</f>
        <v>0</v>
      </c>
      <c r="EZ123" s="89" t="str">
        <f aca="false">IF(NOT(Tasks[[#This Row],[_IsLeaf]]=1),"",IF(Tasks[[#This Row],[_AlapShift]]=0,Tasks[[#This Row],[_LeafCalcStart]],WORKDAY.INTL(Tasks[[#This Row],[_LeafCalcStart]],Tasks[[#This Row],[_AlapShift]],WorkWeek,Holidays)))</f>
        <v/>
      </c>
      <c r="FA123" s="89" t="str">
        <f aca="false">IF(NOT(Tasks[[#This Row],[_IsLeaf]]=1),"",IF(Tasks[[#This Row],[_AlapShift]]=0,Tasks[[#This Row],[_LeafCalcFinish]],WORKDAY.INTL(Tasks[[#This Row],[_LeafCalcFinish]],Tasks[[#This Row],[_AlapShift]],WorkWeek,Holidays)))</f>
        <v/>
      </c>
      <c r="FB123" s="89" t="str">
        <f aca="false">IF(NOT(Tasks[[#This Row],[_IsLeaf]]=1),"",IF(Tasks[[#This Row],[_AlapShift]]=0,Tasks[[#This Row],[_LeafFcstStart]],WORKDAY.INTL(Tasks[[#This Row],[_LeafFcstStart]],Tasks[[#This Row],[_AlapShift]],WorkWeek,Holidays)))</f>
        <v/>
      </c>
      <c r="FC123" s="89" t="str">
        <f aca="false">IF(NOT(Tasks[[#This Row],[_IsLeaf]]=1),"",IF(Tasks[[#This Row],[_AlapShift]]=0,Tasks[[#This Row],[_LeafFcstFinish]],WORKDAY.INTL(Tasks[[#This Row],[_LeafFcstFinish]],Tasks[[#This Row],[_AlapShift]],WorkWeek,Holidays)))</f>
        <v/>
      </c>
      <c r="FD123" s="89" t="str">
        <f aca="false">IF(Tasks[[#This Row],[Task Name]]="","",IF(Tasks[[#This Row],[_IsSummary]],MIN(INDEX(Tasks[_ShownCalcStart],Tasks[[#This Row],[_Row]]+1):INDEX(Tasks[_ShownCalcStart],Tasks[[#This Row],[_Row]]+Tasks[[#This Row],[_Descendants]])),Tasks[[#This Row],[_ShownCalcStart]]))</f>
        <v/>
      </c>
      <c r="FE123" s="89" t="str">
        <f aca="false">IF(Tasks[[#This Row],[Task Name]]="","",IF(Tasks[[#This Row],[_IsSummary]],MAX(INDEX(Tasks[_ShownCalcFinish],Tasks[[#This Row],[_Row]]+1):INDEX(Tasks[_ShownCalcFinish],Tasks[[#This Row],[_Row]]+Tasks[[#This Row],[_Descendants]])),Tasks[[#This Row],[_ShownCalcFinish]]))</f>
        <v/>
      </c>
      <c r="FF12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3" s="42" t="n">
        <f aca="false">IF(AND(Tasks[[#This Row],[_IsLeaf]]=1,Tasks[[#This Row],[_LeafTotalWork]]&gt;0),NETWORKDAYS.INTL(ProjectStart,Tasks[[#This Row],[_ShownFcstStart]],WorkWeek,Holidays),0)</f>
        <v>0</v>
      </c>
      <c r="FS123" s="42" t="n">
        <f aca="false">IF(AND(Tasks[[#This Row],[_IsLeaf]]=1,Tasks[[#This Row],[_LeafTotalWork]]&gt;0),MAX(Tasks[[#This Row],[_StartWorkday]],NETWORKDAYS.INTL(ProjectStart,Tasks[[#This Row],[_ShownFcstFinish]],WorkWeek,Holidays)),0)</f>
        <v>0</v>
      </c>
      <c r="FT123" s="42" t="n">
        <f aca="false">IF(AND(Tasks[[#This Row],[_IsLeaf]]=1,Tasks[[#This Row],[_LeafTotalWork]]&gt;0),Tasks[[#This Row],[_LeafWork]]/(Tasks[[#This Row],[_FinishWorkday]]-Tasks[[#This Row],[_StartWorkday]]+1),0)</f>
        <v>0</v>
      </c>
      <c r="FU123" s="42" t="n">
        <f aca="false">Tasks[[#This Row],[_WorkPerWorkday]]*(Tasks[[#This Row],[_StartWorkday]]-1)</f>
        <v>-0</v>
      </c>
      <c r="FV123" s="42" t="n">
        <f aca="false">IF(Tasks[[#This Row],[_IsLeaf]]=1,MAX(N(Tasks[[#This Row],[_Days]]),0.1),0)</f>
        <v>0</v>
      </c>
      <c r="FW123" s="42" t="n">
        <f aca="false">Tasks[[#This Row],[_WeightDur]]*Tasks[[#This Row],[_LeafProgress]]</f>
        <v>0</v>
      </c>
      <c r="FX123" s="42" t="n">
        <f aca="false">Tasks[[#This Row],[_WeightDur]]*Tasks[[#This Row],[_PlannedPct]]</f>
        <v>0</v>
      </c>
      <c r="FY12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3" s="42" t="str">
        <f aca="false">IF(AND(Tasks[[#This Row],[_IsLeaf]]=1,N(Tasks[[#This Row],[_Days]])=0,Tasks[[#This Row],[_LeafProgress]]&lt;1),Tasks[[#This Row],[_ShownFcstFinish]]+Tasks[[#This Row],[_Row]]/100000,"")</f>
        <v/>
      </c>
      <c r="GA12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3" s="42" t="str">
        <f aca="false">IF(Tasks[[#This Row],[Task Name]]="","",LEFT(Tasks[[#This Row],[WBS]],FIND(".",Tasks[[#This Row],[WBS]]&amp;".")-1))</f>
        <v/>
      </c>
      <c r="GC123" s="42" t="str">
        <f aca="false">IF(AND(Tasks[[#This Row],[Task Name]]&lt;&gt;"",Tasks[[#This Row],[_Level]]=1),Tasks[[#This Row],[_Row]],"")</f>
        <v/>
      </c>
      <c r="GD123" s="42" t="str">
        <f aca="false">IF(AND(Tasks[[#This Row],[_IsLeaf]]=1,N(Tasks[[#This Row],[_Days]])=0),Tasks[[#This Row],[Planned Finish]]+Tasks[[#This Row],[_Row]]/100000,"")</f>
        <v/>
      </c>
      <c r="GE123" s="42" t="str">
        <f aca="false">IF(AND(Tasks[[#This Row],[_IsLeaf]]=1,Tasks[[#This Row],[_LeafProgress]]&lt;1,OR(N(Tasks[[#This Row],[Finish Var]])&gt;0,Tasks[[#This Row],[Status]]="Late Start")),MAX(0,Tasks[[#This Row],[Finish Var]])+1-Tasks[[#This Row],[_Row]]/1000000,"")</f>
        <v/>
      </c>
      <c r="GF123" s="42" t="str">
        <f aca="false">IF(AND(Tasks[[#This Row],[_IsLeaf]]=1,N(Tasks[[#This Row],[Actual Start]])=0,Tasks[[#This Row],[_ShownFcstStart]]&gt;=StatusDate,Tasks[[#This Row],[_ShownFcstStart]]&lt;=LookaheadEnd),Tasks[[#This Row],[_ShownFcstStart]]+Tasks[[#This Row],[_Row]]/100000,"")</f>
        <v/>
      </c>
      <c r="GG123" s="42" t="str">
        <f aca="false">IF(AND(Tasks[[#This Row],[_IsLeaf]]=1,Tasks[[#This Row],[_LeafProgress]]&lt;1,Tasks[[#This Row],[_ShownFcstFinish]]&gt;=StatusDate,Tasks[[#This Row],[_ShownFcstFinish]]&lt;=LookaheadEnd),Tasks[[#This Row],[_ShownFcstFinish]]+Tasks[[#This Row],[_Row]]/100000,"")</f>
        <v/>
      </c>
      <c r="GH123" s="42" t="str">
        <f aca="false">IF(Tasks[[#This Row],[_LeafCritical]],Tasks[[#This Row],[_ShownFcstStart]]+Tasks[[#This Row],[_Row]]/100000,"")</f>
        <v/>
      </c>
      <c r="GI123" s="42" t="n">
        <f aca="false">Tasks[[#This Row],[_LeafWork]]*Tasks[[#This Row],[_LeafProgress]]</f>
        <v>0</v>
      </c>
      <c r="GJ123" s="89" t="str">
        <f aca="false">IF(AND(Tasks[[#This Row],[_IsLeaf]]=1,Tasks[[#This Row],[_LeafProgress]]&gt;=1),IF(N(Tasks[[#This Row],[Actual Finish]])&gt;0,Tasks[[#This Row],[Actual Finish]],Tasks[[#This Row],[_ShownFcstFinish]]),"")</f>
        <v/>
      </c>
      <c r="GK123" s="42" t="n">
        <f aca="false">IF(Tasks[[#This Row],[_IsLeaf]]=1,N(Tasks[[#This Row],[Story Points]]),0)</f>
        <v>0</v>
      </c>
      <c r="GL123" s="42" t="str">
        <f aca="false">""</f>
        <v/>
      </c>
      <c r="GM123" s="88" t="b">
        <f aca="false">IF(Tasks[[#This Row],[Task Name]]="",FALSE(),AND(Tasks[[#This Row],[_IsLeaf]]=1,N(Tasks[[#This Row],[_Days]])=0))</f>
        <v>0</v>
      </c>
      <c r="GN123" s="89" t="n">
        <f aca="false">IF(Tasks[[#This Row],[Task Name]]="",0,IF(AND(Tasks[[#This Row],[_IsLeaf]]=1,NOT(Tasks[[#This Row],[_IsMilestone]]),N(Tasks[[#This Row],[Progress]])&gt;0),Tasks[[#This Row],[Start]],0))</f>
        <v>0</v>
      </c>
      <c r="GO123" s="89" t="n">
        <f aca="false">IF(Tasks[[#This Row],[_DoneFrom]]=0,0,IF(Tasks[[#This Row],[Progress]]&gt;=1,Tasks[[#This Row],[Finish]],MAX(Tasks[[#This Row],[_DoneFrom]],Tasks[[#This Row],[Start]]+ROUND((Tasks[[#This Row],[Finish]]-Tasks[[#This Row],[Start]]+1)*Tasks[[#This Row],[Progress]],0)-1)))</f>
        <v>0</v>
      </c>
      <c r="GP123" s="89" t="n">
        <f aca="false">IF(Tasks[[#This Row],[Task Name]]="",0,IF(OR(NOT(Tasks[[#This Row],[_IsLeaf]]=1),Tasks[[#This Row],[_IsMilestone]],N(Tasks[[#This Row],[Progress]])&gt;=1),0,IF(Tasks[[#This Row],[_DoneTo]]&gt;0,Tasks[[#This Row],[_DoneTo]]+1,Tasks[[#This Row],[Start]])))</f>
        <v>0</v>
      </c>
      <c r="GQ123" s="89" t="n">
        <f aca="false">IF(Tasks[[#This Row],[_RemFrom]]=0,0,Tasks[[#This Row],[Finish]])</f>
        <v>0</v>
      </c>
      <c r="GR123" s="88" t="b">
        <f aca="false">IF(Tasks[[#This Row],[Task Name]]="",FALSE(),OR(NOT(BaselineSet),N(Tasks[[#This Row],[Baseline Start]])&gt;0))</f>
        <v>0</v>
      </c>
      <c r="GS12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3" s="90" t="str">
        <f aca="false">IF(Tasks[[#This Row],[_IsLeaf]]=1,Tasks[[#This Row],[_Row]],"")</f>
        <v/>
      </c>
      <c r="GW123" s="90" t="str">
        <f aca="false">IFERROR(INDEX(Tasks[UID],SMALL(Tasks[_PickKey],Tasks[[#This Row],[_Row]]))&amp;" "&amp;INDEX(Tasks[Task Name],SMALL(Tasks[_PickKey],Tasks[[#This Row],[_Row]])),"")</f>
        <v/>
      </c>
      <c r="GX123" s="42" t="str">
        <f aca="false">IF(Tasks[[#This Row],[Task Name]]="","",IF(Tasks[[#This Row],[_IsSummary]],NETWORKDAYS.INTL(Tasks[[#This Row],[Start]],Tasks[[#This Row],[Finish]],WorkWeek,Holidays),N(Tasks[[#This Row],[_Days]])))</f>
        <v/>
      </c>
    </row>
    <row r="124" customFormat="false" ht="15" hidden="false" customHeight="false" outlineLevel="0" collapsed="false">
      <c r="A124" s="21" t="str">
        <f aca="false">IF(Tasks[[#This Row],[Task Name]]="","",COUNTA(Tasks[[#Headers],[Task Name]]:Tasks[[#This Row],[Task Name]])-1)</f>
        <v/>
      </c>
      <c r="B124" s="22" t="n">
        <v>132</v>
      </c>
      <c r="C124" s="22"/>
      <c r="D124" s="23"/>
      <c r="E124" s="22"/>
      <c r="F124" s="23"/>
      <c r="G124" s="22"/>
      <c r="H124" s="22"/>
      <c r="I124" s="23"/>
      <c r="J124" s="22"/>
      <c r="K124" s="22"/>
      <c r="L124" s="23"/>
      <c r="M124" s="22"/>
      <c r="N124" s="22"/>
      <c r="O124" s="23"/>
      <c r="P124" s="22"/>
      <c r="Q124" s="22"/>
      <c r="R124" s="23"/>
      <c r="S124" s="23"/>
      <c r="T124" s="83"/>
      <c r="U124" s="23"/>
      <c r="V124" s="83"/>
      <c r="W124" s="23"/>
      <c r="X124" s="83"/>
      <c r="Y124" s="23"/>
      <c r="Z124" s="83"/>
      <c r="AA124" s="23"/>
      <c r="AB124" s="23"/>
      <c r="AC124" s="7"/>
      <c r="AD124" s="7"/>
      <c r="AE124" s="62" t="str">
        <f aca="false">IF(Tasks[[#This Row],[Task Name]]="","",IF(Tasks[[#This Row],[_IsSummary]],MIN(INDEX(Tasks[_ShownFcstStart],Tasks[[#This Row],[_Row]]+1):INDEX(Tasks[_ShownFcstStart],Tasks[[#This Row],[_Row]]+Tasks[[#This Row],[_Descendants]])),Tasks[[#This Row],[_ShownFcstStart]]))</f>
        <v/>
      </c>
      <c r="AF124" s="62" t="str">
        <f aca="false">IF(Tasks[[#This Row],[Task Name]]="","",IF(Tasks[[#This Row],[_IsSummary]],MAX(INDEX(Tasks[_ShownFcstFinish],Tasks[[#This Row],[_Row]]+1):INDEX(Tasks[_ShownFcstFinish],Tasks[[#This Row],[_Row]]+Tasks[[#This Row],[_Descendants]])),Tasks[[#This Row],[_ShownFcstFinish]]))</f>
        <v/>
      </c>
      <c r="AG124" s="21" t="str">
        <f aca="false">""</f>
        <v/>
      </c>
      <c r="AH124" s="23"/>
      <c r="AI12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4" s="7"/>
      <c r="AK124" s="22"/>
      <c r="AL124" s="23"/>
      <c r="AM124" s="7"/>
      <c r="AN124" s="46" t="str">
        <f aca="false">IF(Tasks[[#This Row],[Task Name]]="","",IF(Tasks[[#This Row],[Finish]]&gt;=Tasks[[#This Row],[Planned Finish]],NETWORKDAYS.INTL(Tasks[[#This Row],[Planned Finish]],Tasks[[#This Row],[Finish]],WorkWeek,Holidays)-1,1-NETWORKDAYS.INTL(Tasks[[#This Row],[Finish]],Tasks[[#This Row],[Planned Finish]],WorkWeek,Holidays)))</f>
        <v/>
      </c>
      <c r="AO124" s="21" t="str">
        <f aca="false">IF(Tasks[[#This Row],[Task Name]]="","",IF(Tasks[[#This Row],[Progress]]&gt;=1,"Complete",IF(OR(N(Tasks[[#This Row],[Actual Start]])&gt;0,Tasks[[#This Row],[Progress]]&gt;0),IF(Tasks[[#This Row],[Finish Var]]&gt;0,"Behind","In Progress"),IF(Tasks[[#This Row],[Planned Start]]&lt;StatusDate,"Late Start","Not Started"))))</f>
        <v/>
      </c>
      <c r="AP124" s="21" t="str">
        <f aca="false">IF(Tasks[[#This Row],[Task Name]]="","",IF(IF(Tasks[[#This Row],[_IsSummary]],COUNTIF(INDEX(Tasks[_LeafCritical],Tasks[[#This Row],[_Row]]+1):INDEX(Tasks[_LeafCritical],Tasks[[#This Row],[_Row]]+Tasks[[#This Row],[_Descendants]]),TRUE())&gt;0,Tasks[[#This Row],[_LeafCritical]]),"Yes",""))</f>
        <v/>
      </c>
      <c r="AQ124" s="62" t="str">
        <f aca="false">IF(Tasks[[#This Row],[Task Name]]="","",IF(N(Tasks[[#This Row],[Baseline Start]])&gt;0,Tasks[[#This Row],[Baseline Start]],Tasks[[#This Row],[_CalcStart]]))</f>
        <v/>
      </c>
      <c r="AR124" s="62" t="str">
        <f aca="false">IF(Tasks[[#This Row],[Task Name]]="","",IF(N(Tasks[[#This Row],[Baseline Finish]])&gt;0,Tasks[[#This Row],[Baseline Finish]],Tasks[[#This Row],[_CalcFinish]]))</f>
        <v/>
      </c>
      <c r="AS124" s="46" t="str">
        <f aca="false">IF(Tasks[[#This Row],[Task Name]]="","",IF(Tasks[[#This Row],[Start]]&gt;=Tasks[[#This Row],[Planned Start]],NETWORKDAYS.INTL(Tasks[[#This Row],[Planned Start]],Tasks[[#This Row],[Start]],WorkWeek,Holidays)-1,1-NETWORKDAYS.INTL(Tasks[[#This Row],[Start]],Tasks[[#This Row],[Planned Start]],WorkWeek,Holidays)))</f>
        <v/>
      </c>
      <c r="AT124" s="62" t="str">
        <f aca="false">IF(Tasks[[#This Row],[Task Name]]="","",IF(Tasks[[#This Row],[_IsSummary]],MIN(INDEX(Tasks[_LeafLateStart],Tasks[[#This Row],[_Row]]+1):INDEX(Tasks[_LeafLateStart],Tasks[[#This Row],[_Row]]+Tasks[[#This Row],[_Descendants]])),Tasks[[#This Row],[_LeafLateStart]]))</f>
        <v/>
      </c>
      <c r="AU124" s="62" t="str">
        <f aca="false">IF(Tasks[[#This Row],[Task Name]]="","",IF(Tasks[[#This Row],[_IsSummary]],MAX(INDEX(Tasks[_LeafLateFinish],Tasks[[#This Row],[_Row]]+1):INDEX(Tasks[_LeafLateFinish],Tasks[[#This Row],[_Row]]+Tasks[[#This Row],[_Descendants]])),Tasks[[#This Row],[_LeafLateFinish]]))</f>
        <v/>
      </c>
      <c r="AV124" s="46" t="str">
        <f aca="false">IF(Tasks[[#This Row],[Task Name]]="","",IF(Tasks[[#This Row],[_IsSummary]],MIN(INDEX(Tasks[_LeafTotalSlack],Tasks[[#This Row],[_Row]]+1):INDEX(Tasks[_LeafTotalSlack],Tasks[[#This Row],[_Row]]+Tasks[[#This Row],[_Descendants]])),Tasks[[#This Row],[_LeafTotalSlack]]))</f>
        <v/>
      </c>
      <c r="AW12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4"/>
      <c r="BA12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t="str">
        <f aca="false">IF(Tasks[[#This Row],[Task Name]]="","",IF(Tasks[[#This Row],[_Level]]&lt;=OutlineShowLevel,"Yes","No"))</f>
        <v/>
      </c>
      <c r="BE124" s="85" t="str">
        <f aca="false">IF(Tasks[[#This Row],[Task Name]]="","",IF(Tasks[[#This Row],[_IsSummary]],SUM(INDEX(Tasks[_LeafTotalWork],Tasks[[#This Row],[_Row]]+1):INDEX(Tasks[_LeafTotalWork],Tasks[[#This Row],[_Row]]+Tasks[[#This Row],[_Descendants]])),Tasks[[#This Row],[_LeafTotalWork]]))</f>
        <v/>
      </c>
      <c r="BF124" s="23"/>
      <c r="BG12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t="str">
        <f aca="false">""</f>
        <v/>
      </c>
      <c r="BI124" s="86"/>
      <c r="BJ124" s="22"/>
      <c r="BK124" s="46" t="str">
        <f aca="false">IF(OR(Tasks[[#This Row],[Task Name]]="",Tasks[[#This Row],[Baseline Duration]]=""),"",Tasks[[#This Row],[_SpanDays]]-N(Tasks[[#This Row],[Baseline Duration]]))</f>
        <v/>
      </c>
      <c r="BL124" s="85" t="str">
        <f aca="false">IF(OR(Tasks[[#This Row],[Task Name]]="",Tasks[[#This Row],[Baseline Work]]=""),"",Tasks[[#This Row],[Work]]-N(Tasks[[#This Row],[Baseline Work]]))</f>
        <v/>
      </c>
      <c r="BM124" s="62" t="str">
        <f aca="false">IF(Tasks[[#This Row],[Task Name]]="","",IF(OR(TakeBaseline="Yes",N(Tasks[[#This Row],[Baseline Start]])=0),Tasks[[#This Row],[Start]],Tasks[[#This Row],[Baseline Start]]))</f>
        <v/>
      </c>
      <c r="BN124" s="62" t="str">
        <f aca="false">IF(Tasks[[#This Row],[Task Name]]="","",IF(OR(TakeBaseline="Yes",N(Tasks[[#This Row],[Baseline Finish]])=0),Tasks[[#This Row],[Finish]],Tasks[[#This Row],[Baseline Finish]]))</f>
        <v/>
      </c>
      <c r="BO124" s="21" t="str">
        <f aca="false">IF(Tasks[[#This Row],[Task Name]]="","",IF(OR(TakeBaseline="Yes",N(Tasks[[#This Row],[Baseline Duration]])=0),Tasks[[#This Row],[_SpanDays]],Tasks[[#This Row],[Baseline Duration]]))</f>
        <v/>
      </c>
      <c r="BP124" s="85" t="str">
        <f aca="false">IF(Tasks[[#This Row],[Task Name]]="","",IF(OR(TakeBaseline="Yes",N(Tasks[[#This Row],[Baseline Work]])=0),Tasks[[#This Row],[Work]],Tasks[[#This Row],[Baseline Work]]))</f>
        <v/>
      </c>
      <c r="BQ124" s="7"/>
      <c r="BR124" s="7"/>
      <c r="BS124" s="22"/>
      <c r="BT124" s="87"/>
      <c r="BU124" s="42" t="str">
        <f aca="false">IF(Tasks[[#This Row],[Task Name]]="","",MAX(1,N(Tasks[[#This Row],[Level]])))</f>
        <v/>
      </c>
      <c r="BV124" s="42" t="n">
        <f aca="false">ROW()-ROW(Tasks[[#Headers],[ID]])</f>
        <v>119</v>
      </c>
      <c r="BW124" s="42" t="n">
        <f aca="false">IF(OR(Tasks[[#This Row],[Task Name]]="",Tasks[[#This Row],[_Level]]&lt;=1),0,IFERROR(LOOKUP(2,1/(Tasks[[#Headers],[_Level]]:Tasks[[#This Row],[_Level]]=Tasks[[#This Row],[_Level]]-1),ROW(Tasks[[#Headers],[_Level]]:Tasks[[#This Row],[_Level]])),0))</f>
        <v>0</v>
      </c>
      <c r="BX124" s="42" t="n">
        <f aca="false">IFERROR(N(INDEX(Tasks[_Level],Tasks[[#This Row],[_Row]]+1)),0)</f>
        <v>0</v>
      </c>
      <c r="BY124" s="88" t="b">
        <f aca="false">AND(Tasks[[#This Row],[Task Name]]&lt;&gt;"",Tasks[[#This Row],[_NextLevel]]&gt;Tasks[[#This Row],[_Level]])</f>
        <v>0</v>
      </c>
      <c r="BZ124" s="42" t="n">
        <f aca="false">IF(Tasks[[#This Row],[_IsSummary]],COUNTIF(Tasks[WBS],Tasks[[#This Row],[WBS]]&amp;".*"),0)</f>
        <v>0</v>
      </c>
      <c r="CA124" s="42" t="n">
        <f aca="false">IF(AND(Tasks[[#This Row],[Task Name]]&lt;&gt;"",NOT(Tasks[[#This Row],[_IsSummary]])),1,0)</f>
        <v>0</v>
      </c>
      <c r="CB124" s="42" t="n">
        <f aca="false">IF(N(Tasks[[#This Row],[_Pred1UID]])=0,0,IFERROR(MATCH(Tasks[[#This Row],[_Pred1UID]],Tasks[UID],0),-1))</f>
        <v>0</v>
      </c>
      <c r="CC124" s="42" t="n">
        <f aca="false">IF(N(Tasks[[#This Row],[_Pred2UID]])=0,0,IFERROR(MATCH(Tasks[[#This Row],[_Pred2UID]],Tasks[UID],0),-1))</f>
        <v>0</v>
      </c>
      <c r="CD124" s="42" t="n">
        <f aca="false">IF(N(Tasks[[#This Row],[_Pred3UID]])=0,0,IFERROR(MATCH(Tasks[[#This Row],[_Pred3UID]],Tasks[UID],0),-1))</f>
        <v>0</v>
      </c>
      <c r="CE124" s="42" t="n">
        <f aca="false">IF(N(Tasks[[#This Row],[_Pred4UID]])=0,0,IFERROR(MATCH(Tasks[[#This Row],[_Pred4UID]],Tasks[UID],0),-1))</f>
        <v>0</v>
      </c>
      <c r="CF12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4" s="89" t="n">
        <f aca="false">IF(OR(Tasks[[#This Row],[_ConstraintCode]]=2,Tasks[[#This Row],[_ConstraintCode]]=3,Tasks[[#This Row],[_ConstraintCode]]=4,Tasks[[#This Row],[_ConstraintCode]]=6),Tasks[[#This Row],[_ConstraintStart]],0)</f>
        <v>0</v>
      </c>
      <c r="CI124" s="89" t="n">
        <f aca="false">IF(OR(Tasks[[#This Row],[_ConstraintCode]]=2,Tasks[[#This Row],[_ConstraintCode]]=3,Tasks[[#This Row],[_ConstraintCode]]=5,Tasks[[#This Row],[_ConstraintCode]]=7),Tasks[[#This Row],[_ConstraintStart]],2958465)</f>
        <v>2958465</v>
      </c>
      <c r="CJ12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4" s="89" t="str">
        <f aca="false">IF(NOT(Tasks[[#This Row],[_IsLeaf]]=1),"",IF(N(Tasks[[#This Row],[_Days]])&lt;=0,Tasks[[#This Row],[_LeafCalcStart]],WORKDAY.INTL(Tasks[[#This Row],[_LeafCalcStart]],Tasks[[#This Row],[_Days]]-1,WorkWeek,Holidays)))</f>
        <v/>
      </c>
      <c r="CL12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4" s="42" t="str">
        <f aca="false">IF(Tasks[[#This Row],[_Predecessors]]="","",TRIM(MID(SUBSTITUTE(SUBSTITUTE(SUBSTITUTE(UPPER(Tasks[[#This Row],[_Predecessors]]),";",",")," ",""),",",REPT(" ",99)),1,99)))</f>
        <v/>
      </c>
      <c r="CO124" s="42" t="str">
        <f aca="false">IF(Tasks[[#This Row],[_Pred1Text]]="","",IFERROR(VALUE(LEFT(Tasks[[#This Row],[_Pred1Text]],MIN(FIND("F",Tasks[[#This Row],[_Pred1Text]]&amp;"F"),FIND("S",Tasks[[#This Row],[_Pred1Text]]&amp;"S"),FIND("+",Tasks[[#This Row],[_Pred1Text]]&amp;"+"),FIND("-",Tasks[[#This Row],[_Pred1Text]]&amp;"-"))-1)),""))</f>
        <v/>
      </c>
      <c r="CP12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4" s="42" t="str">
        <f aca="false">IF(Tasks[[#This Row],[_Pred1Text]]="","",TRIM(MID(SUBSTITUTE(SUBSTITUTE(SUBSTITUTE(UPPER(Tasks[[#This Row],[_Predecessors]]),";",",")," ",""),",",REPT(" ",99)),100,99)))</f>
        <v/>
      </c>
      <c r="CS124" s="42" t="str">
        <f aca="false">IF(Tasks[[#This Row],[_Pred2Text]]="","",IFERROR(VALUE(LEFT(Tasks[[#This Row],[_Pred2Text]],MIN(FIND("F",Tasks[[#This Row],[_Pred2Text]]&amp;"F"),FIND("S",Tasks[[#This Row],[_Pred2Text]]&amp;"S"),FIND("+",Tasks[[#This Row],[_Pred2Text]]&amp;"+"),FIND("-",Tasks[[#This Row],[_Pred2Text]]&amp;"-"))-1)),""))</f>
        <v/>
      </c>
      <c r="CT12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4" s="42" t="str">
        <f aca="false">IF(Tasks[[#This Row],[_Pred2Text]]="","",TRIM(MID(SUBSTITUTE(SUBSTITUTE(SUBSTITUTE(UPPER(Tasks[[#This Row],[_Predecessors]]),";",",")," ",""),",",REPT(" ",99)),199,99)))</f>
        <v/>
      </c>
      <c r="CW124" s="42" t="str">
        <f aca="false">IF(Tasks[[#This Row],[_Pred3Text]]="","",IFERROR(VALUE(LEFT(Tasks[[#This Row],[_Pred3Text]],MIN(FIND("F",Tasks[[#This Row],[_Pred3Text]]&amp;"F"),FIND("S",Tasks[[#This Row],[_Pred3Text]]&amp;"S"),FIND("+",Tasks[[#This Row],[_Pred3Text]]&amp;"+"),FIND("-",Tasks[[#This Row],[_Pred3Text]]&amp;"-"))-1)),""))</f>
        <v/>
      </c>
      <c r="CX12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4" s="42" t="str">
        <f aca="false">IF(Tasks[[#This Row],[_Pred3Text]]="","",TRIM(MID(SUBSTITUTE(SUBSTITUTE(SUBSTITUTE(UPPER(Tasks[[#This Row],[_Predecessors]]),";",",")," ",""),",",REPT(" ",99)),298,99)))</f>
        <v/>
      </c>
      <c r="DA124" s="42" t="str">
        <f aca="false">IF(Tasks[[#This Row],[_Pred4Text]]="","",IFERROR(VALUE(LEFT(Tasks[[#This Row],[_Pred4Text]],MIN(FIND("F",Tasks[[#This Row],[_Pred4Text]]&amp;"F"),FIND("S",Tasks[[#This Row],[_Pred4Text]]&amp;"S"),FIND("+",Tasks[[#This Row],[_Pred4Text]]&amp;"+"),FIND("-",Tasks[[#This Row],[_Pred4Text]]&amp;"-"))-1)),""))</f>
        <v/>
      </c>
      <c r="DB12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4" s="42" t="str">
        <f aca="false">IF(OR(Tasks[[#This Row],[Task Name]]="",Tasks[[#This Row],[_Resources]]=""),"",TRIM(MID(SUBSTITUTE(Tasks[[#This Row],[_Resources]],",",REPT(" ",99)),1,99)))</f>
        <v/>
      </c>
      <c r="DE124" s="42" t="str">
        <f aca="false">IF(Tasks[[#This Row],[_Res1Text]]="","",TRIM(MID(SUBSTITUTE(Tasks[[#This Row],[_Resources]],",",REPT(" ",99)),100,99)))</f>
        <v/>
      </c>
      <c r="DF124" s="42" t="str">
        <f aca="false">IF(Tasks[[#This Row],[_Res2Text]]="","",TRIM(MID(SUBSTITUTE(Tasks[[#This Row],[_Resources]],",",REPT(" ",99)),199,99)))</f>
        <v/>
      </c>
      <c r="DG124" s="42" t="str">
        <f aca="false">IF(Tasks[[#This Row],[_Res3Text]]="","",TRIM(MID(SUBSTITUTE(Tasks[[#This Row],[_Resources]],",",REPT(" ",99)),298,99)))</f>
        <v/>
      </c>
      <c r="DH124" s="42" t="n">
        <f aca="false">IF(Tasks[[#This Row],[_Res1Text]]="",0,IFERROR(MATCH(TRIM(LEFT(Tasks[[#This Row],[_Res1Text]],FIND("[",Tasks[[#This Row],[_Res1Text]]&amp;"[")-1)),res_Name,0),IFERROR(MATCH(TRIM(LEFT(Tasks[[#This Row],[_Res1Text]],FIND("[",Tasks[[#This Row],[_Res1Text]]&amp;"[")-1)),res_Initials,0),0)))</f>
        <v>0</v>
      </c>
      <c r="DI124" s="42" t="n">
        <f aca="false">IF(Tasks[[#This Row],[_Res2Text]]="",0,IFERROR(MATCH(TRIM(LEFT(Tasks[[#This Row],[_Res2Text]],FIND("[",Tasks[[#This Row],[_Res2Text]]&amp;"[")-1)),res_Name,0),IFERROR(MATCH(TRIM(LEFT(Tasks[[#This Row],[_Res2Text]],FIND("[",Tasks[[#This Row],[_Res2Text]]&amp;"[")-1)),res_Initials,0),0)))</f>
        <v>0</v>
      </c>
      <c r="DJ124" s="42" t="n">
        <f aca="false">IF(Tasks[[#This Row],[_Res3Text]]="",0,IFERROR(MATCH(TRIM(LEFT(Tasks[[#This Row],[_Res3Text]],FIND("[",Tasks[[#This Row],[_Res3Text]]&amp;"[")-1)),res_Name,0),IFERROR(MATCH(TRIM(LEFT(Tasks[[#This Row],[_Res3Text]],FIND("[",Tasks[[#This Row],[_Res3Text]]&amp;"[")-1)),res_Initials,0),0)))</f>
        <v>0</v>
      </c>
      <c r="DK124" s="42" t="n">
        <f aca="false">IF(Tasks[[#This Row],[_Res4Text]]="",0,IFERROR(MATCH(TRIM(LEFT(Tasks[[#This Row],[_Res4Text]],FIND("[",Tasks[[#This Row],[_Res4Text]]&amp;"[")-1)),res_Name,0),IFERROR(MATCH(TRIM(LEFT(Tasks[[#This Row],[_Res4Text]],FIND("[",Tasks[[#This Row],[_Res4Text]]&amp;"[")-1)),res_Initials,0),0)))</f>
        <v>0</v>
      </c>
      <c r="DL124" s="42" t="str">
        <f aca="false">IF(Tasks[[#This Row],[_Res1Text]]="","",IF(Tasks[[#This Row],[_Res1Row]]&gt;0,INDEX(res_Name,Tasks[[#This Row],[_Res1Row]]),TRIM(LEFT(Tasks[[#This Row],[_Res1Text]],FIND("[",Tasks[[#This Row],[_Res1Text]]&amp;"[")-1))))</f>
        <v/>
      </c>
      <c r="DM12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4" s="42" t="n">
        <f aca="false">IF(NOT(Tasks[[#This Row],[_IsLeaf]]=1),0,(Tasks[[#This Row],[_Resource1]]&lt;&gt;"")+(Tasks[[#This Row],[_Res2]]&lt;&gt;"")+(Tasks[[#This Row],[_Res3]]&lt;&gt;"")+(Tasks[[#This Row],[_Res4]]&lt;&gt;""))</f>
        <v>0</v>
      </c>
      <c r="DO124" s="42" t="str">
        <f aca="false">IF(Tasks[[#This Row],[_Res2Text]]="","",IF(Tasks[[#This Row],[_Res2Row]]&gt;0,INDEX(res_Name,Tasks[[#This Row],[_Res2Row]]),TRIM(LEFT(Tasks[[#This Row],[_Res2Text]],FIND("[",Tasks[[#This Row],[_Res2Text]]&amp;"[")-1))))</f>
        <v/>
      </c>
      <c r="DP12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4" s="42" t="n">
        <f aca="false">IF(OR(NOT(Tasks[[#This Row],[_IsLeaf]]=1),Tasks[[#This Row],[_Res2Row]]=0),0,N(Tasks[[#This Row],[_Days]])*HoursPerDay*IF(Tasks[[#This Row],[_Res2Units]]="",DefaultUnits,Tasks[[#This Row],[_Res2Units]]))</f>
        <v>0</v>
      </c>
      <c r="DR124" s="42" t="n">
        <f aca="false">IF(AND(AND(Tasks[[#This Row],[_IsLeaf]]=1,Tasks[[#This Row],[_LeafTotalWork]]&gt;0),Tasks[[#This Row],[_Res2Work]]&gt;0),Tasks[[#This Row],[_Res2Work]]/(Tasks[[#This Row],[_FinishWorkday]]-Tasks[[#This Row],[_StartWorkday]]+1),0)</f>
        <v>0</v>
      </c>
      <c r="DS124" s="42" t="n">
        <f aca="false">Tasks[[#This Row],[_Res2WorkPerWD]]*MAX(0,Tasks[[#This Row],[_StartWorkday]]-1)</f>
        <v>0</v>
      </c>
      <c r="DT124" s="42" t="n">
        <f aca="false">Tasks[[#This Row],[_Res2Work]]*Tasks[[#This Row],[_LeafProgress]]</f>
        <v>0</v>
      </c>
      <c r="DU124" s="42" t="str">
        <f aca="false">IF(Tasks[[#This Row],[_Res3Text]]="","",IF(Tasks[[#This Row],[_Res3Row]]&gt;0,INDEX(res_Name,Tasks[[#This Row],[_Res3Row]]),TRIM(LEFT(Tasks[[#This Row],[_Res3Text]],FIND("[",Tasks[[#This Row],[_Res3Text]]&amp;"[")-1))))</f>
        <v/>
      </c>
      <c r="DV12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4" s="42" t="n">
        <f aca="false">IF(OR(NOT(Tasks[[#This Row],[_IsLeaf]]=1),Tasks[[#This Row],[_Res3Row]]=0),0,N(Tasks[[#This Row],[_Days]])*HoursPerDay*IF(Tasks[[#This Row],[_Res3Units]]="",DefaultUnits,Tasks[[#This Row],[_Res3Units]]))</f>
        <v>0</v>
      </c>
      <c r="DX124" s="42" t="n">
        <f aca="false">IF(AND(AND(Tasks[[#This Row],[_IsLeaf]]=1,Tasks[[#This Row],[_LeafTotalWork]]&gt;0),Tasks[[#This Row],[_Res3Work]]&gt;0),Tasks[[#This Row],[_Res3Work]]/(Tasks[[#This Row],[_FinishWorkday]]-Tasks[[#This Row],[_StartWorkday]]+1),0)</f>
        <v>0</v>
      </c>
      <c r="DY124" s="42" t="n">
        <f aca="false">Tasks[[#This Row],[_Res3WorkPerWD]]*MAX(0,Tasks[[#This Row],[_StartWorkday]]-1)</f>
        <v>0</v>
      </c>
      <c r="DZ124" s="42" t="n">
        <f aca="false">Tasks[[#This Row],[_Res3Work]]*Tasks[[#This Row],[_LeafProgress]]</f>
        <v>0</v>
      </c>
      <c r="EA124" s="42" t="str">
        <f aca="false">IF(Tasks[[#This Row],[_Res4Text]]="","",IF(Tasks[[#This Row],[_Res4Row]]&gt;0,INDEX(res_Name,Tasks[[#This Row],[_Res4Row]]),TRIM(LEFT(Tasks[[#This Row],[_Res4Text]],FIND("[",Tasks[[#This Row],[_Res4Text]]&amp;"[")-1))))</f>
        <v/>
      </c>
      <c r="EB12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4" s="42" t="n">
        <f aca="false">IF(OR(NOT(Tasks[[#This Row],[_IsLeaf]]=1),Tasks[[#This Row],[_Res4Row]]=0),0,N(Tasks[[#This Row],[_Days]])*HoursPerDay*IF(Tasks[[#This Row],[_Res4Units]]="",DefaultUnits,Tasks[[#This Row],[_Res4Units]]))</f>
        <v>0</v>
      </c>
      <c r="ED124" s="42" t="n">
        <f aca="false">IF(AND(AND(Tasks[[#This Row],[_IsLeaf]]=1,Tasks[[#This Row],[_LeafTotalWork]]&gt;0),Tasks[[#This Row],[_Res4Work]]&gt;0),Tasks[[#This Row],[_Res4Work]]/(Tasks[[#This Row],[_FinishWorkday]]-Tasks[[#This Row],[_StartWorkday]]+1),0)</f>
        <v>0</v>
      </c>
      <c r="EE124" s="42" t="n">
        <f aca="false">Tasks[[#This Row],[_Res4WorkPerWD]]*MAX(0,Tasks[[#This Row],[_StartWorkday]]-1)</f>
        <v>0</v>
      </c>
      <c r="EF124" s="42" t="n">
        <f aca="false">Tasks[[#This Row],[_Res4Work]]*Tasks[[#This Row],[_LeafProgress]]</f>
        <v>0</v>
      </c>
      <c r="EG124" s="42" t="n">
        <f aca="false">IF(ISNUMBER(Tasks[[#This Row],[% Complete]]),Tasks[[#This Row],[% Complete]],IF(Tasks[[#This Row],[Stage]]="",0,IFERROR(INDEX(stg_Pct,MATCH(Tasks[[#This Row],[Stage]],stg_Name,0)),0)))</f>
        <v>0</v>
      </c>
      <c r="EH124" s="42" t="n">
        <f aca="false">IF(NOT(Tasks[[#This Row],[_IsLeaf]]=1),0,IF(N(Tasks[[#This Row],[Actual Finish]])&gt;0,1,MIN(1,Tasks[[#This Row],[_Pct]])))</f>
        <v>0</v>
      </c>
      <c r="EI124" s="42" t="n">
        <f aca="false">IF(OR(NOT(Tasks[[#This Row],[_IsLeaf]]=1),Tasks[[#This Row],[_Res1Row]]=0),0,N(Tasks[[#This Row],[_Days]])*HoursPerDay*IF(Tasks[[#This Row],[_Units1]]="",DefaultUnits,Tasks[[#This Row],[_Units1]]))</f>
        <v>0</v>
      </c>
      <c r="EJ124" s="42" t="n">
        <f aca="false">Tasks[[#This Row],[_LeafWork]]+Tasks[[#This Row],[_Res2Work]]+Tasks[[#This Row],[_Res3Work]]+Tasks[[#This Row],[_Res4Work]]</f>
        <v>0</v>
      </c>
      <c r="EK12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4" s="42" t="n">
        <f aca="false">IF(NOT(Tasks[[#This Row],[_IsLeaf]]=1),0,MAX(_xlfn.MAXIFS(Tasks[_Row],Tasks[_Pred1UID],Tasks[[#This Row],[UID]]),_xlfn.MAXIFS(Tasks[_Row],Tasks[_Pred2UID],Tasks[[#This Row],[UID]]),_xlfn.MAXIFS(Tasks[_Row],Tasks[_Pred3UID],Tasks[[#This Row],[UID]]),_xlfn.MAXIFS(Tasks[_Row],Tasks[_Pred4UID],Tasks[[#This Row],[UID]])))</f>
        <v>0</v>
      </c>
      <c r="ET12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4" s="89" t="str">
        <f aca="false">IF(NOT(Tasks[[#This Row],[_IsLeaf]]=1),"",IF(N(Tasks[[#This Row],[_Days]])&lt;=0,Tasks[[#This Row],[_LeafLateFinish]],WORKDAY.INTL(Tasks[[#This Row],[_LeafLateFinish]],-(Tasks[[#This Row],[_Days]]-1),WorkWeek,Holidays)))</f>
        <v/>
      </c>
      <c r="EW12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4" s="88" t="b">
        <f aca="false">AND(Tasks[[#This Row],[_IsLeaf]]=1,Tasks[[#This Row],[_LeafProgress]]&lt;1,N(Tasks[[#This Row],[_LeafTotalSlack]])&lt;=CriticalSlackDays)</f>
        <v>0</v>
      </c>
      <c r="EY124" s="42" t="n">
        <f aca="false">IF(AND(Tasks[[#This Row],[_IsLeaf]]=1,Tasks[[#This Row],[_ConstraintCode]]=1,Tasks[[#This Row],[Mode]]&lt;&gt;"Manual",N(Tasks[[#This Row],[Actual Start]])=0),MAX(0,N(Tasks[[#This Row],[Free Slack]])),0)</f>
        <v>0</v>
      </c>
      <c r="EZ124" s="89" t="str">
        <f aca="false">IF(NOT(Tasks[[#This Row],[_IsLeaf]]=1),"",IF(Tasks[[#This Row],[_AlapShift]]=0,Tasks[[#This Row],[_LeafCalcStart]],WORKDAY.INTL(Tasks[[#This Row],[_LeafCalcStart]],Tasks[[#This Row],[_AlapShift]],WorkWeek,Holidays)))</f>
        <v/>
      </c>
      <c r="FA124" s="89" t="str">
        <f aca="false">IF(NOT(Tasks[[#This Row],[_IsLeaf]]=1),"",IF(Tasks[[#This Row],[_AlapShift]]=0,Tasks[[#This Row],[_LeafCalcFinish]],WORKDAY.INTL(Tasks[[#This Row],[_LeafCalcFinish]],Tasks[[#This Row],[_AlapShift]],WorkWeek,Holidays)))</f>
        <v/>
      </c>
      <c r="FB124" s="89" t="str">
        <f aca="false">IF(NOT(Tasks[[#This Row],[_IsLeaf]]=1),"",IF(Tasks[[#This Row],[_AlapShift]]=0,Tasks[[#This Row],[_LeafFcstStart]],WORKDAY.INTL(Tasks[[#This Row],[_LeafFcstStart]],Tasks[[#This Row],[_AlapShift]],WorkWeek,Holidays)))</f>
        <v/>
      </c>
      <c r="FC124" s="89" t="str">
        <f aca="false">IF(NOT(Tasks[[#This Row],[_IsLeaf]]=1),"",IF(Tasks[[#This Row],[_AlapShift]]=0,Tasks[[#This Row],[_LeafFcstFinish]],WORKDAY.INTL(Tasks[[#This Row],[_LeafFcstFinish]],Tasks[[#This Row],[_AlapShift]],WorkWeek,Holidays)))</f>
        <v/>
      </c>
      <c r="FD124" s="89" t="str">
        <f aca="false">IF(Tasks[[#This Row],[Task Name]]="","",IF(Tasks[[#This Row],[_IsSummary]],MIN(INDEX(Tasks[_ShownCalcStart],Tasks[[#This Row],[_Row]]+1):INDEX(Tasks[_ShownCalcStart],Tasks[[#This Row],[_Row]]+Tasks[[#This Row],[_Descendants]])),Tasks[[#This Row],[_ShownCalcStart]]))</f>
        <v/>
      </c>
      <c r="FE124" s="89" t="str">
        <f aca="false">IF(Tasks[[#This Row],[Task Name]]="","",IF(Tasks[[#This Row],[_IsSummary]],MAX(INDEX(Tasks[_ShownCalcFinish],Tasks[[#This Row],[_Row]]+1):INDEX(Tasks[_ShownCalcFinish],Tasks[[#This Row],[_Row]]+Tasks[[#This Row],[_Descendants]])),Tasks[[#This Row],[_ShownCalcFinish]]))</f>
        <v/>
      </c>
      <c r="FF12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4" s="42" t="n">
        <f aca="false">IF(AND(Tasks[[#This Row],[_IsLeaf]]=1,Tasks[[#This Row],[_LeafTotalWork]]&gt;0),NETWORKDAYS.INTL(ProjectStart,Tasks[[#This Row],[_ShownFcstStart]],WorkWeek,Holidays),0)</f>
        <v>0</v>
      </c>
      <c r="FS124" s="42" t="n">
        <f aca="false">IF(AND(Tasks[[#This Row],[_IsLeaf]]=1,Tasks[[#This Row],[_LeafTotalWork]]&gt;0),MAX(Tasks[[#This Row],[_StartWorkday]],NETWORKDAYS.INTL(ProjectStart,Tasks[[#This Row],[_ShownFcstFinish]],WorkWeek,Holidays)),0)</f>
        <v>0</v>
      </c>
      <c r="FT124" s="42" t="n">
        <f aca="false">IF(AND(Tasks[[#This Row],[_IsLeaf]]=1,Tasks[[#This Row],[_LeafTotalWork]]&gt;0),Tasks[[#This Row],[_LeafWork]]/(Tasks[[#This Row],[_FinishWorkday]]-Tasks[[#This Row],[_StartWorkday]]+1),0)</f>
        <v>0</v>
      </c>
      <c r="FU124" s="42" t="n">
        <f aca="false">Tasks[[#This Row],[_WorkPerWorkday]]*(Tasks[[#This Row],[_StartWorkday]]-1)</f>
        <v>-0</v>
      </c>
      <c r="FV124" s="42" t="n">
        <f aca="false">IF(Tasks[[#This Row],[_IsLeaf]]=1,MAX(N(Tasks[[#This Row],[_Days]]),0.1),0)</f>
        <v>0</v>
      </c>
      <c r="FW124" s="42" t="n">
        <f aca="false">Tasks[[#This Row],[_WeightDur]]*Tasks[[#This Row],[_LeafProgress]]</f>
        <v>0</v>
      </c>
      <c r="FX124" s="42" t="n">
        <f aca="false">Tasks[[#This Row],[_WeightDur]]*Tasks[[#This Row],[_PlannedPct]]</f>
        <v>0</v>
      </c>
      <c r="FY12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4" s="42" t="str">
        <f aca="false">IF(AND(Tasks[[#This Row],[_IsLeaf]]=1,N(Tasks[[#This Row],[_Days]])=0,Tasks[[#This Row],[_LeafProgress]]&lt;1),Tasks[[#This Row],[_ShownFcstFinish]]+Tasks[[#This Row],[_Row]]/100000,"")</f>
        <v/>
      </c>
      <c r="GA12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4" s="42" t="str">
        <f aca="false">IF(Tasks[[#This Row],[Task Name]]="","",LEFT(Tasks[[#This Row],[WBS]],FIND(".",Tasks[[#This Row],[WBS]]&amp;".")-1))</f>
        <v/>
      </c>
      <c r="GC124" s="42" t="str">
        <f aca="false">IF(AND(Tasks[[#This Row],[Task Name]]&lt;&gt;"",Tasks[[#This Row],[_Level]]=1),Tasks[[#This Row],[_Row]],"")</f>
        <v/>
      </c>
      <c r="GD124" s="42" t="str">
        <f aca="false">IF(AND(Tasks[[#This Row],[_IsLeaf]]=1,N(Tasks[[#This Row],[_Days]])=0),Tasks[[#This Row],[Planned Finish]]+Tasks[[#This Row],[_Row]]/100000,"")</f>
        <v/>
      </c>
      <c r="GE124" s="42" t="str">
        <f aca="false">IF(AND(Tasks[[#This Row],[_IsLeaf]]=1,Tasks[[#This Row],[_LeafProgress]]&lt;1,OR(N(Tasks[[#This Row],[Finish Var]])&gt;0,Tasks[[#This Row],[Status]]="Late Start")),MAX(0,Tasks[[#This Row],[Finish Var]])+1-Tasks[[#This Row],[_Row]]/1000000,"")</f>
        <v/>
      </c>
      <c r="GF124" s="42" t="str">
        <f aca="false">IF(AND(Tasks[[#This Row],[_IsLeaf]]=1,N(Tasks[[#This Row],[Actual Start]])=0,Tasks[[#This Row],[_ShownFcstStart]]&gt;=StatusDate,Tasks[[#This Row],[_ShownFcstStart]]&lt;=LookaheadEnd),Tasks[[#This Row],[_ShownFcstStart]]+Tasks[[#This Row],[_Row]]/100000,"")</f>
        <v/>
      </c>
      <c r="GG124" s="42" t="str">
        <f aca="false">IF(AND(Tasks[[#This Row],[_IsLeaf]]=1,Tasks[[#This Row],[_LeafProgress]]&lt;1,Tasks[[#This Row],[_ShownFcstFinish]]&gt;=StatusDate,Tasks[[#This Row],[_ShownFcstFinish]]&lt;=LookaheadEnd),Tasks[[#This Row],[_ShownFcstFinish]]+Tasks[[#This Row],[_Row]]/100000,"")</f>
        <v/>
      </c>
      <c r="GH124" s="42" t="str">
        <f aca="false">IF(Tasks[[#This Row],[_LeafCritical]],Tasks[[#This Row],[_ShownFcstStart]]+Tasks[[#This Row],[_Row]]/100000,"")</f>
        <v/>
      </c>
      <c r="GI124" s="42" t="n">
        <f aca="false">Tasks[[#This Row],[_LeafWork]]*Tasks[[#This Row],[_LeafProgress]]</f>
        <v>0</v>
      </c>
      <c r="GJ124" s="89" t="str">
        <f aca="false">IF(AND(Tasks[[#This Row],[_IsLeaf]]=1,Tasks[[#This Row],[_LeafProgress]]&gt;=1),IF(N(Tasks[[#This Row],[Actual Finish]])&gt;0,Tasks[[#This Row],[Actual Finish]],Tasks[[#This Row],[_ShownFcstFinish]]),"")</f>
        <v/>
      </c>
      <c r="GK124" s="42" t="n">
        <f aca="false">IF(Tasks[[#This Row],[_IsLeaf]]=1,N(Tasks[[#This Row],[Story Points]]),0)</f>
        <v>0</v>
      </c>
      <c r="GL124" s="42" t="str">
        <f aca="false">""</f>
        <v/>
      </c>
      <c r="GM124" s="88" t="b">
        <f aca="false">IF(Tasks[[#This Row],[Task Name]]="",FALSE(),AND(Tasks[[#This Row],[_IsLeaf]]=1,N(Tasks[[#This Row],[_Days]])=0))</f>
        <v>0</v>
      </c>
      <c r="GN124" s="89" t="n">
        <f aca="false">IF(Tasks[[#This Row],[Task Name]]="",0,IF(AND(Tasks[[#This Row],[_IsLeaf]]=1,NOT(Tasks[[#This Row],[_IsMilestone]]),N(Tasks[[#This Row],[Progress]])&gt;0),Tasks[[#This Row],[Start]],0))</f>
        <v>0</v>
      </c>
      <c r="GO124" s="89" t="n">
        <f aca="false">IF(Tasks[[#This Row],[_DoneFrom]]=0,0,IF(Tasks[[#This Row],[Progress]]&gt;=1,Tasks[[#This Row],[Finish]],MAX(Tasks[[#This Row],[_DoneFrom]],Tasks[[#This Row],[Start]]+ROUND((Tasks[[#This Row],[Finish]]-Tasks[[#This Row],[Start]]+1)*Tasks[[#This Row],[Progress]],0)-1)))</f>
        <v>0</v>
      </c>
      <c r="GP124" s="89" t="n">
        <f aca="false">IF(Tasks[[#This Row],[Task Name]]="",0,IF(OR(NOT(Tasks[[#This Row],[_IsLeaf]]=1),Tasks[[#This Row],[_IsMilestone]],N(Tasks[[#This Row],[Progress]])&gt;=1),0,IF(Tasks[[#This Row],[_DoneTo]]&gt;0,Tasks[[#This Row],[_DoneTo]]+1,Tasks[[#This Row],[Start]])))</f>
        <v>0</v>
      </c>
      <c r="GQ124" s="89" t="n">
        <f aca="false">IF(Tasks[[#This Row],[_RemFrom]]=0,0,Tasks[[#This Row],[Finish]])</f>
        <v>0</v>
      </c>
      <c r="GR124" s="88" t="b">
        <f aca="false">IF(Tasks[[#This Row],[Task Name]]="",FALSE(),OR(NOT(BaselineSet),N(Tasks[[#This Row],[Baseline Start]])&gt;0))</f>
        <v>0</v>
      </c>
      <c r="GS12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4" s="90" t="str">
        <f aca="false">IF(Tasks[[#This Row],[_IsLeaf]]=1,Tasks[[#This Row],[_Row]],"")</f>
        <v/>
      </c>
      <c r="GW124" s="90" t="str">
        <f aca="false">IFERROR(INDEX(Tasks[UID],SMALL(Tasks[_PickKey],Tasks[[#This Row],[_Row]]))&amp;" "&amp;INDEX(Tasks[Task Name],SMALL(Tasks[_PickKey],Tasks[[#This Row],[_Row]])),"")</f>
        <v/>
      </c>
      <c r="GX124" s="42" t="str">
        <f aca="false">IF(Tasks[[#This Row],[Task Name]]="","",IF(Tasks[[#This Row],[_IsSummary]],NETWORKDAYS.INTL(Tasks[[#This Row],[Start]],Tasks[[#This Row],[Finish]],WorkWeek,Holidays),N(Tasks[[#This Row],[_Days]])))</f>
        <v/>
      </c>
    </row>
    <row r="125" customFormat="false" ht="15" hidden="false" customHeight="false" outlineLevel="0" collapsed="false">
      <c r="A125" s="21" t="str">
        <f aca="false">IF(Tasks[[#This Row],[Task Name]]="","",COUNTA(Tasks[[#Headers],[Task Name]]:Tasks[[#This Row],[Task Name]])-1)</f>
        <v/>
      </c>
      <c r="B125" s="22" t="n">
        <v>133</v>
      </c>
      <c r="C125" s="22"/>
      <c r="D125" s="23"/>
      <c r="E125" s="22"/>
      <c r="F125" s="23"/>
      <c r="G125" s="22"/>
      <c r="H125" s="22"/>
      <c r="I125" s="23"/>
      <c r="J125" s="22"/>
      <c r="K125" s="22"/>
      <c r="L125" s="23"/>
      <c r="M125" s="22"/>
      <c r="N125" s="22"/>
      <c r="O125" s="23"/>
      <c r="P125" s="22"/>
      <c r="Q125" s="22"/>
      <c r="R125" s="23"/>
      <c r="S125" s="23"/>
      <c r="T125" s="83"/>
      <c r="U125" s="23"/>
      <c r="V125" s="83"/>
      <c r="W125" s="23"/>
      <c r="X125" s="83"/>
      <c r="Y125" s="23"/>
      <c r="Z125" s="83"/>
      <c r="AA125" s="23"/>
      <c r="AB125" s="23"/>
      <c r="AC125" s="7"/>
      <c r="AD125" s="7"/>
      <c r="AE125" s="62" t="str">
        <f aca="false">IF(Tasks[[#This Row],[Task Name]]="","",IF(Tasks[[#This Row],[_IsSummary]],MIN(INDEX(Tasks[_ShownFcstStart],Tasks[[#This Row],[_Row]]+1):INDEX(Tasks[_ShownFcstStart],Tasks[[#This Row],[_Row]]+Tasks[[#This Row],[_Descendants]])),Tasks[[#This Row],[_ShownFcstStart]]))</f>
        <v/>
      </c>
      <c r="AF125" s="62" t="str">
        <f aca="false">IF(Tasks[[#This Row],[Task Name]]="","",IF(Tasks[[#This Row],[_IsSummary]],MAX(INDEX(Tasks[_ShownFcstFinish],Tasks[[#This Row],[_Row]]+1):INDEX(Tasks[_ShownFcstFinish],Tasks[[#This Row],[_Row]]+Tasks[[#This Row],[_Descendants]])),Tasks[[#This Row],[_ShownFcstFinish]]))</f>
        <v/>
      </c>
      <c r="AG125" s="21" t="str">
        <f aca="false">""</f>
        <v/>
      </c>
      <c r="AH125" s="23"/>
      <c r="AI12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5" s="7"/>
      <c r="AK125" s="22"/>
      <c r="AL125" s="23"/>
      <c r="AM125" s="7"/>
      <c r="AN125" s="46" t="str">
        <f aca="false">IF(Tasks[[#This Row],[Task Name]]="","",IF(Tasks[[#This Row],[Finish]]&gt;=Tasks[[#This Row],[Planned Finish]],NETWORKDAYS.INTL(Tasks[[#This Row],[Planned Finish]],Tasks[[#This Row],[Finish]],WorkWeek,Holidays)-1,1-NETWORKDAYS.INTL(Tasks[[#This Row],[Finish]],Tasks[[#This Row],[Planned Finish]],WorkWeek,Holidays)))</f>
        <v/>
      </c>
      <c r="AO125" s="21" t="str">
        <f aca="false">IF(Tasks[[#This Row],[Task Name]]="","",IF(Tasks[[#This Row],[Progress]]&gt;=1,"Complete",IF(OR(N(Tasks[[#This Row],[Actual Start]])&gt;0,Tasks[[#This Row],[Progress]]&gt;0),IF(Tasks[[#This Row],[Finish Var]]&gt;0,"Behind","In Progress"),IF(Tasks[[#This Row],[Planned Start]]&lt;StatusDate,"Late Start","Not Started"))))</f>
        <v/>
      </c>
      <c r="AP125" s="21" t="str">
        <f aca="false">IF(Tasks[[#This Row],[Task Name]]="","",IF(IF(Tasks[[#This Row],[_IsSummary]],COUNTIF(INDEX(Tasks[_LeafCritical],Tasks[[#This Row],[_Row]]+1):INDEX(Tasks[_LeafCritical],Tasks[[#This Row],[_Row]]+Tasks[[#This Row],[_Descendants]]),TRUE())&gt;0,Tasks[[#This Row],[_LeafCritical]]),"Yes",""))</f>
        <v/>
      </c>
      <c r="AQ125" s="62" t="str">
        <f aca="false">IF(Tasks[[#This Row],[Task Name]]="","",IF(N(Tasks[[#This Row],[Baseline Start]])&gt;0,Tasks[[#This Row],[Baseline Start]],Tasks[[#This Row],[_CalcStart]]))</f>
        <v/>
      </c>
      <c r="AR125" s="62" t="str">
        <f aca="false">IF(Tasks[[#This Row],[Task Name]]="","",IF(N(Tasks[[#This Row],[Baseline Finish]])&gt;0,Tasks[[#This Row],[Baseline Finish]],Tasks[[#This Row],[_CalcFinish]]))</f>
        <v/>
      </c>
      <c r="AS125" s="46" t="str">
        <f aca="false">IF(Tasks[[#This Row],[Task Name]]="","",IF(Tasks[[#This Row],[Start]]&gt;=Tasks[[#This Row],[Planned Start]],NETWORKDAYS.INTL(Tasks[[#This Row],[Planned Start]],Tasks[[#This Row],[Start]],WorkWeek,Holidays)-1,1-NETWORKDAYS.INTL(Tasks[[#This Row],[Start]],Tasks[[#This Row],[Planned Start]],WorkWeek,Holidays)))</f>
        <v/>
      </c>
      <c r="AT125" s="62" t="str">
        <f aca="false">IF(Tasks[[#This Row],[Task Name]]="","",IF(Tasks[[#This Row],[_IsSummary]],MIN(INDEX(Tasks[_LeafLateStart],Tasks[[#This Row],[_Row]]+1):INDEX(Tasks[_LeafLateStart],Tasks[[#This Row],[_Row]]+Tasks[[#This Row],[_Descendants]])),Tasks[[#This Row],[_LeafLateStart]]))</f>
        <v/>
      </c>
      <c r="AU125" s="62" t="str">
        <f aca="false">IF(Tasks[[#This Row],[Task Name]]="","",IF(Tasks[[#This Row],[_IsSummary]],MAX(INDEX(Tasks[_LeafLateFinish],Tasks[[#This Row],[_Row]]+1):INDEX(Tasks[_LeafLateFinish],Tasks[[#This Row],[_Row]]+Tasks[[#This Row],[_Descendants]])),Tasks[[#This Row],[_LeafLateFinish]]))</f>
        <v/>
      </c>
      <c r="AV125" s="46" t="str">
        <f aca="false">IF(Tasks[[#This Row],[Task Name]]="","",IF(Tasks[[#This Row],[_IsSummary]],MIN(INDEX(Tasks[_LeafTotalSlack],Tasks[[#This Row],[_Row]]+1):INDEX(Tasks[_LeafTotalSlack],Tasks[[#This Row],[_Row]]+Tasks[[#This Row],[_Descendants]])),Tasks[[#This Row],[_LeafTotalSlack]]))</f>
        <v/>
      </c>
      <c r="AW12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4"/>
      <c r="BA12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t="str">
        <f aca="false">IF(Tasks[[#This Row],[Task Name]]="","",IF(Tasks[[#This Row],[_Level]]&lt;=OutlineShowLevel,"Yes","No"))</f>
        <v/>
      </c>
      <c r="BE125" s="85" t="str">
        <f aca="false">IF(Tasks[[#This Row],[Task Name]]="","",IF(Tasks[[#This Row],[_IsSummary]],SUM(INDEX(Tasks[_LeafTotalWork],Tasks[[#This Row],[_Row]]+1):INDEX(Tasks[_LeafTotalWork],Tasks[[#This Row],[_Row]]+Tasks[[#This Row],[_Descendants]])),Tasks[[#This Row],[_LeafTotalWork]]))</f>
        <v/>
      </c>
      <c r="BF125" s="23"/>
      <c r="BG12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t="str">
        <f aca="false">""</f>
        <v/>
      </c>
      <c r="BI125" s="86"/>
      <c r="BJ125" s="22"/>
      <c r="BK125" s="46" t="str">
        <f aca="false">IF(OR(Tasks[[#This Row],[Task Name]]="",Tasks[[#This Row],[Baseline Duration]]=""),"",Tasks[[#This Row],[_SpanDays]]-N(Tasks[[#This Row],[Baseline Duration]]))</f>
        <v/>
      </c>
      <c r="BL125" s="85" t="str">
        <f aca="false">IF(OR(Tasks[[#This Row],[Task Name]]="",Tasks[[#This Row],[Baseline Work]]=""),"",Tasks[[#This Row],[Work]]-N(Tasks[[#This Row],[Baseline Work]]))</f>
        <v/>
      </c>
      <c r="BM125" s="62" t="str">
        <f aca="false">IF(Tasks[[#This Row],[Task Name]]="","",IF(OR(TakeBaseline="Yes",N(Tasks[[#This Row],[Baseline Start]])=0),Tasks[[#This Row],[Start]],Tasks[[#This Row],[Baseline Start]]))</f>
        <v/>
      </c>
      <c r="BN125" s="62" t="str">
        <f aca="false">IF(Tasks[[#This Row],[Task Name]]="","",IF(OR(TakeBaseline="Yes",N(Tasks[[#This Row],[Baseline Finish]])=0),Tasks[[#This Row],[Finish]],Tasks[[#This Row],[Baseline Finish]]))</f>
        <v/>
      </c>
      <c r="BO125" s="21" t="str">
        <f aca="false">IF(Tasks[[#This Row],[Task Name]]="","",IF(OR(TakeBaseline="Yes",N(Tasks[[#This Row],[Baseline Duration]])=0),Tasks[[#This Row],[_SpanDays]],Tasks[[#This Row],[Baseline Duration]]))</f>
        <v/>
      </c>
      <c r="BP125" s="85" t="str">
        <f aca="false">IF(Tasks[[#This Row],[Task Name]]="","",IF(OR(TakeBaseline="Yes",N(Tasks[[#This Row],[Baseline Work]])=0),Tasks[[#This Row],[Work]],Tasks[[#This Row],[Baseline Work]]))</f>
        <v/>
      </c>
      <c r="BQ125" s="7"/>
      <c r="BR125" s="7"/>
      <c r="BS125" s="22"/>
      <c r="BT125" s="87"/>
      <c r="BU125" s="42" t="str">
        <f aca="false">IF(Tasks[[#This Row],[Task Name]]="","",MAX(1,N(Tasks[[#This Row],[Level]])))</f>
        <v/>
      </c>
      <c r="BV125" s="42" t="n">
        <f aca="false">ROW()-ROW(Tasks[[#Headers],[ID]])</f>
        <v>120</v>
      </c>
      <c r="BW125" s="42" t="n">
        <f aca="false">IF(OR(Tasks[[#This Row],[Task Name]]="",Tasks[[#This Row],[_Level]]&lt;=1),0,IFERROR(LOOKUP(2,1/(Tasks[[#Headers],[_Level]]:Tasks[[#This Row],[_Level]]=Tasks[[#This Row],[_Level]]-1),ROW(Tasks[[#Headers],[_Level]]:Tasks[[#This Row],[_Level]])),0))</f>
        <v>0</v>
      </c>
      <c r="BX125" s="42" t="n">
        <f aca="false">IFERROR(N(INDEX(Tasks[_Level],Tasks[[#This Row],[_Row]]+1)),0)</f>
        <v>0</v>
      </c>
      <c r="BY125" s="88" t="b">
        <f aca="false">AND(Tasks[[#This Row],[Task Name]]&lt;&gt;"",Tasks[[#This Row],[_NextLevel]]&gt;Tasks[[#This Row],[_Level]])</f>
        <v>0</v>
      </c>
      <c r="BZ125" s="42" t="n">
        <f aca="false">IF(Tasks[[#This Row],[_IsSummary]],COUNTIF(Tasks[WBS],Tasks[[#This Row],[WBS]]&amp;".*"),0)</f>
        <v>0</v>
      </c>
      <c r="CA125" s="42" t="n">
        <f aca="false">IF(AND(Tasks[[#This Row],[Task Name]]&lt;&gt;"",NOT(Tasks[[#This Row],[_IsSummary]])),1,0)</f>
        <v>0</v>
      </c>
      <c r="CB125" s="42" t="n">
        <f aca="false">IF(N(Tasks[[#This Row],[_Pred1UID]])=0,0,IFERROR(MATCH(Tasks[[#This Row],[_Pred1UID]],Tasks[UID],0),-1))</f>
        <v>0</v>
      </c>
      <c r="CC125" s="42" t="n">
        <f aca="false">IF(N(Tasks[[#This Row],[_Pred2UID]])=0,0,IFERROR(MATCH(Tasks[[#This Row],[_Pred2UID]],Tasks[UID],0),-1))</f>
        <v>0</v>
      </c>
      <c r="CD125" s="42" t="n">
        <f aca="false">IF(N(Tasks[[#This Row],[_Pred3UID]])=0,0,IFERROR(MATCH(Tasks[[#This Row],[_Pred3UID]],Tasks[UID],0),-1))</f>
        <v>0</v>
      </c>
      <c r="CE125" s="42" t="n">
        <f aca="false">IF(N(Tasks[[#This Row],[_Pred4UID]])=0,0,IFERROR(MATCH(Tasks[[#This Row],[_Pred4UID]],Tasks[UID],0),-1))</f>
        <v>0</v>
      </c>
      <c r="CF12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5" s="89" t="n">
        <f aca="false">IF(OR(Tasks[[#This Row],[_ConstraintCode]]=2,Tasks[[#This Row],[_ConstraintCode]]=3,Tasks[[#This Row],[_ConstraintCode]]=4,Tasks[[#This Row],[_ConstraintCode]]=6),Tasks[[#This Row],[_ConstraintStart]],0)</f>
        <v>0</v>
      </c>
      <c r="CI125" s="89" t="n">
        <f aca="false">IF(OR(Tasks[[#This Row],[_ConstraintCode]]=2,Tasks[[#This Row],[_ConstraintCode]]=3,Tasks[[#This Row],[_ConstraintCode]]=5,Tasks[[#This Row],[_ConstraintCode]]=7),Tasks[[#This Row],[_ConstraintStart]],2958465)</f>
        <v>2958465</v>
      </c>
      <c r="CJ12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5" s="89" t="str">
        <f aca="false">IF(NOT(Tasks[[#This Row],[_IsLeaf]]=1),"",IF(N(Tasks[[#This Row],[_Days]])&lt;=0,Tasks[[#This Row],[_LeafCalcStart]],WORKDAY.INTL(Tasks[[#This Row],[_LeafCalcStart]],Tasks[[#This Row],[_Days]]-1,WorkWeek,Holidays)))</f>
        <v/>
      </c>
      <c r="CL12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5" s="42" t="str">
        <f aca="false">IF(Tasks[[#This Row],[_Predecessors]]="","",TRIM(MID(SUBSTITUTE(SUBSTITUTE(SUBSTITUTE(UPPER(Tasks[[#This Row],[_Predecessors]]),";",",")," ",""),",",REPT(" ",99)),1,99)))</f>
        <v/>
      </c>
      <c r="CO125" s="42" t="str">
        <f aca="false">IF(Tasks[[#This Row],[_Pred1Text]]="","",IFERROR(VALUE(LEFT(Tasks[[#This Row],[_Pred1Text]],MIN(FIND("F",Tasks[[#This Row],[_Pred1Text]]&amp;"F"),FIND("S",Tasks[[#This Row],[_Pred1Text]]&amp;"S"),FIND("+",Tasks[[#This Row],[_Pred1Text]]&amp;"+"),FIND("-",Tasks[[#This Row],[_Pred1Text]]&amp;"-"))-1)),""))</f>
        <v/>
      </c>
      <c r="CP12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5" s="42" t="str">
        <f aca="false">IF(Tasks[[#This Row],[_Pred1Text]]="","",TRIM(MID(SUBSTITUTE(SUBSTITUTE(SUBSTITUTE(UPPER(Tasks[[#This Row],[_Predecessors]]),";",",")," ",""),",",REPT(" ",99)),100,99)))</f>
        <v/>
      </c>
      <c r="CS125" s="42" t="str">
        <f aca="false">IF(Tasks[[#This Row],[_Pred2Text]]="","",IFERROR(VALUE(LEFT(Tasks[[#This Row],[_Pred2Text]],MIN(FIND("F",Tasks[[#This Row],[_Pred2Text]]&amp;"F"),FIND("S",Tasks[[#This Row],[_Pred2Text]]&amp;"S"),FIND("+",Tasks[[#This Row],[_Pred2Text]]&amp;"+"),FIND("-",Tasks[[#This Row],[_Pred2Text]]&amp;"-"))-1)),""))</f>
        <v/>
      </c>
      <c r="CT12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5" s="42" t="str">
        <f aca="false">IF(Tasks[[#This Row],[_Pred2Text]]="","",TRIM(MID(SUBSTITUTE(SUBSTITUTE(SUBSTITUTE(UPPER(Tasks[[#This Row],[_Predecessors]]),";",",")," ",""),",",REPT(" ",99)),199,99)))</f>
        <v/>
      </c>
      <c r="CW125" s="42" t="str">
        <f aca="false">IF(Tasks[[#This Row],[_Pred3Text]]="","",IFERROR(VALUE(LEFT(Tasks[[#This Row],[_Pred3Text]],MIN(FIND("F",Tasks[[#This Row],[_Pred3Text]]&amp;"F"),FIND("S",Tasks[[#This Row],[_Pred3Text]]&amp;"S"),FIND("+",Tasks[[#This Row],[_Pred3Text]]&amp;"+"),FIND("-",Tasks[[#This Row],[_Pred3Text]]&amp;"-"))-1)),""))</f>
        <v/>
      </c>
      <c r="CX12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5" s="42" t="str">
        <f aca="false">IF(Tasks[[#This Row],[_Pred3Text]]="","",TRIM(MID(SUBSTITUTE(SUBSTITUTE(SUBSTITUTE(UPPER(Tasks[[#This Row],[_Predecessors]]),";",",")," ",""),",",REPT(" ",99)),298,99)))</f>
        <v/>
      </c>
      <c r="DA125" s="42" t="str">
        <f aca="false">IF(Tasks[[#This Row],[_Pred4Text]]="","",IFERROR(VALUE(LEFT(Tasks[[#This Row],[_Pred4Text]],MIN(FIND("F",Tasks[[#This Row],[_Pred4Text]]&amp;"F"),FIND("S",Tasks[[#This Row],[_Pred4Text]]&amp;"S"),FIND("+",Tasks[[#This Row],[_Pred4Text]]&amp;"+"),FIND("-",Tasks[[#This Row],[_Pred4Text]]&amp;"-"))-1)),""))</f>
        <v/>
      </c>
      <c r="DB12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5" s="42" t="str">
        <f aca="false">IF(OR(Tasks[[#This Row],[Task Name]]="",Tasks[[#This Row],[_Resources]]=""),"",TRIM(MID(SUBSTITUTE(Tasks[[#This Row],[_Resources]],",",REPT(" ",99)),1,99)))</f>
        <v/>
      </c>
      <c r="DE125" s="42" t="str">
        <f aca="false">IF(Tasks[[#This Row],[_Res1Text]]="","",TRIM(MID(SUBSTITUTE(Tasks[[#This Row],[_Resources]],",",REPT(" ",99)),100,99)))</f>
        <v/>
      </c>
      <c r="DF125" s="42" t="str">
        <f aca="false">IF(Tasks[[#This Row],[_Res2Text]]="","",TRIM(MID(SUBSTITUTE(Tasks[[#This Row],[_Resources]],",",REPT(" ",99)),199,99)))</f>
        <v/>
      </c>
      <c r="DG125" s="42" t="str">
        <f aca="false">IF(Tasks[[#This Row],[_Res3Text]]="","",TRIM(MID(SUBSTITUTE(Tasks[[#This Row],[_Resources]],",",REPT(" ",99)),298,99)))</f>
        <v/>
      </c>
      <c r="DH125" s="42" t="n">
        <f aca="false">IF(Tasks[[#This Row],[_Res1Text]]="",0,IFERROR(MATCH(TRIM(LEFT(Tasks[[#This Row],[_Res1Text]],FIND("[",Tasks[[#This Row],[_Res1Text]]&amp;"[")-1)),res_Name,0),IFERROR(MATCH(TRIM(LEFT(Tasks[[#This Row],[_Res1Text]],FIND("[",Tasks[[#This Row],[_Res1Text]]&amp;"[")-1)),res_Initials,0),0)))</f>
        <v>0</v>
      </c>
      <c r="DI125" s="42" t="n">
        <f aca="false">IF(Tasks[[#This Row],[_Res2Text]]="",0,IFERROR(MATCH(TRIM(LEFT(Tasks[[#This Row],[_Res2Text]],FIND("[",Tasks[[#This Row],[_Res2Text]]&amp;"[")-1)),res_Name,0),IFERROR(MATCH(TRIM(LEFT(Tasks[[#This Row],[_Res2Text]],FIND("[",Tasks[[#This Row],[_Res2Text]]&amp;"[")-1)),res_Initials,0),0)))</f>
        <v>0</v>
      </c>
      <c r="DJ125" s="42" t="n">
        <f aca="false">IF(Tasks[[#This Row],[_Res3Text]]="",0,IFERROR(MATCH(TRIM(LEFT(Tasks[[#This Row],[_Res3Text]],FIND("[",Tasks[[#This Row],[_Res3Text]]&amp;"[")-1)),res_Name,0),IFERROR(MATCH(TRIM(LEFT(Tasks[[#This Row],[_Res3Text]],FIND("[",Tasks[[#This Row],[_Res3Text]]&amp;"[")-1)),res_Initials,0),0)))</f>
        <v>0</v>
      </c>
      <c r="DK125" s="42" t="n">
        <f aca="false">IF(Tasks[[#This Row],[_Res4Text]]="",0,IFERROR(MATCH(TRIM(LEFT(Tasks[[#This Row],[_Res4Text]],FIND("[",Tasks[[#This Row],[_Res4Text]]&amp;"[")-1)),res_Name,0),IFERROR(MATCH(TRIM(LEFT(Tasks[[#This Row],[_Res4Text]],FIND("[",Tasks[[#This Row],[_Res4Text]]&amp;"[")-1)),res_Initials,0),0)))</f>
        <v>0</v>
      </c>
      <c r="DL125" s="42" t="str">
        <f aca="false">IF(Tasks[[#This Row],[_Res1Text]]="","",IF(Tasks[[#This Row],[_Res1Row]]&gt;0,INDEX(res_Name,Tasks[[#This Row],[_Res1Row]]),TRIM(LEFT(Tasks[[#This Row],[_Res1Text]],FIND("[",Tasks[[#This Row],[_Res1Text]]&amp;"[")-1))))</f>
        <v/>
      </c>
      <c r="DM12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5" s="42" t="n">
        <f aca="false">IF(NOT(Tasks[[#This Row],[_IsLeaf]]=1),0,(Tasks[[#This Row],[_Resource1]]&lt;&gt;"")+(Tasks[[#This Row],[_Res2]]&lt;&gt;"")+(Tasks[[#This Row],[_Res3]]&lt;&gt;"")+(Tasks[[#This Row],[_Res4]]&lt;&gt;""))</f>
        <v>0</v>
      </c>
      <c r="DO125" s="42" t="str">
        <f aca="false">IF(Tasks[[#This Row],[_Res2Text]]="","",IF(Tasks[[#This Row],[_Res2Row]]&gt;0,INDEX(res_Name,Tasks[[#This Row],[_Res2Row]]),TRIM(LEFT(Tasks[[#This Row],[_Res2Text]],FIND("[",Tasks[[#This Row],[_Res2Text]]&amp;"[")-1))))</f>
        <v/>
      </c>
      <c r="DP12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5" s="42" t="n">
        <f aca="false">IF(OR(NOT(Tasks[[#This Row],[_IsLeaf]]=1),Tasks[[#This Row],[_Res2Row]]=0),0,N(Tasks[[#This Row],[_Days]])*HoursPerDay*IF(Tasks[[#This Row],[_Res2Units]]="",DefaultUnits,Tasks[[#This Row],[_Res2Units]]))</f>
        <v>0</v>
      </c>
      <c r="DR125" s="42" t="n">
        <f aca="false">IF(AND(AND(Tasks[[#This Row],[_IsLeaf]]=1,Tasks[[#This Row],[_LeafTotalWork]]&gt;0),Tasks[[#This Row],[_Res2Work]]&gt;0),Tasks[[#This Row],[_Res2Work]]/(Tasks[[#This Row],[_FinishWorkday]]-Tasks[[#This Row],[_StartWorkday]]+1),0)</f>
        <v>0</v>
      </c>
      <c r="DS125" s="42" t="n">
        <f aca="false">Tasks[[#This Row],[_Res2WorkPerWD]]*MAX(0,Tasks[[#This Row],[_StartWorkday]]-1)</f>
        <v>0</v>
      </c>
      <c r="DT125" s="42" t="n">
        <f aca="false">Tasks[[#This Row],[_Res2Work]]*Tasks[[#This Row],[_LeafProgress]]</f>
        <v>0</v>
      </c>
      <c r="DU125" s="42" t="str">
        <f aca="false">IF(Tasks[[#This Row],[_Res3Text]]="","",IF(Tasks[[#This Row],[_Res3Row]]&gt;0,INDEX(res_Name,Tasks[[#This Row],[_Res3Row]]),TRIM(LEFT(Tasks[[#This Row],[_Res3Text]],FIND("[",Tasks[[#This Row],[_Res3Text]]&amp;"[")-1))))</f>
        <v/>
      </c>
      <c r="DV12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5" s="42" t="n">
        <f aca="false">IF(OR(NOT(Tasks[[#This Row],[_IsLeaf]]=1),Tasks[[#This Row],[_Res3Row]]=0),0,N(Tasks[[#This Row],[_Days]])*HoursPerDay*IF(Tasks[[#This Row],[_Res3Units]]="",DefaultUnits,Tasks[[#This Row],[_Res3Units]]))</f>
        <v>0</v>
      </c>
      <c r="DX125" s="42" t="n">
        <f aca="false">IF(AND(AND(Tasks[[#This Row],[_IsLeaf]]=1,Tasks[[#This Row],[_LeafTotalWork]]&gt;0),Tasks[[#This Row],[_Res3Work]]&gt;0),Tasks[[#This Row],[_Res3Work]]/(Tasks[[#This Row],[_FinishWorkday]]-Tasks[[#This Row],[_StartWorkday]]+1),0)</f>
        <v>0</v>
      </c>
      <c r="DY125" s="42" t="n">
        <f aca="false">Tasks[[#This Row],[_Res3WorkPerWD]]*MAX(0,Tasks[[#This Row],[_StartWorkday]]-1)</f>
        <v>0</v>
      </c>
      <c r="DZ125" s="42" t="n">
        <f aca="false">Tasks[[#This Row],[_Res3Work]]*Tasks[[#This Row],[_LeafProgress]]</f>
        <v>0</v>
      </c>
      <c r="EA125" s="42" t="str">
        <f aca="false">IF(Tasks[[#This Row],[_Res4Text]]="","",IF(Tasks[[#This Row],[_Res4Row]]&gt;0,INDEX(res_Name,Tasks[[#This Row],[_Res4Row]]),TRIM(LEFT(Tasks[[#This Row],[_Res4Text]],FIND("[",Tasks[[#This Row],[_Res4Text]]&amp;"[")-1))))</f>
        <v/>
      </c>
      <c r="EB12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5" s="42" t="n">
        <f aca="false">IF(OR(NOT(Tasks[[#This Row],[_IsLeaf]]=1),Tasks[[#This Row],[_Res4Row]]=0),0,N(Tasks[[#This Row],[_Days]])*HoursPerDay*IF(Tasks[[#This Row],[_Res4Units]]="",DefaultUnits,Tasks[[#This Row],[_Res4Units]]))</f>
        <v>0</v>
      </c>
      <c r="ED125" s="42" t="n">
        <f aca="false">IF(AND(AND(Tasks[[#This Row],[_IsLeaf]]=1,Tasks[[#This Row],[_LeafTotalWork]]&gt;0),Tasks[[#This Row],[_Res4Work]]&gt;0),Tasks[[#This Row],[_Res4Work]]/(Tasks[[#This Row],[_FinishWorkday]]-Tasks[[#This Row],[_StartWorkday]]+1),0)</f>
        <v>0</v>
      </c>
      <c r="EE125" s="42" t="n">
        <f aca="false">Tasks[[#This Row],[_Res4WorkPerWD]]*MAX(0,Tasks[[#This Row],[_StartWorkday]]-1)</f>
        <v>0</v>
      </c>
      <c r="EF125" s="42" t="n">
        <f aca="false">Tasks[[#This Row],[_Res4Work]]*Tasks[[#This Row],[_LeafProgress]]</f>
        <v>0</v>
      </c>
      <c r="EG125" s="42" t="n">
        <f aca="false">IF(ISNUMBER(Tasks[[#This Row],[% Complete]]),Tasks[[#This Row],[% Complete]],IF(Tasks[[#This Row],[Stage]]="",0,IFERROR(INDEX(stg_Pct,MATCH(Tasks[[#This Row],[Stage]],stg_Name,0)),0)))</f>
        <v>0</v>
      </c>
      <c r="EH125" s="42" t="n">
        <f aca="false">IF(NOT(Tasks[[#This Row],[_IsLeaf]]=1),0,IF(N(Tasks[[#This Row],[Actual Finish]])&gt;0,1,MIN(1,Tasks[[#This Row],[_Pct]])))</f>
        <v>0</v>
      </c>
      <c r="EI125" s="42" t="n">
        <f aca="false">IF(OR(NOT(Tasks[[#This Row],[_IsLeaf]]=1),Tasks[[#This Row],[_Res1Row]]=0),0,N(Tasks[[#This Row],[_Days]])*HoursPerDay*IF(Tasks[[#This Row],[_Units1]]="",DefaultUnits,Tasks[[#This Row],[_Units1]]))</f>
        <v>0</v>
      </c>
      <c r="EJ125" s="42" t="n">
        <f aca="false">Tasks[[#This Row],[_LeafWork]]+Tasks[[#This Row],[_Res2Work]]+Tasks[[#This Row],[_Res3Work]]+Tasks[[#This Row],[_Res4Work]]</f>
        <v>0</v>
      </c>
      <c r="EK12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5" s="42" t="n">
        <f aca="false">IF(NOT(Tasks[[#This Row],[_IsLeaf]]=1),0,MAX(_xlfn.MAXIFS(Tasks[_Row],Tasks[_Pred1UID],Tasks[[#This Row],[UID]]),_xlfn.MAXIFS(Tasks[_Row],Tasks[_Pred2UID],Tasks[[#This Row],[UID]]),_xlfn.MAXIFS(Tasks[_Row],Tasks[_Pred3UID],Tasks[[#This Row],[UID]]),_xlfn.MAXIFS(Tasks[_Row],Tasks[_Pred4UID],Tasks[[#This Row],[UID]])))</f>
        <v>0</v>
      </c>
      <c r="ET12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5" s="89" t="str">
        <f aca="false">IF(NOT(Tasks[[#This Row],[_IsLeaf]]=1),"",IF(N(Tasks[[#This Row],[_Days]])&lt;=0,Tasks[[#This Row],[_LeafLateFinish]],WORKDAY.INTL(Tasks[[#This Row],[_LeafLateFinish]],-(Tasks[[#This Row],[_Days]]-1),WorkWeek,Holidays)))</f>
        <v/>
      </c>
      <c r="EW12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5" s="88" t="b">
        <f aca="false">AND(Tasks[[#This Row],[_IsLeaf]]=1,Tasks[[#This Row],[_LeafProgress]]&lt;1,N(Tasks[[#This Row],[_LeafTotalSlack]])&lt;=CriticalSlackDays)</f>
        <v>0</v>
      </c>
      <c r="EY125" s="42" t="n">
        <f aca="false">IF(AND(Tasks[[#This Row],[_IsLeaf]]=1,Tasks[[#This Row],[_ConstraintCode]]=1,Tasks[[#This Row],[Mode]]&lt;&gt;"Manual",N(Tasks[[#This Row],[Actual Start]])=0),MAX(0,N(Tasks[[#This Row],[Free Slack]])),0)</f>
        <v>0</v>
      </c>
      <c r="EZ125" s="89" t="str">
        <f aca="false">IF(NOT(Tasks[[#This Row],[_IsLeaf]]=1),"",IF(Tasks[[#This Row],[_AlapShift]]=0,Tasks[[#This Row],[_LeafCalcStart]],WORKDAY.INTL(Tasks[[#This Row],[_LeafCalcStart]],Tasks[[#This Row],[_AlapShift]],WorkWeek,Holidays)))</f>
        <v/>
      </c>
      <c r="FA125" s="89" t="str">
        <f aca="false">IF(NOT(Tasks[[#This Row],[_IsLeaf]]=1),"",IF(Tasks[[#This Row],[_AlapShift]]=0,Tasks[[#This Row],[_LeafCalcFinish]],WORKDAY.INTL(Tasks[[#This Row],[_LeafCalcFinish]],Tasks[[#This Row],[_AlapShift]],WorkWeek,Holidays)))</f>
        <v/>
      </c>
      <c r="FB125" s="89" t="str">
        <f aca="false">IF(NOT(Tasks[[#This Row],[_IsLeaf]]=1),"",IF(Tasks[[#This Row],[_AlapShift]]=0,Tasks[[#This Row],[_LeafFcstStart]],WORKDAY.INTL(Tasks[[#This Row],[_LeafFcstStart]],Tasks[[#This Row],[_AlapShift]],WorkWeek,Holidays)))</f>
        <v/>
      </c>
      <c r="FC125" s="89" t="str">
        <f aca="false">IF(NOT(Tasks[[#This Row],[_IsLeaf]]=1),"",IF(Tasks[[#This Row],[_AlapShift]]=0,Tasks[[#This Row],[_LeafFcstFinish]],WORKDAY.INTL(Tasks[[#This Row],[_LeafFcstFinish]],Tasks[[#This Row],[_AlapShift]],WorkWeek,Holidays)))</f>
        <v/>
      </c>
      <c r="FD125" s="89" t="str">
        <f aca="false">IF(Tasks[[#This Row],[Task Name]]="","",IF(Tasks[[#This Row],[_IsSummary]],MIN(INDEX(Tasks[_ShownCalcStart],Tasks[[#This Row],[_Row]]+1):INDEX(Tasks[_ShownCalcStart],Tasks[[#This Row],[_Row]]+Tasks[[#This Row],[_Descendants]])),Tasks[[#This Row],[_ShownCalcStart]]))</f>
        <v/>
      </c>
      <c r="FE125" s="89" t="str">
        <f aca="false">IF(Tasks[[#This Row],[Task Name]]="","",IF(Tasks[[#This Row],[_IsSummary]],MAX(INDEX(Tasks[_ShownCalcFinish],Tasks[[#This Row],[_Row]]+1):INDEX(Tasks[_ShownCalcFinish],Tasks[[#This Row],[_Row]]+Tasks[[#This Row],[_Descendants]])),Tasks[[#This Row],[_ShownCalcFinish]]))</f>
        <v/>
      </c>
      <c r="FF12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5" s="42" t="n">
        <f aca="false">IF(AND(Tasks[[#This Row],[_IsLeaf]]=1,Tasks[[#This Row],[_LeafTotalWork]]&gt;0),NETWORKDAYS.INTL(ProjectStart,Tasks[[#This Row],[_ShownFcstStart]],WorkWeek,Holidays),0)</f>
        <v>0</v>
      </c>
      <c r="FS125" s="42" t="n">
        <f aca="false">IF(AND(Tasks[[#This Row],[_IsLeaf]]=1,Tasks[[#This Row],[_LeafTotalWork]]&gt;0),MAX(Tasks[[#This Row],[_StartWorkday]],NETWORKDAYS.INTL(ProjectStart,Tasks[[#This Row],[_ShownFcstFinish]],WorkWeek,Holidays)),0)</f>
        <v>0</v>
      </c>
      <c r="FT125" s="42" t="n">
        <f aca="false">IF(AND(Tasks[[#This Row],[_IsLeaf]]=1,Tasks[[#This Row],[_LeafTotalWork]]&gt;0),Tasks[[#This Row],[_LeafWork]]/(Tasks[[#This Row],[_FinishWorkday]]-Tasks[[#This Row],[_StartWorkday]]+1),0)</f>
        <v>0</v>
      </c>
      <c r="FU125" s="42" t="n">
        <f aca="false">Tasks[[#This Row],[_WorkPerWorkday]]*(Tasks[[#This Row],[_StartWorkday]]-1)</f>
        <v>-0</v>
      </c>
      <c r="FV125" s="42" t="n">
        <f aca="false">IF(Tasks[[#This Row],[_IsLeaf]]=1,MAX(N(Tasks[[#This Row],[_Days]]),0.1),0)</f>
        <v>0</v>
      </c>
      <c r="FW125" s="42" t="n">
        <f aca="false">Tasks[[#This Row],[_WeightDur]]*Tasks[[#This Row],[_LeafProgress]]</f>
        <v>0</v>
      </c>
      <c r="FX125" s="42" t="n">
        <f aca="false">Tasks[[#This Row],[_WeightDur]]*Tasks[[#This Row],[_PlannedPct]]</f>
        <v>0</v>
      </c>
      <c r="FY12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5" s="42" t="str">
        <f aca="false">IF(AND(Tasks[[#This Row],[_IsLeaf]]=1,N(Tasks[[#This Row],[_Days]])=0,Tasks[[#This Row],[_LeafProgress]]&lt;1),Tasks[[#This Row],[_ShownFcstFinish]]+Tasks[[#This Row],[_Row]]/100000,"")</f>
        <v/>
      </c>
      <c r="GA12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5" s="42" t="str">
        <f aca="false">IF(Tasks[[#This Row],[Task Name]]="","",LEFT(Tasks[[#This Row],[WBS]],FIND(".",Tasks[[#This Row],[WBS]]&amp;".")-1))</f>
        <v/>
      </c>
      <c r="GC125" s="42" t="str">
        <f aca="false">IF(AND(Tasks[[#This Row],[Task Name]]&lt;&gt;"",Tasks[[#This Row],[_Level]]=1),Tasks[[#This Row],[_Row]],"")</f>
        <v/>
      </c>
      <c r="GD125" s="42" t="str">
        <f aca="false">IF(AND(Tasks[[#This Row],[_IsLeaf]]=1,N(Tasks[[#This Row],[_Days]])=0),Tasks[[#This Row],[Planned Finish]]+Tasks[[#This Row],[_Row]]/100000,"")</f>
        <v/>
      </c>
      <c r="GE125" s="42" t="str">
        <f aca="false">IF(AND(Tasks[[#This Row],[_IsLeaf]]=1,Tasks[[#This Row],[_LeafProgress]]&lt;1,OR(N(Tasks[[#This Row],[Finish Var]])&gt;0,Tasks[[#This Row],[Status]]="Late Start")),MAX(0,Tasks[[#This Row],[Finish Var]])+1-Tasks[[#This Row],[_Row]]/1000000,"")</f>
        <v/>
      </c>
      <c r="GF125" s="42" t="str">
        <f aca="false">IF(AND(Tasks[[#This Row],[_IsLeaf]]=1,N(Tasks[[#This Row],[Actual Start]])=0,Tasks[[#This Row],[_ShownFcstStart]]&gt;=StatusDate,Tasks[[#This Row],[_ShownFcstStart]]&lt;=LookaheadEnd),Tasks[[#This Row],[_ShownFcstStart]]+Tasks[[#This Row],[_Row]]/100000,"")</f>
        <v/>
      </c>
      <c r="GG125" s="42" t="str">
        <f aca="false">IF(AND(Tasks[[#This Row],[_IsLeaf]]=1,Tasks[[#This Row],[_LeafProgress]]&lt;1,Tasks[[#This Row],[_ShownFcstFinish]]&gt;=StatusDate,Tasks[[#This Row],[_ShownFcstFinish]]&lt;=LookaheadEnd),Tasks[[#This Row],[_ShownFcstFinish]]+Tasks[[#This Row],[_Row]]/100000,"")</f>
        <v/>
      </c>
      <c r="GH125" s="42" t="str">
        <f aca="false">IF(Tasks[[#This Row],[_LeafCritical]],Tasks[[#This Row],[_ShownFcstStart]]+Tasks[[#This Row],[_Row]]/100000,"")</f>
        <v/>
      </c>
      <c r="GI125" s="42" t="n">
        <f aca="false">Tasks[[#This Row],[_LeafWork]]*Tasks[[#This Row],[_LeafProgress]]</f>
        <v>0</v>
      </c>
      <c r="GJ125" s="89" t="str">
        <f aca="false">IF(AND(Tasks[[#This Row],[_IsLeaf]]=1,Tasks[[#This Row],[_LeafProgress]]&gt;=1),IF(N(Tasks[[#This Row],[Actual Finish]])&gt;0,Tasks[[#This Row],[Actual Finish]],Tasks[[#This Row],[_ShownFcstFinish]]),"")</f>
        <v/>
      </c>
      <c r="GK125" s="42" t="n">
        <f aca="false">IF(Tasks[[#This Row],[_IsLeaf]]=1,N(Tasks[[#This Row],[Story Points]]),0)</f>
        <v>0</v>
      </c>
      <c r="GL125" s="42" t="str">
        <f aca="false">""</f>
        <v/>
      </c>
      <c r="GM125" s="88" t="b">
        <f aca="false">IF(Tasks[[#This Row],[Task Name]]="",FALSE(),AND(Tasks[[#This Row],[_IsLeaf]]=1,N(Tasks[[#This Row],[_Days]])=0))</f>
        <v>0</v>
      </c>
      <c r="GN125" s="89" t="n">
        <f aca="false">IF(Tasks[[#This Row],[Task Name]]="",0,IF(AND(Tasks[[#This Row],[_IsLeaf]]=1,NOT(Tasks[[#This Row],[_IsMilestone]]),N(Tasks[[#This Row],[Progress]])&gt;0),Tasks[[#This Row],[Start]],0))</f>
        <v>0</v>
      </c>
      <c r="GO125" s="89" t="n">
        <f aca="false">IF(Tasks[[#This Row],[_DoneFrom]]=0,0,IF(Tasks[[#This Row],[Progress]]&gt;=1,Tasks[[#This Row],[Finish]],MAX(Tasks[[#This Row],[_DoneFrom]],Tasks[[#This Row],[Start]]+ROUND((Tasks[[#This Row],[Finish]]-Tasks[[#This Row],[Start]]+1)*Tasks[[#This Row],[Progress]],0)-1)))</f>
        <v>0</v>
      </c>
      <c r="GP125" s="89" t="n">
        <f aca="false">IF(Tasks[[#This Row],[Task Name]]="",0,IF(OR(NOT(Tasks[[#This Row],[_IsLeaf]]=1),Tasks[[#This Row],[_IsMilestone]],N(Tasks[[#This Row],[Progress]])&gt;=1),0,IF(Tasks[[#This Row],[_DoneTo]]&gt;0,Tasks[[#This Row],[_DoneTo]]+1,Tasks[[#This Row],[Start]])))</f>
        <v>0</v>
      </c>
      <c r="GQ125" s="89" t="n">
        <f aca="false">IF(Tasks[[#This Row],[_RemFrom]]=0,0,Tasks[[#This Row],[Finish]])</f>
        <v>0</v>
      </c>
      <c r="GR125" s="88" t="b">
        <f aca="false">IF(Tasks[[#This Row],[Task Name]]="",FALSE(),OR(NOT(BaselineSet),N(Tasks[[#This Row],[Baseline Start]])&gt;0))</f>
        <v>0</v>
      </c>
      <c r="GS12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5" s="90" t="str">
        <f aca="false">IF(Tasks[[#This Row],[_IsLeaf]]=1,Tasks[[#This Row],[_Row]],"")</f>
        <v/>
      </c>
      <c r="GW125" s="90" t="str">
        <f aca="false">IFERROR(INDEX(Tasks[UID],SMALL(Tasks[_PickKey],Tasks[[#This Row],[_Row]]))&amp;" "&amp;INDEX(Tasks[Task Name],SMALL(Tasks[_PickKey],Tasks[[#This Row],[_Row]])),"")</f>
        <v/>
      </c>
      <c r="GX125" s="42" t="str">
        <f aca="false">IF(Tasks[[#This Row],[Task Name]]="","",IF(Tasks[[#This Row],[_IsSummary]],NETWORKDAYS.INTL(Tasks[[#This Row],[Start]],Tasks[[#This Row],[Finish]],WorkWeek,Holidays),N(Tasks[[#This Row],[_Days]])))</f>
        <v/>
      </c>
    </row>
    <row r="126" customFormat="false" ht="15" hidden="false" customHeight="false" outlineLevel="0" collapsed="false">
      <c r="A126" s="21" t="str">
        <f aca="false">IF(Tasks[[#This Row],[Task Name]]="","",COUNTA(Tasks[[#Headers],[Task Name]]:Tasks[[#This Row],[Task Name]])-1)</f>
        <v/>
      </c>
      <c r="B126" s="22" t="n">
        <v>134</v>
      </c>
      <c r="C126" s="22"/>
      <c r="D126" s="23"/>
      <c r="E126" s="22"/>
      <c r="F126" s="23"/>
      <c r="G126" s="22"/>
      <c r="H126" s="22"/>
      <c r="I126" s="23"/>
      <c r="J126" s="22"/>
      <c r="K126" s="22"/>
      <c r="L126" s="23"/>
      <c r="M126" s="22"/>
      <c r="N126" s="22"/>
      <c r="O126" s="23"/>
      <c r="P126" s="22"/>
      <c r="Q126" s="22"/>
      <c r="R126" s="23"/>
      <c r="S126" s="23"/>
      <c r="T126" s="83"/>
      <c r="U126" s="23"/>
      <c r="V126" s="83"/>
      <c r="W126" s="23"/>
      <c r="X126" s="83"/>
      <c r="Y126" s="23"/>
      <c r="Z126" s="83"/>
      <c r="AA126" s="23"/>
      <c r="AB126" s="23"/>
      <c r="AC126" s="7"/>
      <c r="AD126" s="7"/>
      <c r="AE126" s="62" t="str">
        <f aca="false">IF(Tasks[[#This Row],[Task Name]]="","",IF(Tasks[[#This Row],[_IsSummary]],MIN(INDEX(Tasks[_ShownFcstStart],Tasks[[#This Row],[_Row]]+1):INDEX(Tasks[_ShownFcstStart],Tasks[[#This Row],[_Row]]+Tasks[[#This Row],[_Descendants]])),Tasks[[#This Row],[_ShownFcstStart]]))</f>
        <v/>
      </c>
      <c r="AF126" s="62" t="str">
        <f aca="false">IF(Tasks[[#This Row],[Task Name]]="","",IF(Tasks[[#This Row],[_IsSummary]],MAX(INDEX(Tasks[_ShownFcstFinish],Tasks[[#This Row],[_Row]]+1):INDEX(Tasks[_ShownFcstFinish],Tasks[[#This Row],[_Row]]+Tasks[[#This Row],[_Descendants]])),Tasks[[#This Row],[_ShownFcstFinish]]))</f>
        <v/>
      </c>
      <c r="AG126" s="21" t="str">
        <f aca="false">""</f>
        <v/>
      </c>
      <c r="AH126" s="23"/>
      <c r="AI12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6" s="7"/>
      <c r="AK126" s="22"/>
      <c r="AL126" s="23"/>
      <c r="AM126" s="7"/>
      <c r="AN126" s="46" t="str">
        <f aca="false">IF(Tasks[[#This Row],[Task Name]]="","",IF(Tasks[[#This Row],[Finish]]&gt;=Tasks[[#This Row],[Planned Finish]],NETWORKDAYS.INTL(Tasks[[#This Row],[Planned Finish]],Tasks[[#This Row],[Finish]],WorkWeek,Holidays)-1,1-NETWORKDAYS.INTL(Tasks[[#This Row],[Finish]],Tasks[[#This Row],[Planned Finish]],WorkWeek,Holidays)))</f>
        <v/>
      </c>
      <c r="AO126" s="21" t="str">
        <f aca="false">IF(Tasks[[#This Row],[Task Name]]="","",IF(Tasks[[#This Row],[Progress]]&gt;=1,"Complete",IF(OR(N(Tasks[[#This Row],[Actual Start]])&gt;0,Tasks[[#This Row],[Progress]]&gt;0),IF(Tasks[[#This Row],[Finish Var]]&gt;0,"Behind","In Progress"),IF(Tasks[[#This Row],[Planned Start]]&lt;StatusDate,"Late Start","Not Started"))))</f>
        <v/>
      </c>
      <c r="AP126" s="21" t="str">
        <f aca="false">IF(Tasks[[#This Row],[Task Name]]="","",IF(IF(Tasks[[#This Row],[_IsSummary]],COUNTIF(INDEX(Tasks[_LeafCritical],Tasks[[#This Row],[_Row]]+1):INDEX(Tasks[_LeafCritical],Tasks[[#This Row],[_Row]]+Tasks[[#This Row],[_Descendants]]),TRUE())&gt;0,Tasks[[#This Row],[_LeafCritical]]),"Yes",""))</f>
        <v/>
      </c>
      <c r="AQ126" s="62" t="str">
        <f aca="false">IF(Tasks[[#This Row],[Task Name]]="","",IF(N(Tasks[[#This Row],[Baseline Start]])&gt;0,Tasks[[#This Row],[Baseline Start]],Tasks[[#This Row],[_CalcStart]]))</f>
        <v/>
      </c>
      <c r="AR126" s="62" t="str">
        <f aca="false">IF(Tasks[[#This Row],[Task Name]]="","",IF(N(Tasks[[#This Row],[Baseline Finish]])&gt;0,Tasks[[#This Row],[Baseline Finish]],Tasks[[#This Row],[_CalcFinish]]))</f>
        <v/>
      </c>
      <c r="AS126" s="46" t="str">
        <f aca="false">IF(Tasks[[#This Row],[Task Name]]="","",IF(Tasks[[#This Row],[Start]]&gt;=Tasks[[#This Row],[Planned Start]],NETWORKDAYS.INTL(Tasks[[#This Row],[Planned Start]],Tasks[[#This Row],[Start]],WorkWeek,Holidays)-1,1-NETWORKDAYS.INTL(Tasks[[#This Row],[Start]],Tasks[[#This Row],[Planned Start]],WorkWeek,Holidays)))</f>
        <v/>
      </c>
      <c r="AT126" s="62" t="str">
        <f aca="false">IF(Tasks[[#This Row],[Task Name]]="","",IF(Tasks[[#This Row],[_IsSummary]],MIN(INDEX(Tasks[_LeafLateStart],Tasks[[#This Row],[_Row]]+1):INDEX(Tasks[_LeafLateStart],Tasks[[#This Row],[_Row]]+Tasks[[#This Row],[_Descendants]])),Tasks[[#This Row],[_LeafLateStart]]))</f>
        <v/>
      </c>
      <c r="AU126" s="62" t="str">
        <f aca="false">IF(Tasks[[#This Row],[Task Name]]="","",IF(Tasks[[#This Row],[_IsSummary]],MAX(INDEX(Tasks[_LeafLateFinish],Tasks[[#This Row],[_Row]]+1):INDEX(Tasks[_LeafLateFinish],Tasks[[#This Row],[_Row]]+Tasks[[#This Row],[_Descendants]])),Tasks[[#This Row],[_LeafLateFinish]]))</f>
        <v/>
      </c>
      <c r="AV126" s="46" t="str">
        <f aca="false">IF(Tasks[[#This Row],[Task Name]]="","",IF(Tasks[[#This Row],[_IsSummary]],MIN(INDEX(Tasks[_LeafTotalSlack],Tasks[[#This Row],[_Row]]+1):INDEX(Tasks[_LeafTotalSlack],Tasks[[#This Row],[_Row]]+Tasks[[#This Row],[_Descendants]])),Tasks[[#This Row],[_LeafTotalSlack]]))</f>
        <v/>
      </c>
      <c r="AW12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4"/>
      <c r="BA12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t="str">
        <f aca="false">IF(Tasks[[#This Row],[Task Name]]="","",IF(Tasks[[#This Row],[_Level]]&lt;=OutlineShowLevel,"Yes","No"))</f>
        <v/>
      </c>
      <c r="BE126" s="85" t="str">
        <f aca="false">IF(Tasks[[#This Row],[Task Name]]="","",IF(Tasks[[#This Row],[_IsSummary]],SUM(INDEX(Tasks[_LeafTotalWork],Tasks[[#This Row],[_Row]]+1):INDEX(Tasks[_LeafTotalWork],Tasks[[#This Row],[_Row]]+Tasks[[#This Row],[_Descendants]])),Tasks[[#This Row],[_LeafTotalWork]]))</f>
        <v/>
      </c>
      <c r="BF126" s="23"/>
      <c r="BG12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t="str">
        <f aca="false">""</f>
        <v/>
      </c>
      <c r="BI126" s="86"/>
      <c r="BJ126" s="22"/>
      <c r="BK126" s="46" t="str">
        <f aca="false">IF(OR(Tasks[[#This Row],[Task Name]]="",Tasks[[#This Row],[Baseline Duration]]=""),"",Tasks[[#This Row],[_SpanDays]]-N(Tasks[[#This Row],[Baseline Duration]]))</f>
        <v/>
      </c>
      <c r="BL126" s="85" t="str">
        <f aca="false">IF(OR(Tasks[[#This Row],[Task Name]]="",Tasks[[#This Row],[Baseline Work]]=""),"",Tasks[[#This Row],[Work]]-N(Tasks[[#This Row],[Baseline Work]]))</f>
        <v/>
      </c>
      <c r="BM126" s="62" t="str">
        <f aca="false">IF(Tasks[[#This Row],[Task Name]]="","",IF(OR(TakeBaseline="Yes",N(Tasks[[#This Row],[Baseline Start]])=0),Tasks[[#This Row],[Start]],Tasks[[#This Row],[Baseline Start]]))</f>
        <v/>
      </c>
      <c r="BN126" s="62" t="str">
        <f aca="false">IF(Tasks[[#This Row],[Task Name]]="","",IF(OR(TakeBaseline="Yes",N(Tasks[[#This Row],[Baseline Finish]])=0),Tasks[[#This Row],[Finish]],Tasks[[#This Row],[Baseline Finish]]))</f>
        <v/>
      </c>
      <c r="BO126" s="21" t="str">
        <f aca="false">IF(Tasks[[#This Row],[Task Name]]="","",IF(OR(TakeBaseline="Yes",N(Tasks[[#This Row],[Baseline Duration]])=0),Tasks[[#This Row],[_SpanDays]],Tasks[[#This Row],[Baseline Duration]]))</f>
        <v/>
      </c>
      <c r="BP126" s="85" t="str">
        <f aca="false">IF(Tasks[[#This Row],[Task Name]]="","",IF(OR(TakeBaseline="Yes",N(Tasks[[#This Row],[Baseline Work]])=0),Tasks[[#This Row],[Work]],Tasks[[#This Row],[Baseline Work]]))</f>
        <v/>
      </c>
      <c r="BQ126" s="7"/>
      <c r="BR126" s="7"/>
      <c r="BS126" s="22"/>
      <c r="BT126" s="87"/>
      <c r="BU126" s="42" t="str">
        <f aca="false">IF(Tasks[[#This Row],[Task Name]]="","",MAX(1,N(Tasks[[#This Row],[Level]])))</f>
        <v/>
      </c>
      <c r="BV126" s="42" t="n">
        <f aca="false">ROW()-ROW(Tasks[[#Headers],[ID]])</f>
        <v>121</v>
      </c>
      <c r="BW126" s="42" t="n">
        <f aca="false">IF(OR(Tasks[[#This Row],[Task Name]]="",Tasks[[#This Row],[_Level]]&lt;=1),0,IFERROR(LOOKUP(2,1/(Tasks[[#Headers],[_Level]]:Tasks[[#This Row],[_Level]]=Tasks[[#This Row],[_Level]]-1),ROW(Tasks[[#Headers],[_Level]]:Tasks[[#This Row],[_Level]])),0))</f>
        <v>0</v>
      </c>
      <c r="BX126" s="42" t="n">
        <f aca="false">IFERROR(N(INDEX(Tasks[_Level],Tasks[[#This Row],[_Row]]+1)),0)</f>
        <v>0</v>
      </c>
      <c r="BY126" s="88" t="b">
        <f aca="false">AND(Tasks[[#This Row],[Task Name]]&lt;&gt;"",Tasks[[#This Row],[_NextLevel]]&gt;Tasks[[#This Row],[_Level]])</f>
        <v>0</v>
      </c>
      <c r="BZ126" s="42" t="n">
        <f aca="false">IF(Tasks[[#This Row],[_IsSummary]],COUNTIF(Tasks[WBS],Tasks[[#This Row],[WBS]]&amp;".*"),0)</f>
        <v>0</v>
      </c>
      <c r="CA126" s="42" t="n">
        <f aca="false">IF(AND(Tasks[[#This Row],[Task Name]]&lt;&gt;"",NOT(Tasks[[#This Row],[_IsSummary]])),1,0)</f>
        <v>0</v>
      </c>
      <c r="CB126" s="42" t="n">
        <f aca="false">IF(N(Tasks[[#This Row],[_Pred1UID]])=0,0,IFERROR(MATCH(Tasks[[#This Row],[_Pred1UID]],Tasks[UID],0),-1))</f>
        <v>0</v>
      </c>
      <c r="CC126" s="42" t="n">
        <f aca="false">IF(N(Tasks[[#This Row],[_Pred2UID]])=0,0,IFERROR(MATCH(Tasks[[#This Row],[_Pred2UID]],Tasks[UID],0),-1))</f>
        <v>0</v>
      </c>
      <c r="CD126" s="42" t="n">
        <f aca="false">IF(N(Tasks[[#This Row],[_Pred3UID]])=0,0,IFERROR(MATCH(Tasks[[#This Row],[_Pred3UID]],Tasks[UID],0),-1))</f>
        <v>0</v>
      </c>
      <c r="CE126" s="42" t="n">
        <f aca="false">IF(N(Tasks[[#This Row],[_Pred4UID]])=0,0,IFERROR(MATCH(Tasks[[#This Row],[_Pred4UID]],Tasks[UID],0),-1))</f>
        <v>0</v>
      </c>
      <c r="CF12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6" s="89" t="n">
        <f aca="false">IF(OR(Tasks[[#This Row],[_ConstraintCode]]=2,Tasks[[#This Row],[_ConstraintCode]]=3,Tasks[[#This Row],[_ConstraintCode]]=4,Tasks[[#This Row],[_ConstraintCode]]=6),Tasks[[#This Row],[_ConstraintStart]],0)</f>
        <v>0</v>
      </c>
      <c r="CI126" s="89" t="n">
        <f aca="false">IF(OR(Tasks[[#This Row],[_ConstraintCode]]=2,Tasks[[#This Row],[_ConstraintCode]]=3,Tasks[[#This Row],[_ConstraintCode]]=5,Tasks[[#This Row],[_ConstraintCode]]=7),Tasks[[#This Row],[_ConstraintStart]],2958465)</f>
        <v>2958465</v>
      </c>
      <c r="CJ12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6" s="89" t="str">
        <f aca="false">IF(NOT(Tasks[[#This Row],[_IsLeaf]]=1),"",IF(N(Tasks[[#This Row],[_Days]])&lt;=0,Tasks[[#This Row],[_LeafCalcStart]],WORKDAY.INTL(Tasks[[#This Row],[_LeafCalcStart]],Tasks[[#This Row],[_Days]]-1,WorkWeek,Holidays)))</f>
        <v/>
      </c>
      <c r="CL12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6" s="42" t="str">
        <f aca="false">IF(Tasks[[#This Row],[_Predecessors]]="","",TRIM(MID(SUBSTITUTE(SUBSTITUTE(SUBSTITUTE(UPPER(Tasks[[#This Row],[_Predecessors]]),";",",")," ",""),",",REPT(" ",99)),1,99)))</f>
        <v/>
      </c>
      <c r="CO126" s="42" t="str">
        <f aca="false">IF(Tasks[[#This Row],[_Pred1Text]]="","",IFERROR(VALUE(LEFT(Tasks[[#This Row],[_Pred1Text]],MIN(FIND("F",Tasks[[#This Row],[_Pred1Text]]&amp;"F"),FIND("S",Tasks[[#This Row],[_Pred1Text]]&amp;"S"),FIND("+",Tasks[[#This Row],[_Pred1Text]]&amp;"+"),FIND("-",Tasks[[#This Row],[_Pred1Text]]&amp;"-"))-1)),""))</f>
        <v/>
      </c>
      <c r="CP12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6" s="42" t="str">
        <f aca="false">IF(Tasks[[#This Row],[_Pred1Text]]="","",TRIM(MID(SUBSTITUTE(SUBSTITUTE(SUBSTITUTE(UPPER(Tasks[[#This Row],[_Predecessors]]),";",",")," ",""),",",REPT(" ",99)),100,99)))</f>
        <v/>
      </c>
      <c r="CS126" s="42" t="str">
        <f aca="false">IF(Tasks[[#This Row],[_Pred2Text]]="","",IFERROR(VALUE(LEFT(Tasks[[#This Row],[_Pred2Text]],MIN(FIND("F",Tasks[[#This Row],[_Pred2Text]]&amp;"F"),FIND("S",Tasks[[#This Row],[_Pred2Text]]&amp;"S"),FIND("+",Tasks[[#This Row],[_Pred2Text]]&amp;"+"),FIND("-",Tasks[[#This Row],[_Pred2Text]]&amp;"-"))-1)),""))</f>
        <v/>
      </c>
      <c r="CT12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6" s="42" t="str">
        <f aca="false">IF(Tasks[[#This Row],[_Pred2Text]]="","",TRIM(MID(SUBSTITUTE(SUBSTITUTE(SUBSTITUTE(UPPER(Tasks[[#This Row],[_Predecessors]]),";",",")," ",""),",",REPT(" ",99)),199,99)))</f>
        <v/>
      </c>
      <c r="CW126" s="42" t="str">
        <f aca="false">IF(Tasks[[#This Row],[_Pred3Text]]="","",IFERROR(VALUE(LEFT(Tasks[[#This Row],[_Pred3Text]],MIN(FIND("F",Tasks[[#This Row],[_Pred3Text]]&amp;"F"),FIND("S",Tasks[[#This Row],[_Pred3Text]]&amp;"S"),FIND("+",Tasks[[#This Row],[_Pred3Text]]&amp;"+"),FIND("-",Tasks[[#This Row],[_Pred3Text]]&amp;"-"))-1)),""))</f>
        <v/>
      </c>
      <c r="CX12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6" s="42" t="str">
        <f aca="false">IF(Tasks[[#This Row],[_Pred3Text]]="","",TRIM(MID(SUBSTITUTE(SUBSTITUTE(SUBSTITUTE(UPPER(Tasks[[#This Row],[_Predecessors]]),";",",")," ",""),",",REPT(" ",99)),298,99)))</f>
        <v/>
      </c>
      <c r="DA126" s="42" t="str">
        <f aca="false">IF(Tasks[[#This Row],[_Pred4Text]]="","",IFERROR(VALUE(LEFT(Tasks[[#This Row],[_Pred4Text]],MIN(FIND("F",Tasks[[#This Row],[_Pred4Text]]&amp;"F"),FIND("S",Tasks[[#This Row],[_Pred4Text]]&amp;"S"),FIND("+",Tasks[[#This Row],[_Pred4Text]]&amp;"+"),FIND("-",Tasks[[#This Row],[_Pred4Text]]&amp;"-"))-1)),""))</f>
        <v/>
      </c>
      <c r="DB12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6" s="42" t="str">
        <f aca="false">IF(OR(Tasks[[#This Row],[Task Name]]="",Tasks[[#This Row],[_Resources]]=""),"",TRIM(MID(SUBSTITUTE(Tasks[[#This Row],[_Resources]],",",REPT(" ",99)),1,99)))</f>
        <v/>
      </c>
      <c r="DE126" s="42" t="str">
        <f aca="false">IF(Tasks[[#This Row],[_Res1Text]]="","",TRIM(MID(SUBSTITUTE(Tasks[[#This Row],[_Resources]],",",REPT(" ",99)),100,99)))</f>
        <v/>
      </c>
      <c r="DF126" s="42" t="str">
        <f aca="false">IF(Tasks[[#This Row],[_Res2Text]]="","",TRIM(MID(SUBSTITUTE(Tasks[[#This Row],[_Resources]],",",REPT(" ",99)),199,99)))</f>
        <v/>
      </c>
      <c r="DG126" s="42" t="str">
        <f aca="false">IF(Tasks[[#This Row],[_Res3Text]]="","",TRIM(MID(SUBSTITUTE(Tasks[[#This Row],[_Resources]],",",REPT(" ",99)),298,99)))</f>
        <v/>
      </c>
      <c r="DH126" s="42" t="n">
        <f aca="false">IF(Tasks[[#This Row],[_Res1Text]]="",0,IFERROR(MATCH(TRIM(LEFT(Tasks[[#This Row],[_Res1Text]],FIND("[",Tasks[[#This Row],[_Res1Text]]&amp;"[")-1)),res_Name,0),IFERROR(MATCH(TRIM(LEFT(Tasks[[#This Row],[_Res1Text]],FIND("[",Tasks[[#This Row],[_Res1Text]]&amp;"[")-1)),res_Initials,0),0)))</f>
        <v>0</v>
      </c>
      <c r="DI126" s="42" t="n">
        <f aca="false">IF(Tasks[[#This Row],[_Res2Text]]="",0,IFERROR(MATCH(TRIM(LEFT(Tasks[[#This Row],[_Res2Text]],FIND("[",Tasks[[#This Row],[_Res2Text]]&amp;"[")-1)),res_Name,0),IFERROR(MATCH(TRIM(LEFT(Tasks[[#This Row],[_Res2Text]],FIND("[",Tasks[[#This Row],[_Res2Text]]&amp;"[")-1)),res_Initials,0),0)))</f>
        <v>0</v>
      </c>
      <c r="DJ126" s="42" t="n">
        <f aca="false">IF(Tasks[[#This Row],[_Res3Text]]="",0,IFERROR(MATCH(TRIM(LEFT(Tasks[[#This Row],[_Res3Text]],FIND("[",Tasks[[#This Row],[_Res3Text]]&amp;"[")-1)),res_Name,0),IFERROR(MATCH(TRIM(LEFT(Tasks[[#This Row],[_Res3Text]],FIND("[",Tasks[[#This Row],[_Res3Text]]&amp;"[")-1)),res_Initials,0),0)))</f>
        <v>0</v>
      </c>
      <c r="DK126" s="42" t="n">
        <f aca="false">IF(Tasks[[#This Row],[_Res4Text]]="",0,IFERROR(MATCH(TRIM(LEFT(Tasks[[#This Row],[_Res4Text]],FIND("[",Tasks[[#This Row],[_Res4Text]]&amp;"[")-1)),res_Name,0),IFERROR(MATCH(TRIM(LEFT(Tasks[[#This Row],[_Res4Text]],FIND("[",Tasks[[#This Row],[_Res4Text]]&amp;"[")-1)),res_Initials,0),0)))</f>
        <v>0</v>
      </c>
      <c r="DL126" s="42" t="str">
        <f aca="false">IF(Tasks[[#This Row],[_Res1Text]]="","",IF(Tasks[[#This Row],[_Res1Row]]&gt;0,INDEX(res_Name,Tasks[[#This Row],[_Res1Row]]),TRIM(LEFT(Tasks[[#This Row],[_Res1Text]],FIND("[",Tasks[[#This Row],[_Res1Text]]&amp;"[")-1))))</f>
        <v/>
      </c>
      <c r="DM12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6" s="42" t="n">
        <f aca="false">IF(NOT(Tasks[[#This Row],[_IsLeaf]]=1),0,(Tasks[[#This Row],[_Resource1]]&lt;&gt;"")+(Tasks[[#This Row],[_Res2]]&lt;&gt;"")+(Tasks[[#This Row],[_Res3]]&lt;&gt;"")+(Tasks[[#This Row],[_Res4]]&lt;&gt;""))</f>
        <v>0</v>
      </c>
      <c r="DO126" s="42" t="str">
        <f aca="false">IF(Tasks[[#This Row],[_Res2Text]]="","",IF(Tasks[[#This Row],[_Res2Row]]&gt;0,INDEX(res_Name,Tasks[[#This Row],[_Res2Row]]),TRIM(LEFT(Tasks[[#This Row],[_Res2Text]],FIND("[",Tasks[[#This Row],[_Res2Text]]&amp;"[")-1))))</f>
        <v/>
      </c>
      <c r="DP12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6" s="42" t="n">
        <f aca="false">IF(OR(NOT(Tasks[[#This Row],[_IsLeaf]]=1),Tasks[[#This Row],[_Res2Row]]=0),0,N(Tasks[[#This Row],[_Days]])*HoursPerDay*IF(Tasks[[#This Row],[_Res2Units]]="",DefaultUnits,Tasks[[#This Row],[_Res2Units]]))</f>
        <v>0</v>
      </c>
      <c r="DR126" s="42" t="n">
        <f aca="false">IF(AND(AND(Tasks[[#This Row],[_IsLeaf]]=1,Tasks[[#This Row],[_LeafTotalWork]]&gt;0),Tasks[[#This Row],[_Res2Work]]&gt;0),Tasks[[#This Row],[_Res2Work]]/(Tasks[[#This Row],[_FinishWorkday]]-Tasks[[#This Row],[_StartWorkday]]+1),0)</f>
        <v>0</v>
      </c>
      <c r="DS126" s="42" t="n">
        <f aca="false">Tasks[[#This Row],[_Res2WorkPerWD]]*MAX(0,Tasks[[#This Row],[_StartWorkday]]-1)</f>
        <v>0</v>
      </c>
      <c r="DT126" s="42" t="n">
        <f aca="false">Tasks[[#This Row],[_Res2Work]]*Tasks[[#This Row],[_LeafProgress]]</f>
        <v>0</v>
      </c>
      <c r="DU126" s="42" t="str">
        <f aca="false">IF(Tasks[[#This Row],[_Res3Text]]="","",IF(Tasks[[#This Row],[_Res3Row]]&gt;0,INDEX(res_Name,Tasks[[#This Row],[_Res3Row]]),TRIM(LEFT(Tasks[[#This Row],[_Res3Text]],FIND("[",Tasks[[#This Row],[_Res3Text]]&amp;"[")-1))))</f>
        <v/>
      </c>
      <c r="DV12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6" s="42" t="n">
        <f aca="false">IF(OR(NOT(Tasks[[#This Row],[_IsLeaf]]=1),Tasks[[#This Row],[_Res3Row]]=0),0,N(Tasks[[#This Row],[_Days]])*HoursPerDay*IF(Tasks[[#This Row],[_Res3Units]]="",DefaultUnits,Tasks[[#This Row],[_Res3Units]]))</f>
        <v>0</v>
      </c>
      <c r="DX126" s="42" t="n">
        <f aca="false">IF(AND(AND(Tasks[[#This Row],[_IsLeaf]]=1,Tasks[[#This Row],[_LeafTotalWork]]&gt;0),Tasks[[#This Row],[_Res3Work]]&gt;0),Tasks[[#This Row],[_Res3Work]]/(Tasks[[#This Row],[_FinishWorkday]]-Tasks[[#This Row],[_StartWorkday]]+1),0)</f>
        <v>0</v>
      </c>
      <c r="DY126" s="42" t="n">
        <f aca="false">Tasks[[#This Row],[_Res3WorkPerWD]]*MAX(0,Tasks[[#This Row],[_StartWorkday]]-1)</f>
        <v>0</v>
      </c>
      <c r="DZ126" s="42" t="n">
        <f aca="false">Tasks[[#This Row],[_Res3Work]]*Tasks[[#This Row],[_LeafProgress]]</f>
        <v>0</v>
      </c>
      <c r="EA126" s="42" t="str">
        <f aca="false">IF(Tasks[[#This Row],[_Res4Text]]="","",IF(Tasks[[#This Row],[_Res4Row]]&gt;0,INDEX(res_Name,Tasks[[#This Row],[_Res4Row]]),TRIM(LEFT(Tasks[[#This Row],[_Res4Text]],FIND("[",Tasks[[#This Row],[_Res4Text]]&amp;"[")-1))))</f>
        <v/>
      </c>
      <c r="EB12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6" s="42" t="n">
        <f aca="false">IF(OR(NOT(Tasks[[#This Row],[_IsLeaf]]=1),Tasks[[#This Row],[_Res4Row]]=0),0,N(Tasks[[#This Row],[_Days]])*HoursPerDay*IF(Tasks[[#This Row],[_Res4Units]]="",DefaultUnits,Tasks[[#This Row],[_Res4Units]]))</f>
        <v>0</v>
      </c>
      <c r="ED126" s="42" t="n">
        <f aca="false">IF(AND(AND(Tasks[[#This Row],[_IsLeaf]]=1,Tasks[[#This Row],[_LeafTotalWork]]&gt;0),Tasks[[#This Row],[_Res4Work]]&gt;0),Tasks[[#This Row],[_Res4Work]]/(Tasks[[#This Row],[_FinishWorkday]]-Tasks[[#This Row],[_StartWorkday]]+1),0)</f>
        <v>0</v>
      </c>
      <c r="EE126" s="42" t="n">
        <f aca="false">Tasks[[#This Row],[_Res4WorkPerWD]]*MAX(0,Tasks[[#This Row],[_StartWorkday]]-1)</f>
        <v>0</v>
      </c>
      <c r="EF126" s="42" t="n">
        <f aca="false">Tasks[[#This Row],[_Res4Work]]*Tasks[[#This Row],[_LeafProgress]]</f>
        <v>0</v>
      </c>
      <c r="EG126" s="42" t="n">
        <f aca="false">IF(ISNUMBER(Tasks[[#This Row],[% Complete]]),Tasks[[#This Row],[% Complete]],IF(Tasks[[#This Row],[Stage]]="",0,IFERROR(INDEX(stg_Pct,MATCH(Tasks[[#This Row],[Stage]],stg_Name,0)),0)))</f>
        <v>0</v>
      </c>
      <c r="EH126" s="42" t="n">
        <f aca="false">IF(NOT(Tasks[[#This Row],[_IsLeaf]]=1),0,IF(N(Tasks[[#This Row],[Actual Finish]])&gt;0,1,MIN(1,Tasks[[#This Row],[_Pct]])))</f>
        <v>0</v>
      </c>
      <c r="EI126" s="42" t="n">
        <f aca="false">IF(OR(NOT(Tasks[[#This Row],[_IsLeaf]]=1),Tasks[[#This Row],[_Res1Row]]=0),0,N(Tasks[[#This Row],[_Days]])*HoursPerDay*IF(Tasks[[#This Row],[_Units1]]="",DefaultUnits,Tasks[[#This Row],[_Units1]]))</f>
        <v>0</v>
      </c>
      <c r="EJ126" s="42" t="n">
        <f aca="false">Tasks[[#This Row],[_LeafWork]]+Tasks[[#This Row],[_Res2Work]]+Tasks[[#This Row],[_Res3Work]]+Tasks[[#This Row],[_Res4Work]]</f>
        <v>0</v>
      </c>
      <c r="EK12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6" s="42" t="n">
        <f aca="false">IF(NOT(Tasks[[#This Row],[_IsLeaf]]=1),0,MAX(_xlfn.MAXIFS(Tasks[_Row],Tasks[_Pred1UID],Tasks[[#This Row],[UID]]),_xlfn.MAXIFS(Tasks[_Row],Tasks[_Pred2UID],Tasks[[#This Row],[UID]]),_xlfn.MAXIFS(Tasks[_Row],Tasks[_Pred3UID],Tasks[[#This Row],[UID]]),_xlfn.MAXIFS(Tasks[_Row],Tasks[_Pred4UID],Tasks[[#This Row],[UID]])))</f>
        <v>0</v>
      </c>
      <c r="ET12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6" s="89" t="str">
        <f aca="false">IF(NOT(Tasks[[#This Row],[_IsLeaf]]=1),"",IF(N(Tasks[[#This Row],[_Days]])&lt;=0,Tasks[[#This Row],[_LeafLateFinish]],WORKDAY.INTL(Tasks[[#This Row],[_LeafLateFinish]],-(Tasks[[#This Row],[_Days]]-1),WorkWeek,Holidays)))</f>
        <v/>
      </c>
      <c r="EW12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6" s="88" t="b">
        <f aca="false">AND(Tasks[[#This Row],[_IsLeaf]]=1,Tasks[[#This Row],[_LeafProgress]]&lt;1,N(Tasks[[#This Row],[_LeafTotalSlack]])&lt;=CriticalSlackDays)</f>
        <v>0</v>
      </c>
      <c r="EY126" s="42" t="n">
        <f aca="false">IF(AND(Tasks[[#This Row],[_IsLeaf]]=1,Tasks[[#This Row],[_ConstraintCode]]=1,Tasks[[#This Row],[Mode]]&lt;&gt;"Manual",N(Tasks[[#This Row],[Actual Start]])=0),MAX(0,N(Tasks[[#This Row],[Free Slack]])),0)</f>
        <v>0</v>
      </c>
      <c r="EZ126" s="89" t="str">
        <f aca="false">IF(NOT(Tasks[[#This Row],[_IsLeaf]]=1),"",IF(Tasks[[#This Row],[_AlapShift]]=0,Tasks[[#This Row],[_LeafCalcStart]],WORKDAY.INTL(Tasks[[#This Row],[_LeafCalcStart]],Tasks[[#This Row],[_AlapShift]],WorkWeek,Holidays)))</f>
        <v/>
      </c>
      <c r="FA126" s="89" t="str">
        <f aca="false">IF(NOT(Tasks[[#This Row],[_IsLeaf]]=1),"",IF(Tasks[[#This Row],[_AlapShift]]=0,Tasks[[#This Row],[_LeafCalcFinish]],WORKDAY.INTL(Tasks[[#This Row],[_LeafCalcFinish]],Tasks[[#This Row],[_AlapShift]],WorkWeek,Holidays)))</f>
        <v/>
      </c>
      <c r="FB126" s="89" t="str">
        <f aca="false">IF(NOT(Tasks[[#This Row],[_IsLeaf]]=1),"",IF(Tasks[[#This Row],[_AlapShift]]=0,Tasks[[#This Row],[_LeafFcstStart]],WORKDAY.INTL(Tasks[[#This Row],[_LeafFcstStart]],Tasks[[#This Row],[_AlapShift]],WorkWeek,Holidays)))</f>
        <v/>
      </c>
      <c r="FC126" s="89" t="str">
        <f aca="false">IF(NOT(Tasks[[#This Row],[_IsLeaf]]=1),"",IF(Tasks[[#This Row],[_AlapShift]]=0,Tasks[[#This Row],[_LeafFcstFinish]],WORKDAY.INTL(Tasks[[#This Row],[_LeafFcstFinish]],Tasks[[#This Row],[_AlapShift]],WorkWeek,Holidays)))</f>
        <v/>
      </c>
      <c r="FD126" s="89" t="str">
        <f aca="false">IF(Tasks[[#This Row],[Task Name]]="","",IF(Tasks[[#This Row],[_IsSummary]],MIN(INDEX(Tasks[_ShownCalcStart],Tasks[[#This Row],[_Row]]+1):INDEX(Tasks[_ShownCalcStart],Tasks[[#This Row],[_Row]]+Tasks[[#This Row],[_Descendants]])),Tasks[[#This Row],[_ShownCalcStart]]))</f>
        <v/>
      </c>
      <c r="FE126" s="89" t="str">
        <f aca="false">IF(Tasks[[#This Row],[Task Name]]="","",IF(Tasks[[#This Row],[_IsSummary]],MAX(INDEX(Tasks[_ShownCalcFinish],Tasks[[#This Row],[_Row]]+1):INDEX(Tasks[_ShownCalcFinish],Tasks[[#This Row],[_Row]]+Tasks[[#This Row],[_Descendants]])),Tasks[[#This Row],[_ShownCalcFinish]]))</f>
        <v/>
      </c>
      <c r="FF12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6" s="42" t="n">
        <f aca="false">IF(AND(Tasks[[#This Row],[_IsLeaf]]=1,Tasks[[#This Row],[_LeafTotalWork]]&gt;0),NETWORKDAYS.INTL(ProjectStart,Tasks[[#This Row],[_ShownFcstStart]],WorkWeek,Holidays),0)</f>
        <v>0</v>
      </c>
      <c r="FS126" s="42" t="n">
        <f aca="false">IF(AND(Tasks[[#This Row],[_IsLeaf]]=1,Tasks[[#This Row],[_LeafTotalWork]]&gt;0),MAX(Tasks[[#This Row],[_StartWorkday]],NETWORKDAYS.INTL(ProjectStart,Tasks[[#This Row],[_ShownFcstFinish]],WorkWeek,Holidays)),0)</f>
        <v>0</v>
      </c>
      <c r="FT126" s="42" t="n">
        <f aca="false">IF(AND(Tasks[[#This Row],[_IsLeaf]]=1,Tasks[[#This Row],[_LeafTotalWork]]&gt;0),Tasks[[#This Row],[_LeafWork]]/(Tasks[[#This Row],[_FinishWorkday]]-Tasks[[#This Row],[_StartWorkday]]+1),0)</f>
        <v>0</v>
      </c>
      <c r="FU126" s="42" t="n">
        <f aca="false">Tasks[[#This Row],[_WorkPerWorkday]]*(Tasks[[#This Row],[_StartWorkday]]-1)</f>
        <v>-0</v>
      </c>
      <c r="FV126" s="42" t="n">
        <f aca="false">IF(Tasks[[#This Row],[_IsLeaf]]=1,MAX(N(Tasks[[#This Row],[_Days]]),0.1),0)</f>
        <v>0</v>
      </c>
      <c r="FW126" s="42" t="n">
        <f aca="false">Tasks[[#This Row],[_WeightDur]]*Tasks[[#This Row],[_LeafProgress]]</f>
        <v>0</v>
      </c>
      <c r="FX126" s="42" t="n">
        <f aca="false">Tasks[[#This Row],[_WeightDur]]*Tasks[[#This Row],[_PlannedPct]]</f>
        <v>0</v>
      </c>
      <c r="FY12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6" s="42" t="str">
        <f aca="false">IF(AND(Tasks[[#This Row],[_IsLeaf]]=1,N(Tasks[[#This Row],[_Days]])=0,Tasks[[#This Row],[_LeafProgress]]&lt;1),Tasks[[#This Row],[_ShownFcstFinish]]+Tasks[[#This Row],[_Row]]/100000,"")</f>
        <v/>
      </c>
      <c r="GA12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6" s="42" t="str">
        <f aca="false">IF(Tasks[[#This Row],[Task Name]]="","",LEFT(Tasks[[#This Row],[WBS]],FIND(".",Tasks[[#This Row],[WBS]]&amp;".")-1))</f>
        <v/>
      </c>
      <c r="GC126" s="42" t="str">
        <f aca="false">IF(AND(Tasks[[#This Row],[Task Name]]&lt;&gt;"",Tasks[[#This Row],[_Level]]=1),Tasks[[#This Row],[_Row]],"")</f>
        <v/>
      </c>
      <c r="GD126" s="42" t="str">
        <f aca="false">IF(AND(Tasks[[#This Row],[_IsLeaf]]=1,N(Tasks[[#This Row],[_Days]])=0),Tasks[[#This Row],[Planned Finish]]+Tasks[[#This Row],[_Row]]/100000,"")</f>
        <v/>
      </c>
      <c r="GE126" s="42" t="str">
        <f aca="false">IF(AND(Tasks[[#This Row],[_IsLeaf]]=1,Tasks[[#This Row],[_LeafProgress]]&lt;1,OR(N(Tasks[[#This Row],[Finish Var]])&gt;0,Tasks[[#This Row],[Status]]="Late Start")),MAX(0,Tasks[[#This Row],[Finish Var]])+1-Tasks[[#This Row],[_Row]]/1000000,"")</f>
        <v/>
      </c>
      <c r="GF126" s="42" t="str">
        <f aca="false">IF(AND(Tasks[[#This Row],[_IsLeaf]]=1,N(Tasks[[#This Row],[Actual Start]])=0,Tasks[[#This Row],[_ShownFcstStart]]&gt;=StatusDate,Tasks[[#This Row],[_ShownFcstStart]]&lt;=LookaheadEnd),Tasks[[#This Row],[_ShownFcstStart]]+Tasks[[#This Row],[_Row]]/100000,"")</f>
        <v/>
      </c>
      <c r="GG126" s="42" t="str">
        <f aca="false">IF(AND(Tasks[[#This Row],[_IsLeaf]]=1,Tasks[[#This Row],[_LeafProgress]]&lt;1,Tasks[[#This Row],[_ShownFcstFinish]]&gt;=StatusDate,Tasks[[#This Row],[_ShownFcstFinish]]&lt;=LookaheadEnd),Tasks[[#This Row],[_ShownFcstFinish]]+Tasks[[#This Row],[_Row]]/100000,"")</f>
        <v/>
      </c>
      <c r="GH126" s="42" t="str">
        <f aca="false">IF(Tasks[[#This Row],[_LeafCritical]],Tasks[[#This Row],[_ShownFcstStart]]+Tasks[[#This Row],[_Row]]/100000,"")</f>
        <v/>
      </c>
      <c r="GI126" s="42" t="n">
        <f aca="false">Tasks[[#This Row],[_LeafWork]]*Tasks[[#This Row],[_LeafProgress]]</f>
        <v>0</v>
      </c>
      <c r="GJ126" s="89" t="str">
        <f aca="false">IF(AND(Tasks[[#This Row],[_IsLeaf]]=1,Tasks[[#This Row],[_LeafProgress]]&gt;=1),IF(N(Tasks[[#This Row],[Actual Finish]])&gt;0,Tasks[[#This Row],[Actual Finish]],Tasks[[#This Row],[_ShownFcstFinish]]),"")</f>
        <v/>
      </c>
      <c r="GK126" s="42" t="n">
        <f aca="false">IF(Tasks[[#This Row],[_IsLeaf]]=1,N(Tasks[[#This Row],[Story Points]]),0)</f>
        <v>0</v>
      </c>
      <c r="GL126" s="42" t="str">
        <f aca="false">""</f>
        <v/>
      </c>
      <c r="GM126" s="88" t="b">
        <f aca="false">IF(Tasks[[#This Row],[Task Name]]="",FALSE(),AND(Tasks[[#This Row],[_IsLeaf]]=1,N(Tasks[[#This Row],[_Days]])=0))</f>
        <v>0</v>
      </c>
      <c r="GN126" s="89" t="n">
        <f aca="false">IF(Tasks[[#This Row],[Task Name]]="",0,IF(AND(Tasks[[#This Row],[_IsLeaf]]=1,NOT(Tasks[[#This Row],[_IsMilestone]]),N(Tasks[[#This Row],[Progress]])&gt;0),Tasks[[#This Row],[Start]],0))</f>
        <v>0</v>
      </c>
      <c r="GO126" s="89" t="n">
        <f aca="false">IF(Tasks[[#This Row],[_DoneFrom]]=0,0,IF(Tasks[[#This Row],[Progress]]&gt;=1,Tasks[[#This Row],[Finish]],MAX(Tasks[[#This Row],[_DoneFrom]],Tasks[[#This Row],[Start]]+ROUND((Tasks[[#This Row],[Finish]]-Tasks[[#This Row],[Start]]+1)*Tasks[[#This Row],[Progress]],0)-1)))</f>
        <v>0</v>
      </c>
      <c r="GP126" s="89" t="n">
        <f aca="false">IF(Tasks[[#This Row],[Task Name]]="",0,IF(OR(NOT(Tasks[[#This Row],[_IsLeaf]]=1),Tasks[[#This Row],[_IsMilestone]],N(Tasks[[#This Row],[Progress]])&gt;=1),0,IF(Tasks[[#This Row],[_DoneTo]]&gt;0,Tasks[[#This Row],[_DoneTo]]+1,Tasks[[#This Row],[Start]])))</f>
        <v>0</v>
      </c>
      <c r="GQ126" s="89" t="n">
        <f aca="false">IF(Tasks[[#This Row],[_RemFrom]]=0,0,Tasks[[#This Row],[Finish]])</f>
        <v>0</v>
      </c>
      <c r="GR126" s="88" t="b">
        <f aca="false">IF(Tasks[[#This Row],[Task Name]]="",FALSE(),OR(NOT(BaselineSet),N(Tasks[[#This Row],[Baseline Start]])&gt;0))</f>
        <v>0</v>
      </c>
      <c r="GS12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6" s="90" t="str">
        <f aca="false">IF(Tasks[[#This Row],[_IsLeaf]]=1,Tasks[[#This Row],[_Row]],"")</f>
        <v/>
      </c>
      <c r="GW126" s="90" t="str">
        <f aca="false">IFERROR(INDEX(Tasks[UID],SMALL(Tasks[_PickKey],Tasks[[#This Row],[_Row]]))&amp;" "&amp;INDEX(Tasks[Task Name],SMALL(Tasks[_PickKey],Tasks[[#This Row],[_Row]])),"")</f>
        <v/>
      </c>
      <c r="GX126" s="42" t="str">
        <f aca="false">IF(Tasks[[#This Row],[Task Name]]="","",IF(Tasks[[#This Row],[_IsSummary]],NETWORKDAYS.INTL(Tasks[[#This Row],[Start]],Tasks[[#This Row],[Finish]],WorkWeek,Holidays),N(Tasks[[#This Row],[_Days]])))</f>
        <v/>
      </c>
    </row>
    <row r="127" customFormat="false" ht="15" hidden="false" customHeight="false" outlineLevel="0" collapsed="false">
      <c r="A127" s="21" t="str">
        <f aca="false">IF(Tasks[[#This Row],[Task Name]]="","",COUNTA(Tasks[[#Headers],[Task Name]]:Tasks[[#This Row],[Task Name]])-1)</f>
        <v/>
      </c>
      <c r="B127" s="22" t="n">
        <v>135</v>
      </c>
      <c r="C127" s="22"/>
      <c r="D127" s="23"/>
      <c r="E127" s="22"/>
      <c r="F127" s="23"/>
      <c r="G127" s="22"/>
      <c r="H127" s="22"/>
      <c r="I127" s="23"/>
      <c r="J127" s="22"/>
      <c r="K127" s="22"/>
      <c r="L127" s="23"/>
      <c r="M127" s="22"/>
      <c r="N127" s="22"/>
      <c r="O127" s="23"/>
      <c r="P127" s="22"/>
      <c r="Q127" s="22"/>
      <c r="R127" s="23"/>
      <c r="S127" s="23"/>
      <c r="T127" s="83"/>
      <c r="U127" s="23"/>
      <c r="V127" s="83"/>
      <c r="W127" s="23"/>
      <c r="X127" s="83"/>
      <c r="Y127" s="23"/>
      <c r="Z127" s="83"/>
      <c r="AA127" s="23"/>
      <c r="AB127" s="23"/>
      <c r="AC127" s="7"/>
      <c r="AD127" s="7"/>
      <c r="AE127" s="62" t="str">
        <f aca="false">IF(Tasks[[#This Row],[Task Name]]="","",IF(Tasks[[#This Row],[_IsSummary]],MIN(INDEX(Tasks[_ShownFcstStart],Tasks[[#This Row],[_Row]]+1):INDEX(Tasks[_ShownFcstStart],Tasks[[#This Row],[_Row]]+Tasks[[#This Row],[_Descendants]])),Tasks[[#This Row],[_ShownFcstStart]]))</f>
        <v/>
      </c>
      <c r="AF127" s="62" t="str">
        <f aca="false">IF(Tasks[[#This Row],[Task Name]]="","",IF(Tasks[[#This Row],[_IsSummary]],MAX(INDEX(Tasks[_ShownFcstFinish],Tasks[[#This Row],[_Row]]+1):INDEX(Tasks[_ShownFcstFinish],Tasks[[#This Row],[_Row]]+Tasks[[#This Row],[_Descendants]])),Tasks[[#This Row],[_ShownFcstFinish]]))</f>
        <v/>
      </c>
      <c r="AG127" s="21" t="str">
        <f aca="false">""</f>
        <v/>
      </c>
      <c r="AH127" s="23"/>
      <c r="AI12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7" s="7"/>
      <c r="AK127" s="22"/>
      <c r="AL127" s="23"/>
      <c r="AM127" s="7"/>
      <c r="AN127" s="46" t="str">
        <f aca="false">IF(Tasks[[#This Row],[Task Name]]="","",IF(Tasks[[#This Row],[Finish]]&gt;=Tasks[[#This Row],[Planned Finish]],NETWORKDAYS.INTL(Tasks[[#This Row],[Planned Finish]],Tasks[[#This Row],[Finish]],WorkWeek,Holidays)-1,1-NETWORKDAYS.INTL(Tasks[[#This Row],[Finish]],Tasks[[#This Row],[Planned Finish]],WorkWeek,Holidays)))</f>
        <v/>
      </c>
      <c r="AO127" s="21" t="str">
        <f aca="false">IF(Tasks[[#This Row],[Task Name]]="","",IF(Tasks[[#This Row],[Progress]]&gt;=1,"Complete",IF(OR(N(Tasks[[#This Row],[Actual Start]])&gt;0,Tasks[[#This Row],[Progress]]&gt;0),IF(Tasks[[#This Row],[Finish Var]]&gt;0,"Behind","In Progress"),IF(Tasks[[#This Row],[Planned Start]]&lt;StatusDate,"Late Start","Not Started"))))</f>
        <v/>
      </c>
      <c r="AP127" s="21" t="str">
        <f aca="false">IF(Tasks[[#This Row],[Task Name]]="","",IF(IF(Tasks[[#This Row],[_IsSummary]],COUNTIF(INDEX(Tasks[_LeafCritical],Tasks[[#This Row],[_Row]]+1):INDEX(Tasks[_LeafCritical],Tasks[[#This Row],[_Row]]+Tasks[[#This Row],[_Descendants]]),TRUE())&gt;0,Tasks[[#This Row],[_LeafCritical]]),"Yes",""))</f>
        <v/>
      </c>
      <c r="AQ127" s="62" t="str">
        <f aca="false">IF(Tasks[[#This Row],[Task Name]]="","",IF(N(Tasks[[#This Row],[Baseline Start]])&gt;0,Tasks[[#This Row],[Baseline Start]],Tasks[[#This Row],[_CalcStart]]))</f>
        <v/>
      </c>
      <c r="AR127" s="62" t="str">
        <f aca="false">IF(Tasks[[#This Row],[Task Name]]="","",IF(N(Tasks[[#This Row],[Baseline Finish]])&gt;0,Tasks[[#This Row],[Baseline Finish]],Tasks[[#This Row],[_CalcFinish]]))</f>
        <v/>
      </c>
      <c r="AS127" s="46" t="str">
        <f aca="false">IF(Tasks[[#This Row],[Task Name]]="","",IF(Tasks[[#This Row],[Start]]&gt;=Tasks[[#This Row],[Planned Start]],NETWORKDAYS.INTL(Tasks[[#This Row],[Planned Start]],Tasks[[#This Row],[Start]],WorkWeek,Holidays)-1,1-NETWORKDAYS.INTL(Tasks[[#This Row],[Start]],Tasks[[#This Row],[Planned Start]],WorkWeek,Holidays)))</f>
        <v/>
      </c>
      <c r="AT127" s="62" t="str">
        <f aca="false">IF(Tasks[[#This Row],[Task Name]]="","",IF(Tasks[[#This Row],[_IsSummary]],MIN(INDEX(Tasks[_LeafLateStart],Tasks[[#This Row],[_Row]]+1):INDEX(Tasks[_LeafLateStart],Tasks[[#This Row],[_Row]]+Tasks[[#This Row],[_Descendants]])),Tasks[[#This Row],[_LeafLateStart]]))</f>
        <v/>
      </c>
      <c r="AU127" s="62" t="str">
        <f aca="false">IF(Tasks[[#This Row],[Task Name]]="","",IF(Tasks[[#This Row],[_IsSummary]],MAX(INDEX(Tasks[_LeafLateFinish],Tasks[[#This Row],[_Row]]+1):INDEX(Tasks[_LeafLateFinish],Tasks[[#This Row],[_Row]]+Tasks[[#This Row],[_Descendants]])),Tasks[[#This Row],[_LeafLateFinish]]))</f>
        <v/>
      </c>
      <c r="AV127" s="46" t="str">
        <f aca="false">IF(Tasks[[#This Row],[Task Name]]="","",IF(Tasks[[#This Row],[_IsSummary]],MIN(INDEX(Tasks[_LeafTotalSlack],Tasks[[#This Row],[_Row]]+1):INDEX(Tasks[_LeafTotalSlack],Tasks[[#This Row],[_Row]]+Tasks[[#This Row],[_Descendants]])),Tasks[[#This Row],[_LeafTotalSlack]]))</f>
        <v/>
      </c>
      <c r="AW12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4"/>
      <c r="BA12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t="str">
        <f aca="false">IF(Tasks[[#This Row],[Task Name]]="","",IF(Tasks[[#This Row],[_Level]]&lt;=OutlineShowLevel,"Yes","No"))</f>
        <v/>
      </c>
      <c r="BE127" s="85" t="str">
        <f aca="false">IF(Tasks[[#This Row],[Task Name]]="","",IF(Tasks[[#This Row],[_IsSummary]],SUM(INDEX(Tasks[_LeafTotalWork],Tasks[[#This Row],[_Row]]+1):INDEX(Tasks[_LeafTotalWork],Tasks[[#This Row],[_Row]]+Tasks[[#This Row],[_Descendants]])),Tasks[[#This Row],[_LeafTotalWork]]))</f>
        <v/>
      </c>
      <c r="BF127" s="23"/>
      <c r="BG12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t="str">
        <f aca="false">""</f>
        <v/>
      </c>
      <c r="BI127" s="86"/>
      <c r="BJ127" s="22"/>
      <c r="BK127" s="46" t="str">
        <f aca="false">IF(OR(Tasks[[#This Row],[Task Name]]="",Tasks[[#This Row],[Baseline Duration]]=""),"",Tasks[[#This Row],[_SpanDays]]-N(Tasks[[#This Row],[Baseline Duration]]))</f>
        <v/>
      </c>
      <c r="BL127" s="85" t="str">
        <f aca="false">IF(OR(Tasks[[#This Row],[Task Name]]="",Tasks[[#This Row],[Baseline Work]]=""),"",Tasks[[#This Row],[Work]]-N(Tasks[[#This Row],[Baseline Work]]))</f>
        <v/>
      </c>
      <c r="BM127" s="62" t="str">
        <f aca="false">IF(Tasks[[#This Row],[Task Name]]="","",IF(OR(TakeBaseline="Yes",N(Tasks[[#This Row],[Baseline Start]])=0),Tasks[[#This Row],[Start]],Tasks[[#This Row],[Baseline Start]]))</f>
        <v/>
      </c>
      <c r="BN127" s="62" t="str">
        <f aca="false">IF(Tasks[[#This Row],[Task Name]]="","",IF(OR(TakeBaseline="Yes",N(Tasks[[#This Row],[Baseline Finish]])=0),Tasks[[#This Row],[Finish]],Tasks[[#This Row],[Baseline Finish]]))</f>
        <v/>
      </c>
      <c r="BO127" s="21" t="str">
        <f aca="false">IF(Tasks[[#This Row],[Task Name]]="","",IF(OR(TakeBaseline="Yes",N(Tasks[[#This Row],[Baseline Duration]])=0),Tasks[[#This Row],[_SpanDays]],Tasks[[#This Row],[Baseline Duration]]))</f>
        <v/>
      </c>
      <c r="BP127" s="85" t="str">
        <f aca="false">IF(Tasks[[#This Row],[Task Name]]="","",IF(OR(TakeBaseline="Yes",N(Tasks[[#This Row],[Baseline Work]])=0),Tasks[[#This Row],[Work]],Tasks[[#This Row],[Baseline Work]]))</f>
        <v/>
      </c>
      <c r="BQ127" s="7"/>
      <c r="BR127" s="7"/>
      <c r="BS127" s="22"/>
      <c r="BT127" s="87"/>
      <c r="BU127" s="42" t="str">
        <f aca="false">IF(Tasks[[#This Row],[Task Name]]="","",MAX(1,N(Tasks[[#This Row],[Level]])))</f>
        <v/>
      </c>
      <c r="BV127" s="42" t="n">
        <f aca="false">ROW()-ROW(Tasks[[#Headers],[ID]])</f>
        <v>122</v>
      </c>
      <c r="BW127" s="42" t="n">
        <f aca="false">IF(OR(Tasks[[#This Row],[Task Name]]="",Tasks[[#This Row],[_Level]]&lt;=1),0,IFERROR(LOOKUP(2,1/(Tasks[[#Headers],[_Level]]:Tasks[[#This Row],[_Level]]=Tasks[[#This Row],[_Level]]-1),ROW(Tasks[[#Headers],[_Level]]:Tasks[[#This Row],[_Level]])),0))</f>
        <v>0</v>
      </c>
      <c r="BX127" s="42" t="n">
        <f aca="false">IFERROR(N(INDEX(Tasks[_Level],Tasks[[#This Row],[_Row]]+1)),0)</f>
        <v>0</v>
      </c>
      <c r="BY127" s="88" t="b">
        <f aca="false">AND(Tasks[[#This Row],[Task Name]]&lt;&gt;"",Tasks[[#This Row],[_NextLevel]]&gt;Tasks[[#This Row],[_Level]])</f>
        <v>0</v>
      </c>
      <c r="BZ127" s="42" t="n">
        <f aca="false">IF(Tasks[[#This Row],[_IsSummary]],COUNTIF(Tasks[WBS],Tasks[[#This Row],[WBS]]&amp;".*"),0)</f>
        <v>0</v>
      </c>
      <c r="CA127" s="42" t="n">
        <f aca="false">IF(AND(Tasks[[#This Row],[Task Name]]&lt;&gt;"",NOT(Tasks[[#This Row],[_IsSummary]])),1,0)</f>
        <v>0</v>
      </c>
      <c r="CB127" s="42" t="n">
        <f aca="false">IF(N(Tasks[[#This Row],[_Pred1UID]])=0,0,IFERROR(MATCH(Tasks[[#This Row],[_Pred1UID]],Tasks[UID],0),-1))</f>
        <v>0</v>
      </c>
      <c r="CC127" s="42" t="n">
        <f aca="false">IF(N(Tasks[[#This Row],[_Pred2UID]])=0,0,IFERROR(MATCH(Tasks[[#This Row],[_Pred2UID]],Tasks[UID],0),-1))</f>
        <v>0</v>
      </c>
      <c r="CD127" s="42" t="n">
        <f aca="false">IF(N(Tasks[[#This Row],[_Pred3UID]])=0,0,IFERROR(MATCH(Tasks[[#This Row],[_Pred3UID]],Tasks[UID],0),-1))</f>
        <v>0</v>
      </c>
      <c r="CE127" s="42" t="n">
        <f aca="false">IF(N(Tasks[[#This Row],[_Pred4UID]])=0,0,IFERROR(MATCH(Tasks[[#This Row],[_Pred4UID]],Tasks[UID],0),-1))</f>
        <v>0</v>
      </c>
      <c r="CF12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7" s="89" t="n">
        <f aca="false">IF(OR(Tasks[[#This Row],[_ConstraintCode]]=2,Tasks[[#This Row],[_ConstraintCode]]=3,Tasks[[#This Row],[_ConstraintCode]]=4,Tasks[[#This Row],[_ConstraintCode]]=6),Tasks[[#This Row],[_ConstraintStart]],0)</f>
        <v>0</v>
      </c>
      <c r="CI127" s="89" t="n">
        <f aca="false">IF(OR(Tasks[[#This Row],[_ConstraintCode]]=2,Tasks[[#This Row],[_ConstraintCode]]=3,Tasks[[#This Row],[_ConstraintCode]]=5,Tasks[[#This Row],[_ConstraintCode]]=7),Tasks[[#This Row],[_ConstraintStart]],2958465)</f>
        <v>2958465</v>
      </c>
      <c r="CJ12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7" s="89" t="str">
        <f aca="false">IF(NOT(Tasks[[#This Row],[_IsLeaf]]=1),"",IF(N(Tasks[[#This Row],[_Days]])&lt;=0,Tasks[[#This Row],[_LeafCalcStart]],WORKDAY.INTL(Tasks[[#This Row],[_LeafCalcStart]],Tasks[[#This Row],[_Days]]-1,WorkWeek,Holidays)))</f>
        <v/>
      </c>
      <c r="CL12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7" s="42" t="str">
        <f aca="false">IF(Tasks[[#This Row],[_Predecessors]]="","",TRIM(MID(SUBSTITUTE(SUBSTITUTE(SUBSTITUTE(UPPER(Tasks[[#This Row],[_Predecessors]]),";",",")," ",""),",",REPT(" ",99)),1,99)))</f>
        <v/>
      </c>
      <c r="CO127" s="42" t="str">
        <f aca="false">IF(Tasks[[#This Row],[_Pred1Text]]="","",IFERROR(VALUE(LEFT(Tasks[[#This Row],[_Pred1Text]],MIN(FIND("F",Tasks[[#This Row],[_Pred1Text]]&amp;"F"),FIND("S",Tasks[[#This Row],[_Pred1Text]]&amp;"S"),FIND("+",Tasks[[#This Row],[_Pred1Text]]&amp;"+"),FIND("-",Tasks[[#This Row],[_Pred1Text]]&amp;"-"))-1)),""))</f>
        <v/>
      </c>
      <c r="CP12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7" s="42" t="str">
        <f aca="false">IF(Tasks[[#This Row],[_Pred1Text]]="","",TRIM(MID(SUBSTITUTE(SUBSTITUTE(SUBSTITUTE(UPPER(Tasks[[#This Row],[_Predecessors]]),";",",")," ",""),",",REPT(" ",99)),100,99)))</f>
        <v/>
      </c>
      <c r="CS127" s="42" t="str">
        <f aca="false">IF(Tasks[[#This Row],[_Pred2Text]]="","",IFERROR(VALUE(LEFT(Tasks[[#This Row],[_Pred2Text]],MIN(FIND("F",Tasks[[#This Row],[_Pred2Text]]&amp;"F"),FIND("S",Tasks[[#This Row],[_Pred2Text]]&amp;"S"),FIND("+",Tasks[[#This Row],[_Pred2Text]]&amp;"+"),FIND("-",Tasks[[#This Row],[_Pred2Text]]&amp;"-"))-1)),""))</f>
        <v/>
      </c>
      <c r="CT12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7" s="42" t="str">
        <f aca="false">IF(Tasks[[#This Row],[_Pred2Text]]="","",TRIM(MID(SUBSTITUTE(SUBSTITUTE(SUBSTITUTE(UPPER(Tasks[[#This Row],[_Predecessors]]),";",",")," ",""),",",REPT(" ",99)),199,99)))</f>
        <v/>
      </c>
      <c r="CW127" s="42" t="str">
        <f aca="false">IF(Tasks[[#This Row],[_Pred3Text]]="","",IFERROR(VALUE(LEFT(Tasks[[#This Row],[_Pred3Text]],MIN(FIND("F",Tasks[[#This Row],[_Pred3Text]]&amp;"F"),FIND("S",Tasks[[#This Row],[_Pred3Text]]&amp;"S"),FIND("+",Tasks[[#This Row],[_Pred3Text]]&amp;"+"),FIND("-",Tasks[[#This Row],[_Pred3Text]]&amp;"-"))-1)),""))</f>
        <v/>
      </c>
      <c r="CX12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7" s="42" t="str">
        <f aca="false">IF(Tasks[[#This Row],[_Pred3Text]]="","",TRIM(MID(SUBSTITUTE(SUBSTITUTE(SUBSTITUTE(UPPER(Tasks[[#This Row],[_Predecessors]]),";",",")," ",""),",",REPT(" ",99)),298,99)))</f>
        <v/>
      </c>
      <c r="DA127" s="42" t="str">
        <f aca="false">IF(Tasks[[#This Row],[_Pred4Text]]="","",IFERROR(VALUE(LEFT(Tasks[[#This Row],[_Pred4Text]],MIN(FIND("F",Tasks[[#This Row],[_Pred4Text]]&amp;"F"),FIND("S",Tasks[[#This Row],[_Pred4Text]]&amp;"S"),FIND("+",Tasks[[#This Row],[_Pred4Text]]&amp;"+"),FIND("-",Tasks[[#This Row],[_Pred4Text]]&amp;"-"))-1)),""))</f>
        <v/>
      </c>
      <c r="DB12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7" s="42" t="str">
        <f aca="false">IF(OR(Tasks[[#This Row],[Task Name]]="",Tasks[[#This Row],[_Resources]]=""),"",TRIM(MID(SUBSTITUTE(Tasks[[#This Row],[_Resources]],",",REPT(" ",99)),1,99)))</f>
        <v/>
      </c>
      <c r="DE127" s="42" t="str">
        <f aca="false">IF(Tasks[[#This Row],[_Res1Text]]="","",TRIM(MID(SUBSTITUTE(Tasks[[#This Row],[_Resources]],",",REPT(" ",99)),100,99)))</f>
        <v/>
      </c>
      <c r="DF127" s="42" t="str">
        <f aca="false">IF(Tasks[[#This Row],[_Res2Text]]="","",TRIM(MID(SUBSTITUTE(Tasks[[#This Row],[_Resources]],",",REPT(" ",99)),199,99)))</f>
        <v/>
      </c>
      <c r="DG127" s="42" t="str">
        <f aca="false">IF(Tasks[[#This Row],[_Res3Text]]="","",TRIM(MID(SUBSTITUTE(Tasks[[#This Row],[_Resources]],",",REPT(" ",99)),298,99)))</f>
        <v/>
      </c>
      <c r="DH127" s="42" t="n">
        <f aca="false">IF(Tasks[[#This Row],[_Res1Text]]="",0,IFERROR(MATCH(TRIM(LEFT(Tasks[[#This Row],[_Res1Text]],FIND("[",Tasks[[#This Row],[_Res1Text]]&amp;"[")-1)),res_Name,0),IFERROR(MATCH(TRIM(LEFT(Tasks[[#This Row],[_Res1Text]],FIND("[",Tasks[[#This Row],[_Res1Text]]&amp;"[")-1)),res_Initials,0),0)))</f>
        <v>0</v>
      </c>
      <c r="DI127" s="42" t="n">
        <f aca="false">IF(Tasks[[#This Row],[_Res2Text]]="",0,IFERROR(MATCH(TRIM(LEFT(Tasks[[#This Row],[_Res2Text]],FIND("[",Tasks[[#This Row],[_Res2Text]]&amp;"[")-1)),res_Name,0),IFERROR(MATCH(TRIM(LEFT(Tasks[[#This Row],[_Res2Text]],FIND("[",Tasks[[#This Row],[_Res2Text]]&amp;"[")-1)),res_Initials,0),0)))</f>
        <v>0</v>
      </c>
      <c r="DJ127" s="42" t="n">
        <f aca="false">IF(Tasks[[#This Row],[_Res3Text]]="",0,IFERROR(MATCH(TRIM(LEFT(Tasks[[#This Row],[_Res3Text]],FIND("[",Tasks[[#This Row],[_Res3Text]]&amp;"[")-1)),res_Name,0),IFERROR(MATCH(TRIM(LEFT(Tasks[[#This Row],[_Res3Text]],FIND("[",Tasks[[#This Row],[_Res3Text]]&amp;"[")-1)),res_Initials,0),0)))</f>
        <v>0</v>
      </c>
      <c r="DK127" s="42" t="n">
        <f aca="false">IF(Tasks[[#This Row],[_Res4Text]]="",0,IFERROR(MATCH(TRIM(LEFT(Tasks[[#This Row],[_Res4Text]],FIND("[",Tasks[[#This Row],[_Res4Text]]&amp;"[")-1)),res_Name,0),IFERROR(MATCH(TRIM(LEFT(Tasks[[#This Row],[_Res4Text]],FIND("[",Tasks[[#This Row],[_Res4Text]]&amp;"[")-1)),res_Initials,0),0)))</f>
        <v>0</v>
      </c>
      <c r="DL127" s="42" t="str">
        <f aca="false">IF(Tasks[[#This Row],[_Res1Text]]="","",IF(Tasks[[#This Row],[_Res1Row]]&gt;0,INDEX(res_Name,Tasks[[#This Row],[_Res1Row]]),TRIM(LEFT(Tasks[[#This Row],[_Res1Text]],FIND("[",Tasks[[#This Row],[_Res1Text]]&amp;"[")-1))))</f>
        <v/>
      </c>
      <c r="DM12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7" s="42" t="n">
        <f aca="false">IF(NOT(Tasks[[#This Row],[_IsLeaf]]=1),0,(Tasks[[#This Row],[_Resource1]]&lt;&gt;"")+(Tasks[[#This Row],[_Res2]]&lt;&gt;"")+(Tasks[[#This Row],[_Res3]]&lt;&gt;"")+(Tasks[[#This Row],[_Res4]]&lt;&gt;""))</f>
        <v>0</v>
      </c>
      <c r="DO127" s="42" t="str">
        <f aca="false">IF(Tasks[[#This Row],[_Res2Text]]="","",IF(Tasks[[#This Row],[_Res2Row]]&gt;0,INDEX(res_Name,Tasks[[#This Row],[_Res2Row]]),TRIM(LEFT(Tasks[[#This Row],[_Res2Text]],FIND("[",Tasks[[#This Row],[_Res2Text]]&amp;"[")-1))))</f>
        <v/>
      </c>
      <c r="DP12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7" s="42" t="n">
        <f aca="false">IF(OR(NOT(Tasks[[#This Row],[_IsLeaf]]=1),Tasks[[#This Row],[_Res2Row]]=0),0,N(Tasks[[#This Row],[_Days]])*HoursPerDay*IF(Tasks[[#This Row],[_Res2Units]]="",DefaultUnits,Tasks[[#This Row],[_Res2Units]]))</f>
        <v>0</v>
      </c>
      <c r="DR127" s="42" t="n">
        <f aca="false">IF(AND(AND(Tasks[[#This Row],[_IsLeaf]]=1,Tasks[[#This Row],[_LeafTotalWork]]&gt;0),Tasks[[#This Row],[_Res2Work]]&gt;0),Tasks[[#This Row],[_Res2Work]]/(Tasks[[#This Row],[_FinishWorkday]]-Tasks[[#This Row],[_StartWorkday]]+1),0)</f>
        <v>0</v>
      </c>
      <c r="DS127" s="42" t="n">
        <f aca="false">Tasks[[#This Row],[_Res2WorkPerWD]]*MAX(0,Tasks[[#This Row],[_StartWorkday]]-1)</f>
        <v>0</v>
      </c>
      <c r="DT127" s="42" t="n">
        <f aca="false">Tasks[[#This Row],[_Res2Work]]*Tasks[[#This Row],[_LeafProgress]]</f>
        <v>0</v>
      </c>
      <c r="DU127" s="42" t="str">
        <f aca="false">IF(Tasks[[#This Row],[_Res3Text]]="","",IF(Tasks[[#This Row],[_Res3Row]]&gt;0,INDEX(res_Name,Tasks[[#This Row],[_Res3Row]]),TRIM(LEFT(Tasks[[#This Row],[_Res3Text]],FIND("[",Tasks[[#This Row],[_Res3Text]]&amp;"[")-1))))</f>
        <v/>
      </c>
      <c r="DV12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7" s="42" t="n">
        <f aca="false">IF(OR(NOT(Tasks[[#This Row],[_IsLeaf]]=1),Tasks[[#This Row],[_Res3Row]]=0),0,N(Tasks[[#This Row],[_Days]])*HoursPerDay*IF(Tasks[[#This Row],[_Res3Units]]="",DefaultUnits,Tasks[[#This Row],[_Res3Units]]))</f>
        <v>0</v>
      </c>
      <c r="DX127" s="42" t="n">
        <f aca="false">IF(AND(AND(Tasks[[#This Row],[_IsLeaf]]=1,Tasks[[#This Row],[_LeafTotalWork]]&gt;0),Tasks[[#This Row],[_Res3Work]]&gt;0),Tasks[[#This Row],[_Res3Work]]/(Tasks[[#This Row],[_FinishWorkday]]-Tasks[[#This Row],[_StartWorkday]]+1),0)</f>
        <v>0</v>
      </c>
      <c r="DY127" s="42" t="n">
        <f aca="false">Tasks[[#This Row],[_Res3WorkPerWD]]*MAX(0,Tasks[[#This Row],[_StartWorkday]]-1)</f>
        <v>0</v>
      </c>
      <c r="DZ127" s="42" t="n">
        <f aca="false">Tasks[[#This Row],[_Res3Work]]*Tasks[[#This Row],[_LeafProgress]]</f>
        <v>0</v>
      </c>
      <c r="EA127" s="42" t="str">
        <f aca="false">IF(Tasks[[#This Row],[_Res4Text]]="","",IF(Tasks[[#This Row],[_Res4Row]]&gt;0,INDEX(res_Name,Tasks[[#This Row],[_Res4Row]]),TRIM(LEFT(Tasks[[#This Row],[_Res4Text]],FIND("[",Tasks[[#This Row],[_Res4Text]]&amp;"[")-1))))</f>
        <v/>
      </c>
      <c r="EB12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7" s="42" t="n">
        <f aca="false">IF(OR(NOT(Tasks[[#This Row],[_IsLeaf]]=1),Tasks[[#This Row],[_Res4Row]]=0),0,N(Tasks[[#This Row],[_Days]])*HoursPerDay*IF(Tasks[[#This Row],[_Res4Units]]="",DefaultUnits,Tasks[[#This Row],[_Res4Units]]))</f>
        <v>0</v>
      </c>
      <c r="ED127" s="42" t="n">
        <f aca="false">IF(AND(AND(Tasks[[#This Row],[_IsLeaf]]=1,Tasks[[#This Row],[_LeafTotalWork]]&gt;0),Tasks[[#This Row],[_Res4Work]]&gt;0),Tasks[[#This Row],[_Res4Work]]/(Tasks[[#This Row],[_FinishWorkday]]-Tasks[[#This Row],[_StartWorkday]]+1),0)</f>
        <v>0</v>
      </c>
      <c r="EE127" s="42" t="n">
        <f aca="false">Tasks[[#This Row],[_Res4WorkPerWD]]*MAX(0,Tasks[[#This Row],[_StartWorkday]]-1)</f>
        <v>0</v>
      </c>
      <c r="EF127" s="42" t="n">
        <f aca="false">Tasks[[#This Row],[_Res4Work]]*Tasks[[#This Row],[_LeafProgress]]</f>
        <v>0</v>
      </c>
      <c r="EG127" s="42" t="n">
        <f aca="false">IF(ISNUMBER(Tasks[[#This Row],[% Complete]]),Tasks[[#This Row],[% Complete]],IF(Tasks[[#This Row],[Stage]]="",0,IFERROR(INDEX(stg_Pct,MATCH(Tasks[[#This Row],[Stage]],stg_Name,0)),0)))</f>
        <v>0</v>
      </c>
      <c r="EH127" s="42" t="n">
        <f aca="false">IF(NOT(Tasks[[#This Row],[_IsLeaf]]=1),0,IF(N(Tasks[[#This Row],[Actual Finish]])&gt;0,1,MIN(1,Tasks[[#This Row],[_Pct]])))</f>
        <v>0</v>
      </c>
      <c r="EI127" s="42" t="n">
        <f aca="false">IF(OR(NOT(Tasks[[#This Row],[_IsLeaf]]=1),Tasks[[#This Row],[_Res1Row]]=0),0,N(Tasks[[#This Row],[_Days]])*HoursPerDay*IF(Tasks[[#This Row],[_Units1]]="",DefaultUnits,Tasks[[#This Row],[_Units1]]))</f>
        <v>0</v>
      </c>
      <c r="EJ127" s="42" t="n">
        <f aca="false">Tasks[[#This Row],[_LeafWork]]+Tasks[[#This Row],[_Res2Work]]+Tasks[[#This Row],[_Res3Work]]+Tasks[[#This Row],[_Res4Work]]</f>
        <v>0</v>
      </c>
      <c r="EK12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7" s="42" t="n">
        <f aca="false">IF(NOT(Tasks[[#This Row],[_IsLeaf]]=1),0,MAX(_xlfn.MAXIFS(Tasks[_Row],Tasks[_Pred1UID],Tasks[[#This Row],[UID]]),_xlfn.MAXIFS(Tasks[_Row],Tasks[_Pred2UID],Tasks[[#This Row],[UID]]),_xlfn.MAXIFS(Tasks[_Row],Tasks[_Pred3UID],Tasks[[#This Row],[UID]]),_xlfn.MAXIFS(Tasks[_Row],Tasks[_Pred4UID],Tasks[[#This Row],[UID]])))</f>
        <v>0</v>
      </c>
      <c r="ET12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7" s="89" t="str">
        <f aca="false">IF(NOT(Tasks[[#This Row],[_IsLeaf]]=1),"",IF(N(Tasks[[#This Row],[_Days]])&lt;=0,Tasks[[#This Row],[_LeafLateFinish]],WORKDAY.INTL(Tasks[[#This Row],[_LeafLateFinish]],-(Tasks[[#This Row],[_Days]]-1),WorkWeek,Holidays)))</f>
        <v/>
      </c>
      <c r="EW12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7" s="88" t="b">
        <f aca="false">AND(Tasks[[#This Row],[_IsLeaf]]=1,Tasks[[#This Row],[_LeafProgress]]&lt;1,N(Tasks[[#This Row],[_LeafTotalSlack]])&lt;=CriticalSlackDays)</f>
        <v>0</v>
      </c>
      <c r="EY127" s="42" t="n">
        <f aca="false">IF(AND(Tasks[[#This Row],[_IsLeaf]]=1,Tasks[[#This Row],[_ConstraintCode]]=1,Tasks[[#This Row],[Mode]]&lt;&gt;"Manual",N(Tasks[[#This Row],[Actual Start]])=0),MAX(0,N(Tasks[[#This Row],[Free Slack]])),0)</f>
        <v>0</v>
      </c>
      <c r="EZ127" s="89" t="str">
        <f aca="false">IF(NOT(Tasks[[#This Row],[_IsLeaf]]=1),"",IF(Tasks[[#This Row],[_AlapShift]]=0,Tasks[[#This Row],[_LeafCalcStart]],WORKDAY.INTL(Tasks[[#This Row],[_LeafCalcStart]],Tasks[[#This Row],[_AlapShift]],WorkWeek,Holidays)))</f>
        <v/>
      </c>
      <c r="FA127" s="89" t="str">
        <f aca="false">IF(NOT(Tasks[[#This Row],[_IsLeaf]]=1),"",IF(Tasks[[#This Row],[_AlapShift]]=0,Tasks[[#This Row],[_LeafCalcFinish]],WORKDAY.INTL(Tasks[[#This Row],[_LeafCalcFinish]],Tasks[[#This Row],[_AlapShift]],WorkWeek,Holidays)))</f>
        <v/>
      </c>
      <c r="FB127" s="89" t="str">
        <f aca="false">IF(NOT(Tasks[[#This Row],[_IsLeaf]]=1),"",IF(Tasks[[#This Row],[_AlapShift]]=0,Tasks[[#This Row],[_LeafFcstStart]],WORKDAY.INTL(Tasks[[#This Row],[_LeafFcstStart]],Tasks[[#This Row],[_AlapShift]],WorkWeek,Holidays)))</f>
        <v/>
      </c>
      <c r="FC127" s="89" t="str">
        <f aca="false">IF(NOT(Tasks[[#This Row],[_IsLeaf]]=1),"",IF(Tasks[[#This Row],[_AlapShift]]=0,Tasks[[#This Row],[_LeafFcstFinish]],WORKDAY.INTL(Tasks[[#This Row],[_LeafFcstFinish]],Tasks[[#This Row],[_AlapShift]],WorkWeek,Holidays)))</f>
        <v/>
      </c>
      <c r="FD127" s="89" t="str">
        <f aca="false">IF(Tasks[[#This Row],[Task Name]]="","",IF(Tasks[[#This Row],[_IsSummary]],MIN(INDEX(Tasks[_ShownCalcStart],Tasks[[#This Row],[_Row]]+1):INDEX(Tasks[_ShownCalcStart],Tasks[[#This Row],[_Row]]+Tasks[[#This Row],[_Descendants]])),Tasks[[#This Row],[_ShownCalcStart]]))</f>
        <v/>
      </c>
      <c r="FE127" s="89" t="str">
        <f aca="false">IF(Tasks[[#This Row],[Task Name]]="","",IF(Tasks[[#This Row],[_IsSummary]],MAX(INDEX(Tasks[_ShownCalcFinish],Tasks[[#This Row],[_Row]]+1):INDEX(Tasks[_ShownCalcFinish],Tasks[[#This Row],[_Row]]+Tasks[[#This Row],[_Descendants]])),Tasks[[#This Row],[_ShownCalcFinish]]))</f>
        <v/>
      </c>
      <c r="FF12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7" s="42" t="n">
        <f aca="false">IF(AND(Tasks[[#This Row],[_IsLeaf]]=1,Tasks[[#This Row],[_LeafTotalWork]]&gt;0),NETWORKDAYS.INTL(ProjectStart,Tasks[[#This Row],[_ShownFcstStart]],WorkWeek,Holidays),0)</f>
        <v>0</v>
      </c>
      <c r="FS127" s="42" t="n">
        <f aca="false">IF(AND(Tasks[[#This Row],[_IsLeaf]]=1,Tasks[[#This Row],[_LeafTotalWork]]&gt;0),MAX(Tasks[[#This Row],[_StartWorkday]],NETWORKDAYS.INTL(ProjectStart,Tasks[[#This Row],[_ShownFcstFinish]],WorkWeek,Holidays)),0)</f>
        <v>0</v>
      </c>
      <c r="FT127" s="42" t="n">
        <f aca="false">IF(AND(Tasks[[#This Row],[_IsLeaf]]=1,Tasks[[#This Row],[_LeafTotalWork]]&gt;0),Tasks[[#This Row],[_LeafWork]]/(Tasks[[#This Row],[_FinishWorkday]]-Tasks[[#This Row],[_StartWorkday]]+1),0)</f>
        <v>0</v>
      </c>
      <c r="FU127" s="42" t="n">
        <f aca="false">Tasks[[#This Row],[_WorkPerWorkday]]*(Tasks[[#This Row],[_StartWorkday]]-1)</f>
        <v>-0</v>
      </c>
      <c r="FV127" s="42" t="n">
        <f aca="false">IF(Tasks[[#This Row],[_IsLeaf]]=1,MAX(N(Tasks[[#This Row],[_Days]]),0.1),0)</f>
        <v>0</v>
      </c>
      <c r="FW127" s="42" t="n">
        <f aca="false">Tasks[[#This Row],[_WeightDur]]*Tasks[[#This Row],[_LeafProgress]]</f>
        <v>0</v>
      </c>
      <c r="FX127" s="42" t="n">
        <f aca="false">Tasks[[#This Row],[_WeightDur]]*Tasks[[#This Row],[_PlannedPct]]</f>
        <v>0</v>
      </c>
      <c r="FY12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7" s="42" t="str">
        <f aca="false">IF(AND(Tasks[[#This Row],[_IsLeaf]]=1,N(Tasks[[#This Row],[_Days]])=0,Tasks[[#This Row],[_LeafProgress]]&lt;1),Tasks[[#This Row],[_ShownFcstFinish]]+Tasks[[#This Row],[_Row]]/100000,"")</f>
        <v/>
      </c>
      <c r="GA12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7" s="42" t="str">
        <f aca="false">IF(Tasks[[#This Row],[Task Name]]="","",LEFT(Tasks[[#This Row],[WBS]],FIND(".",Tasks[[#This Row],[WBS]]&amp;".")-1))</f>
        <v/>
      </c>
      <c r="GC127" s="42" t="str">
        <f aca="false">IF(AND(Tasks[[#This Row],[Task Name]]&lt;&gt;"",Tasks[[#This Row],[_Level]]=1),Tasks[[#This Row],[_Row]],"")</f>
        <v/>
      </c>
      <c r="GD127" s="42" t="str">
        <f aca="false">IF(AND(Tasks[[#This Row],[_IsLeaf]]=1,N(Tasks[[#This Row],[_Days]])=0),Tasks[[#This Row],[Planned Finish]]+Tasks[[#This Row],[_Row]]/100000,"")</f>
        <v/>
      </c>
      <c r="GE127" s="42" t="str">
        <f aca="false">IF(AND(Tasks[[#This Row],[_IsLeaf]]=1,Tasks[[#This Row],[_LeafProgress]]&lt;1,OR(N(Tasks[[#This Row],[Finish Var]])&gt;0,Tasks[[#This Row],[Status]]="Late Start")),MAX(0,Tasks[[#This Row],[Finish Var]])+1-Tasks[[#This Row],[_Row]]/1000000,"")</f>
        <v/>
      </c>
      <c r="GF127" s="42" t="str">
        <f aca="false">IF(AND(Tasks[[#This Row],[_IsLeaf]]=1,N(Tasks[[#This Row],[Actual Start]])=0,Tasks[[#This Row],[_ShownFcstStart]]&gt;=StatusDate,Tasks[[#This Row],[_ShownFcstStart]]&lt;=LookaheadEnd),Tasks[[#This Row],[_ShownFcstStart]]+Tasks[[#This Row],[_Row]]/100000,"")</f>
        <v/>
      </c>
      <c r="GG127" s="42" t="str">
        <f aca="false">IF(AND(Tasks[[#This Row],[_IsLeaf]]=1,Tasks[[#This Row],[_LeafProgress]]&lt;1,Tasks[[#This Row],[_ShownFcstFinish]]&gt;=StatusDate,Tasks[[#This Row],[_ShownFcstFinish]]&lt;=LookaheadEnd),Tasks[[#This Row],[_ShownFcstFinish]]+Tasks[[#This Row],[_Row]]/100000,"")</f>
        <v/>
      </c>
      <c r="GH127" s="42" t="str">
        <f aca="false">IF(Tasks[[#This Row],[_LeafCritical]],Tasks[[#This Row],[_ShownFcstStart]]+Tasks[[#This Row],[_Row]]/100000,"")</f>
        <v/>
      </c>
      <c r="GI127" s="42" t="n">
        <f aca="false">Tasks[[#This Row],[_LeafWork]]*Tasks[[#This Row],[_LeafProgress]]</f>
        <v>0</v>
      </c>
      <c r="GJ127" s="89" t="str">
        <f aca="false">IF(AND(Tasks[[#This Row],[_IsLeaf]]=1,Tasks[[#This Row],[_LeafProgress]]&gt;=1),IF(N(Tasks[[#This Row],[Actual Finish]])&gt;0,Tasks[[#This Row],[Actual Finish]],Tasks[[#This Row],[_ShownFcstFinish]]),"")</f>
        <v/>
      </c>
      <c r="GK127" s="42" t="n">
        <f aca="false">IF(Tasks[[#This Row],[_IsLeaf]]=1,N(Tasks[[#This Row],[Story Points]]),0)</f>
        <v>0</v>
      </c>
      <c r="GL127" s="42" t="str">
        <f aca="false">""</f>
        <v/>
      </c>
      <c r="GM127" s="88" t="b">
        <f aca="false">IF(Tasks[[#This Row],[Task Name]]="",FALSE(),AND(Tasks[[#This Row],[_IsLeaf]]=1,N(Tasks[[#This Row],[_Days]])=0))</f>
        <v>0</v>
      </c>
      <c r="GN127" s="89" t="n">
        <f aca="false">IF(Tasks[[#This Row],[Task Name]]="",0,IF(AND(Tasks[[#This Row],[_IsLeaf]]=1,NOT(Tasks[[#This Row],[_IsMilestone]]),N(Tasks[[#This Row],[Progress]])&gt;0),Tasks[[#This Row],[Start]],0))</f>
        <v>0</v>
      </c>
      <c r="GO127" s="89" t="n">
        <f aca="false">IF(Tasks[[#This Row],[_DoneFrom]]=0,0,IF(Tasks[[#This Row],[Progress]]&gt;=1,Tasks[[#This Row],[Finish]],MAX(Tasks[[#This Row],[_DoneFrom]],Tasks[[#This Row],[Start]]+ROUND((Tasks[[#This Row],[Finish]]-Tasks[[#This Row],[Start]]+1)*Tasks[[#This Row],[Progress]],0)-1)))</f>
        <v>0</v>
      </c>
      <c r="GP127" s="89" t="n">
        <f aca="false">IF(Tasks[[#This Row],[Task Name]]="",0,IF(OR(NOT(Tasks[[#This Row],[_IsLeaf]]=1),Tasks[[#This Row],[_IsMilestone]],N(Tasks[[#This Row],[Progress]])&gt;=1),0,IF(Tasks[[#This Row],[_DoneTo]]&gt;0,Tasks[[#This Row],[_DoneTo]]+1,Tasks[[#This Row],[Start]])))</f>
        <v>0</v>
      </c>
      <c r="GQ127" s="89" t="n">
        <f aca="false">IF(Tasks[[#This Row],[_RemFrom]]=0,0,Tasks[[#This Row],[Finish]])</f>
        <v>0</v>
      </c>
      <c r="GR127" s="88" t="b">
        <f aca="false">IF(Tasks[[#This Row],[Task Name]]="",FALSE(),OR(NOT(BaselineSet),N(Tasks[[#This Row],[Baseline Start]])&gt;0))</f>
        <v>0</v>
      </c>
      <c r="GS12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7" s="90" t="str">
        <f aca="false">IF(Tasks[[#This Row],[_IsLeaf]]=1,Tasks[[#This Row],[_Row]],"")</f>
        <v/>
      </c>
      <c r="GW127" s="90" t="str">
        <f aca="false">IFERROR(INDEX(Tasks[UID],SMALL(Tasks[_PickKey],Tasks[[#This Row],[_Row]]))&amp;" "&amp;INDEX(Tasks[Task Name],SMALL(Tasks[_PickKey],Tasks[[#This Row],[_Row]])),"")</f>
        <v/>
      </c>
      <c r="GX127" s="42" t="str">
        <f aca="false">IF(Tasks[[#This Row],[Task Name]]="","",IF(Tasks[[#This Row],[_IsSummary]],NETWORKDAYS.INTL(Tasks[[#This Row],[Start]],Tasks[[#This Row],[Finish]],WorkWeek,Holidays),N(Tasks[[#This Row],[_Days]])))</f>
        <v/>
      </c>
    </row>
    <row r="128" customFormat="false" ht="15" hidden="false" customHeight="false" outlineLevel="0" collapsed="false">
      <c r="A128" s="21" t="str">
        <f aca="false">IF(Tasks[[#This Row],[Task Name]]="","",COUNTA(Tasks[[#Headers],[Task Name]]:Tasks[[#This Row],[Task Name]])-1)</f>
        <v/>
      </c>
      <c r="B128" s="22" t="n">
        <v>136</v>
      </c>
      <c r="C128" s="22"/>
      <c r="D128" s="23"/>
      <c r="E128" s="22"/>
      <c r="F128" s="23"/>
      <c r="G128" s="22"/>
      <c r="H128" s="22"/>
      <c r="I128" s="23"/>
      <c r="J128" s="22"/>
      <c r="K128" s="22"/>
      <c r="L128" s="23"/>
      <c r="M128" s="22"/>
      <c r="N128" s="22"/>
      <c r="O128" s="23"/>
      <c r="P128" s="22"/>
      <c r="Q128" s="22"/>
      <c r="R128" s="23"/>
      <c r="S128" s="23"/>
      <c r="T128" s="83"/>
      <c r="U128" s="23"/>
      <c r="V128" s="83"/>
      <c r="W128" s="23"/>
      <c r="X128" s="83"/>
      <c r="Y128" s="23"/>
      <c r="Z128" s="83"/>
      <c r="AA128" s="23"/>
      <c r="AB128" s="23"/>
      <c r="AC128" s="7"/>
      <c r="AD128" s="7"/>
      <c r="AE128" s="62" t="str">
        <f aca="false">IF(Tasks[[#This Row],[Task Name]]="","",IF(Tasks[[#This Row],[_IsSummary]],MIN(INDEX(Tasks[_ShownFcstStart],Tasks[[#This Row],[_Row]]+1):INDEX(Tasks[_ShownFcstStart],Tasks[[#This Row],[_Row]]+Tasks[[#This Row],[_Descendants]])),Tasks[[#This Row],[_ShownFcstStart]]))</f>
        <v/>
      </c>
      <c r="AF128" s="62" t="str">
        <f aca="false">IF(Tasks[[#This Row],[Task Name]]="","",IF(Tasks[[#This Row],[_IsSummary]],MAX(INDEX(Tasks[_ShownFcstFinish],Tasks[[#This Row],[_Row]]+1):INDEX(Tasks[_ShownFcstFinish],Tasks[[#This Row],[_Row]]+Tasks[[#This Row],[_Descendants]])),Tasks[[#This Row],[_ShownFcstFinish]]))</f>
        <v/>
      </c>
      <c r="AG128" s="21" t="str">
        <f aca="false">""</f>
        <v/>
      </c>
      <c r="AH128" s="23"/>
      <c r="AI12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8" s="7"/>
      <c r="AK128" s="22"/>
      <c r="AL128" s="23"/>
      <c r="AM128" s="7"/>
      <c r="AN128" s="46" t="str">
        <f aca="false">IF(Tasks[[#This Row],[Task Name]]="","",IF(Tasks[[#This Row],[Finish]]&gt;=Tasks[[#This Row],[Planned Finish]],NETWORKDAYS.INTL(Tasks[[#This Row],[Planned Finish]],Tasks[[#This Row],[Finish]],WorkWeek,Holidays)-1,1-NETWORKDAYS.INTL(Tasks[[#This Row],[Finish]],Tasks[[#This Row],[Planned Finish]],WorkWeek,Holidays)))</f>
        <v/>
      </c>
      <c r="AO128" s="21" t="str">
        <f aca="false">IF(Tasks[[#This Row],[Task Name]]="","",IF(Tasks[[#This Row],[Progress]]&gt;=1,"Complete",IF(OR(N(Tasks[[#This Row],[Actual Start]])&gt;0,Tasks[[#This Row],[Progress]]&gt;0),IF(Tasks[[#This Row],[Finish Var]]&gt;0,"Behind","In Progress"),IF(Tasks[[#This Row],[Planned Start]]&lt;StatusDate,"Late Start","Not Started"))))</f>
        <v/>
      </c>
      <c r="AP128" s="21" t="str">
        <f aca="false">IF(Tasks[[#This Row],[Task Name]]="","",IF(IF(Tasks[[#This Row],[_IsSummary]],COUNTIF(INDEX(Tasks[_LeafCritical],Tasks[[#This Row],[_Row]]+1):INDEX(Tasks[_LeafCritical],Tasks[[#This Row],[_Row]]+Tasks[[#This Row],[_Descendants]]),TRUE())&gt;0,Tasks[[#This Row],[_LeafCritical]]),"Yes",""))</f>
        <v/>
      </c>
      <c r="AQ128" s="62" t="str">
        <f aca="false">IF(Tasks[[#This Row],[Task Name]]="","",IF(N(Tasks[[#This Row],[Baseline Start]])&gt;0,Tasks[[#This Row],[Baseline Start]],Tasks[[#This Row],[_CalcStart]]))</f>
        <v/>
      </c>
      <c r="AR128" s="62" t="str">
        <f aca="false">IF(Tasks[[#This Row],[Task Name]]="","",IF(N(Tasks[[#This Row],[Baseline Finish]])&gt;0,Tasks[[#This Row],[Baseline Finish]],Tasks[[#This Row],[_CalcFinish]]))</f>
        <v/>
      </c>
      <c r="AS128" s="46" t="str">
        <f aca="false">IF(Tasks[[#This Row],[Task Name]]="","",IF(Tasks[[#This Row],[Start]]&gt;=Tasks[[#This Row],[Planned Start]],NETWORKDAYS.INTL(Tasks[[#This Row],[Planned Start]],Tasks[[#This Row],[Start]],WorkWeek,Holidays)-1,1-NETWORKDAYS.INTL(Tasks[[#This Row],[Start]],Tasks[[#This Row],[Planned Start]],WorkWeek,Holidays)))</f>
        <v/>
      </c>
      <c r="AT128" s="62" t="str">
        <f aca="false">IF(Tasks[[#This Row],[Task Name]]="","",IF(Tasks[[#This Row],[_IsSummary]],MIN(INDEX(Tasks[_LeafLateStart],Tasks[[#This Row],[_Row]]+1):INDEX(Tasks[_LeafLateStart],Tasks[[#This Row],[_Row]]+Tasks[[#This Row],[_Descendants]])),Tasks[[#This Row],[_LeafLateStart]]))</f>
        <v/>
      </c>
      <c r="AU128" s="62" t="str">
        <f aca="false">IF(Tasks[[#This Row],[Task Name]]="","",IF(Tasks[[#This Row],[_IsSummary]],MAX(INDEX(Tasks[_LeafLateFinish],Tasks[[#This Row],[_Row]]+1):INDEX(Tasks[_LeafLateFinish],Tasks[[#This Row],[_Row]]+Tasks[[#This Row],[_Descendants]])),Tasks[[#This Row],[_LeafLateFinish]]))</f>
        <v/>
      </c>
      <c r="AV128" s="46" t="str">
        <f aca="false">IF(Tasks[[#This Row],[Task Name]]="","",IF(Tasks[[#This Row],[_IsSummary]],MIN(INDEX(Tasks[_LeafTotalSlack],Tasks[[#This Row],[_Row]]+1):INDEX(Tasks[_LeafTotalSlack],Tasks[[#This Row],[_Row]]+Tasks[[#This Row],[_Descendants]])),Tasks[[#This Row],[_LeafTotalSlack]]))</f>
        <v/>
      </c>
      <c r="AW12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4"/>
      <c r="BA12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t="str">
        <f aca="false">IF(Tasks[[#This Row],[Task Name]]="","",IF(Tasks[[#This Row],[_Level]]&lt;=OutlineShowLevel,"Yes","No"))</f>
        <v/>
      </c>
      <c r="BE128" s="85" t="str">
        <f aca="false">IF(Tasks[[#This Row],[Task Name]]="","",IF(Tasks[[#This Row],[_IsSummary]],SUM(INDEX(Tasks[_LeafTotalWork],Tasks[[#This Row],[_Row]]+1):INDEX(Tasks[_LeafTotalWork],Tasks[[#This Row],[_Row]]+Tasks[[#This Row],[_Descendants]])),Tasks[[#This Row],[_LeafTotalWork]]))</f>
        <v/>
      </c>
      <c r="BF128" s="23"/>
      <c r="BG12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t="str">
        <f aca="false">""</f>
        <v/>
      </c>
      <c r="BI128" s="86"/>
      <c r="BJ128" s="22"/>
      <c r="BK128" s="46" t="str">
        <f aca="false">IF(OR(Tasks[[#This Row],[Task Name]]="",Tasks[[#This Row],[Baseline Duration]]=""),"",Tasks[[#This Row],[_SpanDays]]-N(Tasks[[#This Row],[Baseline Duration]]))</f>
        <v/>
      </c>
      <c r="BL128" s="85" t="str">
        <f aca="false">IF(OR(Tasks[[#This Row],[Task Name]]="",Tasks[[#This Row],[Baseline Work]]=""),"",Tasks[[#This Row],[Work]]-N(Tasks[[#This Row],[Baseline Work]]))</f>
        <v/>
      </c>
      <c r="BM128" s="62" t="str">
        <f aca="false">IF(Tasks[[#This Row],[Task Name]]="","",IF(OR(TakeBaseline="Yes",N(Tasks[[#This Row],[Baseline Start]])=0),Tasks[[#This Row],[Start]],Tasks[[#This Row],[Baseline Start]]))</f>
        <v/>
      </c>
      <c r="BN128" s="62" t="str">
        <f aca="false">IF(Tasks[[#This Row],[Task Name]]="","",IF(OR(TakeBaseline="Yes",N(Tasks[[#This Row],[Baseline Finish]])=0),Tasks[[#This Row],[Finish]],Tasks[[#This Row],[Baseline Finish]]))</f>
        <v/>
      </c>
      <c r="BO128" s="21" t="str">
        <f aca="false">IF(Tasks[[#This Row],[Task Name]]="","",IF(OR(TakeBaseline="Yes",N(Tasks[[#This Row],[Baseline Duration]])=0),Tasks[[#This Row],[_SpanDays]],Tasks[[#This Row],[Baseline Duration]]))</f>
        <v/>
      </c>
      <c r="BP128" s="85" t="str">
        <f aca="false">IF(Tasks[[#This Row],[Task Name]]="","",IF(OR(TakeBaseline="Yes",N(Tasks[[#This Row],[Baseline Work]])=0),Tasks[[#This Row],[Work]],Tasks[[#This Row],[Baseline Work]]))</f>
        <v/>
      </c>
      <c r="BQ128" s="7"/>
      <c r="BR128" s="7"/>
      <c r="BS128" s="22"/>
      <c r="BT128" s="87"/>
      <c r="BU128" s="42" t="str">
        <f aca="false">IF(Tasks[[#This Row],[Task Name]]="","",MAX(1,N(Tasks[[#This Row],[Level]])))</f>
        <v/>
      </c>
      <c r="BV128" s="42" t="n">
        <f aca="false">ROW()-ROW(Tasks[[#Headers],[ID]])</f>
        <v>123</v>
      </c>
      <c r="BW128" s="42" t="n">
        <f aca="false">IF(OR(Tasks[[#This Row],[Task Name]]="",Tasks[[#This Row],[_Level]]&lt;=1),0,IFERROR(LOOKUP(2,1/(Tasks[[#Headers],[_Level]]:Tasks[[#This Row],[_Level]]=Tasks[[#This Row],[_Level]]-1),ROW(Tasks[[#Headers],[_Level]]:Tasks[[#This Row],[_Level]])),0))</f>
        <v>0</v>
      </c>
      <c r="BX128" s="42" t="n">
        <f aca="false">IFERROR(N(INDEX(Tasks[_Level],Tasks[[#This Row],[_Row]]+1)),0)</f>
        <v>0</v>
      </c>
      <c r="BY128" s="88" t="b">
        <f aca="false">AND(Tasks[[#This Row],[Task Name]]&lt;&gt;"",Tasks[[#This Row],[_NextLevel]]&gt;Tasks[[#This Row],[_Level]])</f>
        <v>0</v>
      </c>
      <c r="BZ128" s="42" t="n">
        <f aca="false">IF(Tasks[[#This Row],[_IsSummary]],COUNTIF(Tasks[WBS],Tasks[[#This Row],[WBS]]&amp;".*"),0)</f>
        <v>0</v>
      </c>
      <c r="CA128" s="42" t="n">
        <f aca="false">IF(AND(Tasks[[#This Row],[Task Name]]&lt;&gt;"",NOT(Tasks[[#This Row],[_IsSummary]])),1,0)</f>
        <v>0</v>
      </c>
      <c r="CB128" s="42" t="n">
        <f aca="false">IF(N(Tasks[[#This Row],[_Pred1UID]])=0,0,IFERROR(MATCH(Tasks[[#This Row],[_Pred1UID]],Tasks[UID],0),-1))</f>
        <v>0</v>
      </c>
      <c r="CC128" s="42" t="n">
        <f aca="false">IF(N(Tasks[[#This Row],[_Pred2UID]])=0,0,IFERROR(MATCH(Tasks[[#This Row],[_Pred2UID]],Tasks[UID],0),-1))</f>
        <v>0</v>
      </c>
      <c r="CD128" s="42" t="n">
        <f aca="false">IF(N(Tasks[[#This Row],[_Pred3UID]])=0,0,IFERROR(MATCH(Tasks[[#This Row],[_Pred3UID]],Tasks[UID],0),-1))</f>
        <v>0</v>
      </c>
      <c r="CE128" s="42" t="n">
        <f aca="false">IF(N(Tasks[[#This Row],[_Pred4UID]])=0,0,IFERROR(MATCH(Tasks[[#This Row],[_Pred4UID]],Tasks[UID],0),-1))</f>
        <v>0</v>
      </c>
      <c r="CF12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8" s="89" t="n">
        <f aca="false">IF(OR(Tasks[[#This Row],[_ConstraintCode]]=2,Tasks[[#This Row],[_ConstraintCode]]=3,Tasks[[#This Row],[_ConstraintCode]]=4,Tasks[[#This Row],[_ConstraintCode]]=6),Tasks[[#This Row],[_ConstraintStart]],0)</f>
        <v>0</v>
      </c>
      <c r="CI128" s="89" t="n">
        <f aca="false">IF(OR(Tasks[[#This Row],[_ConstraintCode]]=2,Tasks[[#This Row],[_ConstraintCode]]=3,Tasks[[#This Row],[_ConstraintCode]]=5,Tasks[[#This Row],[_ConstraintCode]]=7),Tasks[[#This Row],[_ConstraintStart]],2958465)</f>
        <v>2958465</v>
      </c>
      <c r="CJ12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8" s="89" t="str">
        <f aca="false">IF(NOT(Tasks[[#This Row],[_IsLeaf]]=1),"",IF(N(Tasks[[#This Row],[_Days]])&lt;=0,Tasks[[#This Row],[_LeafCalcStart]],WORKDAY.INTL(Tasks[[#This Row],[_LeafCalcStart]],Tasks[[#This Row],[_Days]]-1,WorkWeek,Holidays)))</f>
        <v/>
      </c>
      <c r="CL12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8" s="42" t="str">
        <f aca="false">IF(Tasks[[#This Row],[_Predecessors]]="","",TRIM(MID(SUBSTITUTE(SUBSTITUTE(SUBSTITUTE(UPPER(Tasks[[#This Row],[_Predecessors]]),";",",")," ",""),",",REPT(" ",99)),1,99)))</f>
        <v/>
      </c>
      <c r="CO128" s="42" t="str">
        <f aca="false">IF(Tasks[[#This Row],[_Pred1Text]]="","",IFERROR(VALUE(LEFT(Tasks[[#This Row],[_Pred1Text]],MIN(FIND("F",Tasks[[#This Row],[_Pred1Text]]&amp;"F"),FIND("S",Tasks[[#This Row],[_Pred1Text]]&amp;"S"),FIND("+",Tasks[[#This Row],[_Pred1Text]]&amp;"+"),FIND("-",Tasks[[#This Row],[_Pred1Text]]&amp;"-"))-1)),""))</f>
        <v/>
      </c>
      <c r="CP12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8" s="42" t="str">
        <f aca="false">IF(Tasks[[#This Row],[_Pred1Text]]="","",TRIM(MID(SUBSTITUTE(SUBSTITUTE(SUBSTITUTE(UPPER(Tasks[[#This Row],[_Predecessors]]),";",",")," ",""),",",REPT(" ",99)),100,99)))</f>
        <v/>
      </c>
      <c r="CS128" s="42" t="str">
        <f aca="false">IF(Tasks[[#This Row],[_Pred2Text]]="","",IFERROR(VALUE(LEFT(Tasks[[#This Row],[_Pred2Text]],MIN(FIND("F",Tasks[[#This Row],[_Pred2Text]]&amp;"F"),FIND("S",Tasks[[#This Row],[_Pred2Text]]&amp;"S"),FIND("+",Tasks[[#This Row],[_Pred2Text]]&amp;"+"),FIND("-",Tasks[[#This Row],[_Pred2Text]]&amp;"-"))-1)),""))</f>
        <v/>
      </c>
      <c r="CT12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8" s="42" t="str">
        <f aca="false">IF(Tasks[[#This Row],[_Pred2Text]]="","",TRIM(MID(SUBSTITUTE(SUBSTITUTE(SUBSTITUTE(UPPER(Tasks[[#This Row],[_Predecessors]]),";",",")," ",""),",",REPT(" ",99)),199,99)))</f>
        <v/>
      </c>
      <c r="CW128" s="42" t="str">
        <f aca="false">IF(Tasks[[#This Row],[_Pred3Text]]="","",IFERROR(VALUE(LEFT(Tasks[[#This Row],[_Pred3Text]],MIN(FIND("F",Tasks[[#This Row],[_Pred3Text]]&amp;"F"),FIND("S",Tasks[[#This Row],[_Pred3Text]]&amp;"S"),FIND("+",Tasks[[#This Row],[_Pred3Text]]&amp;"+"),FIND("-",Tasks[[#This Row],[_Pred3Text]]&amp;"-"))-1)),""))</f>
        <v/>
      </c>
      <c r="CX12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8" s="42" t="str">
        <f aca="false">IF(Tasks[[#This Row],[_Pred3Text]]="","",TRIM(MID(SUBSTITUTE(SUBSTITUTE(SUBSTITUTE(UPPER(Tasks[[#This Row],[_Predecessors]]),";",",")," ",""),",",REPT(" ",99)),298,99)))</f>
        <v/>
      </c>
      <c r="DA128" s="42" t="str">
        <f aca="false">IF(Tasks[[#This Row],[_Pred4Text]]="","",IFERROR(VALUE(LEFT(Tasks[[#This Row],[_Pred4Text]],MIN(FIND("F",Tasks[[#This Row],[_Pred4Text]]&amp;"F"),FIND("S",Tasks[[#This Row],[_Pred4Text]]&amp;"S"),FIND("+",Tasks[[#This Row],[_Pred4Text]]&amp;"+"),FIND("-",Tasks[[#This Row],[_Pred4Text]]&amp;"-"))-1)),""))</f>
        <v/>
      </c>
      <c r="DB12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8" s="42" t="str">
        <f aca="false">IF(OR(Tasks[[#This Row],[Task Name]]="",Tasks[[#This Row],[_Resources]]=""),"",TRIM(MID(SUBSTITUTE(Tasks[[#This Row],[_Resources]],",",REPT(" ",99)),1,99)))</f>
        <v/>
      </c>
      <c r="DE128" s="42" t="str">
        <f aca="false">IF(Tasks[[#This Row],[_Res1Text]]="","",TRIM(MID(SUBSTITUTE(Tasks[[#This Row],[_Resources]],",",REPT(" ",99)),100,99)))</f>
        <v/>
      </c>
      <c r="DF128" s="42" t="str">
        <f aca="false">IF(Tasks[[#This Row],[_Res2Text]]="","",TRIM(MID(SUBSTITUTE(Tasks[[#This Row],[_Resources]],",",REPT(" ",99)),199,99)))</f>
        <v/>
      </c>
      <c r="DG128" s="42" t="str">
        <f aca="false">IF(Tasks[[#This Row],[_Res3Text]]="","",TRIM(MID(SUBSTITUTE(Tasks[[#This Row],[_Resources]],",",REPT(" ",99)),298,99)))</f>
        <v/>
      </c>
      <c r="DH128" s="42" t="n">
        <f aca="false">IF(Tasks[[#This Row],[_Res1Text]]="",0,IFERROR(MATCH(TRIM(LEFT(Tasks[[#This Row],[_Res1Text]],FIND("[",Tasks[[#This Row],[_Res1Text]]&amp;"[")-1)),res_Name,0),IFERROR(MATCH(TRIM(LEFT(Tasks[[#This Row],[_Res1Text]],FIND("[",Tasks[[#This Row],[_Res1Text]]&amp;"[")-1)),res_Initials,0),0)))</f>
        <v>0</v>
      </c>
      <c r="DI128" s="42" t="n">
        <f aca="false">IF(Tasks[[#This Row],[_Res2Text]]="",0,IFERROR(MATCH(TRIM(LEFT(Tasks[[#This Row],[_Res2Text]],FIND("[",Tasks[[#This Row],[_Res2Text]]&amp;"[")-1)),res_Name,0),IFERROR(MATCH(TRIM(LEFT(Tasks[[#This Row],[_Res2Text]],FIND("[",Tasks[[#This Row],[_Res2Text]]&amp;"[")-1)),res_Initials,0),0)))</f>
        <v>0</v>
      </c>
      <c r="DJ128" s="42" t="n">
        <f aca="false">IF(Tasks[[#This Row],[_Res3Text]]="",0,IFERROR(MATCH(TRIM(LEFT(Tasks[[#This Row],[_Res3Text]],FIND("[",Tasks[[#This Row],[_Res3Text]]&amp;"[")-1)),res_Name,0),IFERROR(MATCH(TRIM(LEFT(Tasks[[#This Row],[_Res3Text]],FIND("[",Tasks[[#This Row],[_Res3Text]]&amp;"[")-1)),res_Initials,0),0)))</f>
        <v>0</v>
      </c>
      <c r="DK128" s="42" t="n">
        <f aca="false">IF(Tasks[[#This Row],[_Res4Text]]="",0,IFERROR(MATCH(TRIM(LEFT(Tasks[[#This Row],[_Res4Text]],FIND("[",Tasks[[#This Row],[_Res4Text]]&amp;"[")-1)),res_Name,0),IFERROR(MATCH(TRIM(LEFT(Tasks[[#This Row],[_Res4Text]],FIND("[",Tasks[[#This Row],[_Res4Text]]&amp;"[")-1)),res_Initials,0),0)))</f>
        <v>0</v>
      </c>
      <c r="DL128" s="42" t="str">
        <f aca="false">IF(Tasks[[#This Row],[_Res1Text]]="","",IF(Tasks[[#This Row],[_Res1Row]]&gt;0,INDEX(res_Name,Tasks[[#This Row],[_Res1Row]]),TRIM(LEFT(Tasks[[#This Row],[_Res1Text]],FIND("[",Tasks[[#This Row],[_Res1Text]]&amp;"[")-1))))</f>
        <v/>
      </c>
      <c r="DM12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8" s="42" t="n">
        <f aca="false">IF(NOT(Tasks[[#This Row],[_IsLeaf]]=1),0,(Tasks[[#This Row],[_Resource1]]&lt;&gt;"")+(Tasks[[#This Row],[_Res2]]&lt;&gt;"")+(Tasks[[#This Row],[_Res3]]&lt;&gt;"")+(Tasks[[#This Row],[_Res4]]&lt;&gt;""))</f>
        <v>0</v>
      </c>
      <c r="DO128" s="42" t="str">
        <f aca="false">IF(Tasks[[#This Row],[_Res2Text]]="","",IF(Tasks[[#This Row],[_Res2Row]]&gt;0,INDEX(res_Name,Tasks[[#This Row],[_Res2Row]]),TRIM(LEFT(Tasks[[#This Row],[_Res2Text]],FIND("[",Tasks[[#This Row],[_Res2Text]]&amp;"[")-1))))</f>
        <v/>
      </c>
      <c r="DP12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8" s="42" t="n">
        <f aca="false">IF(OR(NOT(Tasks[[#This Row],[_IsLeaf]]=1),Tasks[[#This Row],[_Res2Row]]=0),0,N(Tasks[[#This Row],[_Days]])*HoursPerDay*IF(Tasks[[#This Row],[_Res2Units]]="",DefaultUnits,Tasks[[#This Row],[_Res2Units]]))</f>
        <v>0</v>
      </c>
      <c r="DR128" s="42" t="n">
        <f aca="false">IF(AND(AND(Tasks[[#This Row],[_IsLeaf]]=1,Tasks[[#This Row],[_LeafTotalWork]]&gt;0),Tasks[[#This Row],[_Res2Work]]&gt;0),Tasks[[#This Row],[_Res2Work]]/(Tasks[[#This Row],[_FinishWorkday]]-Tasks[[#This Row],[_StartWorkday]]+1),0)</f>
        <v>0</v>
      </c>
      <c r="DS128" s="42" t="n">
        <f aca="false">Tasks[[#This Row],[_Res2WorkPerWD]]*MAX(0,Tasks[[#This Row],[_StartWorkday]]-1)</f>
        <v>0</v>
      </c>
      <c r="DT128" s="42" t="n">
        <f aca="false">Tasks[[#This Row],[_Res2Work]]*Tasks[[#This Row],[_LeafProgress]]</f>
        <v>0</v>
      </c>
      <c r="DU128" s="42" t="str">
        <f aca="false">IF(Tasks[[#This Row],[_Res3Text]]="","",IF(Tasks[[#This Row],[_Res3Row]]&gt;0,INDEX(res_Name,Tasks[[#This Row],[_Res3Row]]),TRIM(LEFT(Tasks[[#This Row],[_Res3Text]],FIND("[",Tasks[[#This Row],[_Res3Text]]&amp;"[")-1))))</f>
        <v/>
      </c>
      <c r="DV12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8" s="42" t="n">
        <f aca="false">IF(OR(NOT(Tasks[[#This Row],[_IsLeaf]]=1),Tasks[[#This Row],[_Res3Row]]=0),0,N(Tasks[[#This Row],[_Days]])*HoursPerDay*IF(Tasks[[#This Row],[_Res3Units]]="",DefaultUnits,Tasks[[#This Row],[_Res3Units]]))</f>
        <v>0</v>
      </c>
      <c r="DX128" s="42" t="n">
        <f aca="false">IF(AND(AND(Tasks[[#This Row],[_IsLeaf]]=1,Tasks[[#This Row],[_LeafTotalWork]]&gt;0),Tasks[[#This Row],[_Res3Work]]&gt;0),Tasks[[#This Row],[_Res3Work]]/(Tasks[[#This Row],[_FinishWorkday]]-Tasks[[#This Row],[_StartWorkday]]+1),0)</f>
        <v>0</v>
      </c>
      <c r="DY128" s="42" t="n">
        <f aca="false">Tasks[[#This Row],[_Res3WorkPerWD]]*MAX(0,Tasks[[#This Row],[_StartWorkday]]-1)</f>
        <v>0</v>
      </c>
      <c r="DZ128" s="42" t="n">
        <f aca="false">Tasks[[#This Row],[_Res3Work]]*Tasks[[#This Row],[_LeafProgress]]</f>
        <v>0</v>
      </c>
      <c r="EA128" s="42" t="str">
        <f aca="false">IF(Tasks[[#This Row],[_Res4Text]]="","",IF(Tasks[[#This Row],[_Res4Row]]&gt;0,INDEX(res_Name,Tasks[[#This Row],[_Res4Row]]),TRIM(LEFT(Tasks[[#This Row],[_Res4Text]],FIND("[",Tasks[[#This Row],[_Res4Text]]&amp;"[")-1))))</f>
        <v/>
      </c>
      <c r="EB12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8" s="42" t="n">
        <f aca="false">IF(OR(NOT(Tasks[[#This Row],[_IsLeaf]]=1),Tasks[[#This Row],[_Res4Row]]=0),0,N(Tasks[[#This Row],[_Days]])*HoursPerDay*IF(Tasks[[#This Row],[_Res4Units]]="",DefaultUnits,Tasks[[#This Row],[_Res4Units]]))</f>
        <v>0</v>
      </c>
      <c r="ED128" s="42" t="n">
        <f aca="false">IF(AND(AND(Tasks[[#This Row],[_IsLeaf]]=1,Tasks[[#This Row],[_LeafTotalWork]]&gt;0),Tasks[[#This Row],[_Res4Work]]&gt;0),Tasks[[#This Row],[_Res4Work]]/(Tasks[[#This Row],[_FinishWorkday]]-Tasks[[#This Row],[_StartWorkday]]+1),0)</f>
        <v>0</v>
      </c>
      <c r="EE128" s="42" t="n">
        <f aca="false">Tasks[[#This Row],[_Res4WorkPerWD]]*MAX(0,Tasks[[#This Row],[_StartWorkday]]-1)</f>
        <v>0</v>
      </c>
      <c r="EF128" s="42" t="n">
        <f aca="false">Tasks[[#This Row],[_Res4Work]]*Tasks[[#This Row],[_LeafProgress]]</f>
        <v>0</v>
      </c>
      <c r="EG128" s="42" t="n">
        <f aca="false">IF(ISNUMBER(Tasks[[#This Row],[% Complete]]),Tasks[[#This Row],[% Complete]],IF(Tasks[[#This Row],[Stage]]="",0,IFERROR(INDEX(stg_Pct,MATCH(Tasks[[#This Row],[Stage]],stg_Name,0)),0)))</f>
        <v>0</v>
      </c>
      <c r="EH128" s="42" t="n">
        <f aca="false">IF(NOT(Tasks[[#This Row],[_IsLeaf]]=1),0,IF(N(Tasks[[#This Row],[Actual Finish]])&gt;0,1,MIN(1,Tasks[[#This Row],[_Pct]])))</f>
        <v>0</v>
      </c>
      <c r="EI128" s="42" t="n">
        <f aca="false">IF(OR(NOT(Tasks[[#This Row],[_IsLeaf]]=1),Tasks[[#This Row],[_Res1Row]]=0),0,N(Tasks[[#This Row],[_Days]])*HoursPerDay*IF(Tasks[[#This Row],[_Units1]]="",DefaultUnits,Tasks[[#This Row],[_Units1]]))</f>
        <v>0</v>
      </c>
      <c r="EJ128" s="42" t="n">
        <f aca="false">Tasks[[#This Row],[_LeafWork]]+Tasks[[#This Row],[_Res2Work]]+Tasks[[#This Row],[_Res3Work]]+Tasks[[#This Row],[_Res4Work]]</f>
        <v>0</v>
      </c>
      <c r="EK12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8" s="42" t="n">
        <f aca="false">IF(NOT(Tasks[[#This Row],[_IsLeaf]]=1),0,MAX(_xlfn.MAXIFS(Tasks[_Row],Tasks[_Pred1UID],Tasks[[#This Row],[UID]]),_xlfn.MAXIFS(Tasks[_Row],Tasks[_Pred2UID],Tasks[[#This Row],[UID]]),_xlfn.MAXIFS(Tasks[_Row],Tasks[_Pred3UID],Tasks[[#This Row],[UID]]),_xlfn.MAXIFS(Tasks[_Row],Tasks[_Pred4UID],Tasks[[#This Row],[UID]])))</f>
        <v>0</v>
      </c>
      <c r="ET12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8" s="89" t="str">
        <f aca="false">IF(NOT(Tasks[[#This Row],[_IsLeaf]]=1),"",IF(N(Tasks[[#This Row],[_Days]])&lt;=0,Tasks[[#This Row],[_LeafLateFinish]],WORKDAY.INTL(Tasks[[#This Row],[_LeafLateFinish]],-(Tasks[[#This Row],[_Days]]-1),WorkWeek,Holidays)))</f>
        <v/>
      </c>
      <c r="EW12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8" s="88" t="b">
        <f aca="false">AND(Tasks[[#This Row],[_IsLeaf]]=1,Tasks[[#This Row],[_LeafProgress]]&lt;1,N(Tasks[[#This Row],[_LeafTotalSlack]])&lt;=CriticalSlackDays)</f>
        <v>0</v>
      </c>
      <c r="EY128" s="42" t="n">
        <f aca="false">IF(AND(Tasks[[#This Row],[_IsLeaf]]=1,Tasks[[#This Row],[_ConstraintCode]]=1,Tasks[[#This Row],[Mode]]&lt;&gt;"Manual",N(Tasks[[#This Row],[Actual Start]])=0),MAX(0,N(Tasks[[#This Row],[Free Slack]])),0)</f>
        <v>0</v>
      </c>
      <c r="EZ128" s="89" t="str">
        <f aca="false">IF(NOT(Tasks[[#This Row],[_IsLeaf]]=1),"",IF(Tasks[[#This Row],[_AlapShift]]=0,Tasks[[#This Row],[_LeafCalcStart]],WORKDAY.INTL(Tasks[[#This Row],[_LeafCalcStart]],Tasks[[#This Row],[_AlapShift]],WorkWeek,Holidays)))</f>
        <v/>
      </c>
      <c r="FA128" s="89" t="str">
        <f aca="false">IF(NOT(Tasks[[#This Row],[_IsLeaf]]=1),"",IF(Tasks[[#This Row],[_AlapShift]]=0,Tasks[[#This Row],[_LeafCalcFinish]],WORKDAY.INTL(Tasks[[#This Row],[_LeafCalcFinish]],Tasks[[#This Row],[_AlapShift]],WorkWeek,Holidays)))</f>
        <v/>
      </c>
      <c r="FB128" s="89" t="str">
        <f aca="false">IF(NOT(Tasks[[#This Row],[_IsLeaf]]=1),"",IF(Tasks[[#This Row],[_AlapShift]]=0,Tasks[[#This Row],[_LeafFcstStart]],WORKDAY.INTL(Tasks[[#This Row],[_LeafFcstStart]],Tasks[[#This Row],[_AlapShift]],WorkWeek,Holidays)))</f>
        <v/>
      </c>
      <c r="FC128" s="89" t="str">
        <f aca="false">IF(NOT(Tasks[[#This Row],[_IsLeaf]]=1),"",IF(Tasks[[#This Row],[_AlapShift]]=0,Tasks[[#This Row],[_LeafFcstFinish]],WORKDAY.INTL(Tasks[[#This Row],[_LeafFcstFinish]],Tasks[[#This Row],[_AlapShift]],WorkWeek,Holidays)))</f>
        <v/>
      </c>
      <c r="FD128" s="89" t="str">
        <f aca="false">IF(Tasks[[#This Row],[Task Name]]="","",IF(Tasks[[#This Row],[_IsSummary]],MIN(INDEX(Tasks[_ShownCalcStart],Tasks[[#This Row],[_Row]]+1):INDEX(Tasks[_ShownCalcStart],Tasks[[#This Row],[_Row]]+Tasks[[#This Row],[_Descendants]])),Tasks[[#This Row],[_ShownCalcStart]]))</f>
        <v/>
      </c>
      <c r="FE128" s="89" t="str">
        <f aca="false">IF(Tasks[[#This Row],[Task Name]]="","",IF(Tasks[[#This Row],[_IsSummary]],MAX(INDEX(Tasks[_ShownCalcFinish],Tasks[[#This Row],[_Row]]+1):INDEX(Tasks[_ShownCalcFinish],Tasks[[#This Row],[_Row]]+Tasks[[#This Row],[_Descendants]])),Tasks[[#This Row],[_ShownCalcFinish]]))</f>
        <v/>
      </c>
      <c r="FF12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8" s="42" t="n">
        <f aca="false">IF(AND(Tasks[[#This Row],[_IsLeaf]]=1,Tasks[[#This Row],[_LeafTotalWork]]&gt;0),NETWORKDAYS.INTL(ProjectStart,Tasks[[#This Row],[_ShownFcstStart]],WorkWeek,Holidays),0)</f>
        <v>0</v>
      </c>
      <c r="FS128" s="42" t="n">
        <f aca="false">IF(AND(Tasks[[#This Row],[_IsLeaf]]=1,Tasks[[#This Row],[_LeafTotalWork]]&gt;0),MAX(Tasks[[#This Row],[_StartWorkday]],NETWORKDAYS.INTL(ProjectStart,Tasks[[#This Row],[_ShownFcstFinish]],WorkWeek,Holidays)),0)</f>
        <v>0</v>
      </c>
      <c r="FT128" s="42" t="n">
        <f aca="false">IF(AND(Tasks[[#This Row],[_IsLeaf]]=1,Tasks[[#This Row],[_LeafTotalWork]]&gt;0),Tasks[[#This Row],[_LeafWork]]/(Tasks[[#This Row],[_FinishWorkday]]-Tasks[[#This Row],[_StartWorkday]]+1),0)</f>
        <v>0</v>
      </c>
      <c r="FU128" s="42" t="n">
        <f aca="false">Tasks[[#This Row],[_WorkPerWorkday]]*(Tasks[[#This Row],[_StartWorkday]]-1)</f>
        <v>-0</v>
      </c>
      <c r="FV128" s="42" t="n">
        <f aca="false">IF(Tasks[[#This Row],[_IsLeaf]]=1,MAX(N(Tasks[[#This Row],[_Days]]),0.1),0)</f>
        <v>0</v>
      </c>
      <c r="FW128" s="42" t="n">
        <f aca="false">Tasks[[#This Row],[_WeightDur]]*Tasks[[#This Row],[_LeafProgress]]</f>
        <v>0</v>
      </c>
      <c r="FX128" s="42" t="n">
        <f aca="false">Tasks[[#This Row],[_WeightDur]]*Tasks[[#This Row],[_PlannedPct]]</f>
        <v>0</v>
      </c>
      <c r="FY12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8" s="42" t="str">
        <f aca="false">IF(AND(Tasks[[#This Row],[_IsLeaf]]=1,N(Tasks[[#This Row],[_Days]])=0,Tasks[[#This Row],[_LeafProgress]]&lt;1),Tasks[[#This Row],[_ShownFcstFinish]]+Tasks[[#This Row],[_Row]]/100000,"")</f>
        <v/>
      </c>
      <c r="GA12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8" s="42" t="str">
        <f aca="false">IF(Tasks[[#This Row],[Task Name]]="","",LEFT(Tasks[[#This Row],[WBS]],FIND(".",Tasks[[#This Row],[WBS]]&amp;".")-1))</f>
        <v/>
      </c>
      <c r="GC128" s="42" t="str">
        <f aca="false">IF(AND(Tasks[[#This Row],[Task Name]]&lt;&gt;"",Tasks[[#This Row],[_Level]]=1),Tasks[[#This Row],[_Row]],"")</f>
        <v/>
      </c>
      <c r="GD128" s="42" t="str">
        <f aca="false">IF(AND(Tasks[[#This Row],[_IsLeaf]]=1,N(Tasks[[#This Row],[_Days]])=0),Tasks[[#This Row],[Planned Finish]]+Tasks[[#This Row],[_Row]]/100000,"")</f>
        <v/>
      </c>
      <c r="GE128" s="42" t="str">
        <f aca="false">IF(AND(Tasks[[#This Row],[_IsLeaf]]=1,Tasks[[#This Row],[_LeafProgress]]&lt;1,OR(N(Tasks[[#This Row],[Finish Var]])&gt;0,Tasks[[#This Row],[Status]]="Late Start")),MAX(0,Tasks[[#This Row],[Finish Var]])+1-Tasks[[#This Row],[_Row]]/1000000,"")</f>
        <v/>
      </c>
      <c r="GF128" s="42" t="str">
        <f aca="false">IF(AND(Tasks[[#This Row],[_IsLeaf]]=1,N(Tasks[[#This Row],[Actual Start]])=0,Tasks[[#This Row],[_ShownFcstStart]]&gt;=StatusDate,Tasks[[#This Row],[_ShownFcstStart]]&lt;=LookaheadEnd),Tasks[[#This Row],[_ShownFcstStart]]+Tasks[[#This Row],[_Row]]/100000,"")</f>
        <v/>
      </c>
      <c r="GG128" s="42" t="str">
        <f aca="false">IF(AND(Tasks[[#This Row],[_IsLeaf]]=1,Tasks[[#This Row],[_LeafProgress]]&lt;1,Tasks[[#This Row],[_ShownFcstFinish]]&gt;=StatusDate,Tasks[[#This Row],[_ShownFcstFinish]]&lt;=LookaheadEnd),Tasks[[#This Row],[_ShownFcstFinish]]+Tasks[[#This Row],[_Row]]/100000,"")</f>
        <v/>
      </c>
      <c r="GH128" s="42" t="str">
        <f aca="false">IF(Tasks[[#This Row],[_LeafCritical]],Tasks[[#This Row],[_ShownFcstStart]]+Tasks[[#This Row],[_Row]]/100000,"")</f>
        <v/>
      </c>
      <c r="GI128" s="42" t="n">
        <f aca="false">Tasks[[#This Row],[_LeafWork]]*Tasks[[#This Row],[_LeafProgress]]</f>
        <v>0</v>
      </c>
      <c r="GJ128" s="89" t="str">
        <f aca="false">IF(AND(Tasks[[#This Row],[_IsLeaf]]=1,Tasks[[#This Row],[_LeafProgress]]&gt;=1),IF(N(Tasks[[#This Row],[Actual Finish]])&gt;0,Tasks[[#This Row],[Actual Finish]],Tasks[[#This Row],[_ShownFcstFinish]]),"")</f>
        <v/>
      </c>
      <c r="GK128" s="42" t="n">
        <f aca="false">IF(Tasks[[#This Row],[_IsLeaf]]=1,N(Tasks[[#This Row],[Story Points]]),0)</f>
        <v>0</v>
      </c>
      <c r="GL128" s="42" t="str">
        <f aca="false">""</f>
        <v/>
      </c>
      <c r="GM128" s="88" t="b">
        <f aca="false">IF(Tasks[[#This Row],[Task Name]]="",FALSE(),AND(Tasks[[#This Row],[_IsLeaf]]=1,N(Tasks[[#This Row],[_Days]])=0))</f>
        <v>0</v>
      </c>
      <c r="GN128" s="89" t="n">
        <f aca="false">IF(Tasks[[#This Row],[Task Name]]="",0,IF(AND(Tasks[[#This Row],[_IsLeaf]]=1,NOT(Tasks[[#This Row],[_IsMilestone]]),N(Tasks[[#This Row],[Progress]])&gt;0),Tasks[[#This Row],[Start]],0))</f>
        <v>0</v>
      </c>
      <c r="GO128" s="89" t="n">
        <f aca="false">IF(Tasks[[#This Row],[_DoneFrom]]=0,0,IF(Tasks[[#This Row],[Progress]]&gt;=1,Tasks[[#This Row],[Finish]],MAX(Tasks[[#This Row],[_DoneFrom]],Tasks[[#This Row],[Start]]+ROUND((Tasks[[#This Row],[Finish]]-Tasks[[#This Row],[Start]]+1)*Tasks[[#This Row],[Progress]],0)-1)))</f>
        <v>0</v>
      </c>
      <c r="GP128" s="89" t="n">
        <f aca="false">IF(Tasks[[#This Row],[Task Name]]="",0,IF(OR(NOT(Tasks[[#This Row],[_IsLeaf]]=1),Tasks[[#This Row],[_IsMilestone]],N(Tasks[[#This Row],[Progress]])&gt;=1),0,IF(Tasks[[#This Row],[_DoneTo]]&gt;0,Tasks[[#This Row],[_DoneTo]]+1,Tasks[[#This Row],[Start]])))</f>
        <v>0</v>
      </c>
      <c r="GQ128" s="89" t="n">
        <f aca="false">IF(Tasks[[#This Row],[_RemFrom]]=0,0,Tasks[[#This Row],[Finish]])</f>
        <v>0</v>
      </c>
      <c r="GR128" s="88" t="b">
        <f aca="false">IF(Tasks[[#This Row],[Task Name]]="",FALSE(),OR(NOT(BaselineSet),N(Tasks[[#This Row],[Baseline Start]])&gt;0))</f>
        <v>0</v>
      </c>
      <c r="GS12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8" s="90" t="str">
        <f aca="false">IF(Tasks[[#This Row],[_IsLeaf]]=1,Tasks[[#This Row],[_Row]],"")</f>
        <v/>
      </c>
      <c r="GW128" s="90" t="str">
        <f aca="false">IFERROR(INDEX(Tasks[UID],SMALL(Tasks[_PickKey],Tasks[[#This Row],[_Row]]))&amp;" "&amp;INDEX(Tasks[Task Name],SMALL(Tasks[_PickKey],Tasks[[#This Row],[_Row]])),"")</f>
        <v/>
      </c>
      <c r="GX128" s="42" t="str">
        <f aca="false">IF(Tasks[[#This Row],[Task Name]]="","",IF(Tasks[[#This Row],[_IsSummary]],NETWORKDAYS.INTL(Tasks[[#This Row],[Start]],Tasks[[#This Row],[Finish]],WorkWeek,Holidays),N(Tasks[[#This Row],[_Days]])))</f>
        <v/>
      </c>
    </row>
    <row r="129" customFormat="false" ht="15" hidden="false" customHeight="false" outlineLevel="0" collapsed="false">
      <c r="A129" s="21" t="str">
        <f aca="false">IF(Tasks[[#This Row],[Task Name]]="","",COUNTA(Tasks[[#Headers],[Task Name]]:Tasks[[#This Row],[Task Name]])-1)</f>
        <v/>
      </c>
      <c r="B129" s="22" t="n">
        <v>137</v>
      </c>
      <c r="C129" s="22"/>
      <c r="D129" s="23"/>
      <c r="E129" s="22"/>
      <c r="F129" s="23"/>
      <c r="G129" s="22"/>
      <c r="H129" s="22"/>
      <c r="I129" s="23"/>
      <c r="J129" s="22"/>
      <c r="K129" s="22"/>
      <c r="L129" s="23"/>
      <c r="M129" s="22"/>
      <c r="N129" s="22"/>
      <c r="O129" s="23"/>
      <c r="P129" s="22"/>
      <c r="Q129" s="22"/>
      <c r="R129" s="23"/>
      <c r="S129" s="23"/>
      <c r="T129" s="83"/>
      <c r="U129" s="23"/>
      <c r="V129" s="83"/>
      <c r="W129" s="23"/>
      <c r="X129" s="83"/>
      <c r="Y129" s="23"/>
      <c r="Z129" s="83"/>
      <c r="AA129" s="23"/>
      <c r="AB129" s="23"/>
      <c r="AC129" s="7"/>
      <c r="AD129" s="7"/>
      <c r="AE129" s="62" t="str">
        <f aca="false">IF(Tasks[[#This Row],[Task Name]]="","",IF(Tasks[[#This Row],[_IsSummary]],MIN(INDEX(Tasks[_ShownFcstStart],Tasks[[#This Row],[_Row]]+1):INDEX(Tasks[_ShownFcstStart],Tasks[[#This Row],[_Row]]+Tasks[[#This Row],[_Descendants]])),Tasks[[#This Row],[_ShownFcstStart]]))</f>
        <v/>
      </c>
      <c r="AF129" s="62" t="str">
        <f aca="false">IF(Tasks[[#This Row],[Task Name]]="","",IF(Tasks[[#This Row],[_IsSummary]],MAX(INDEX(Tasks[_ShownFcstFinish],Tasks[[#This Row],[_Row]]+1):INDEX(Tasks[_ShownFcstFinish],Tasks[[#This Row],[_Row]]+Tasks[[#This Row],[_Descendants]])),Tasks[[#This Row],[_ShownFcstFinish]]))</f>
        <v/>
      </c>
      <c r="AG129" s="21" t="str">
        <f aca="false">""</f>
        <v/>
      </c>
      <c r="AH129" s="23"/>
      <c r="AI12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29" s="7"/>
      <c r="AK129" s="22"/>
      <c r="AL129" s="23"/>
      <c r="AM129" s="7"/>
      <c r="AN129" s="46" t="str">
        <f aca="false">IF(Tasks[[#This Row],[Task Name]]="","",IF(Tasks[[#This Row],[Finish]]&gt;=Tasks[[#This Row],[Planned Finish]],NETWORKDAYS.INTL(Tasks[[#This Row],[Planned Finish]],Tasks[[#This Row],[Finish]],WorkWeek,Holidays)-1,1-NETWORKDAYS.INTL(Tasks[[#This Row],[Finish]],Tasks[[#This Row],[Planned Finish]],WorkWeek,Holidays)))</f>
        <v/>
      </c>
      <c r="AO129" s="21" t="str">
        <f aca="false">IF(Tasks[[#This Row],[Task Name]]="","",IF(Tasks[[#This Row],[Progress]]&gt;=1,"Complete",IF(OR(N(Tasks[[#This Row],[Actual Start]])&gt;0,Tasks[[#This Row],[Progress]]&gt;0),IF(Tasks[[#This Row],[Finish Var]]&gt;0,"Behind","In Progress"),IF(Tasks[[#This Row],[Planned Start]]&lt;StatusDate,"Late Start","Not Started"))))</f>
        <v/>
      </c>
      <c r="AP129" s="21" t="str">
        <f aca="false">IF(Tasks[[#This Row],[Task Name]]="","",IF(IF(Tasks[[#This Row],[_IsSummary]],COUNTIF(INDEX(Tasks[_LeafCritical],Tasks[[#This Row],[_Row]]+1):INDEX(Tasks[_LeafCritical],Tasks[[#This Row],[_Row]]+Tasks[[#This Row],[_Descendants]]),TRUE())&gt;0,Tasks[[#This Row],[_LeafCritical]]),"Yes",""))</f>
        <v/>
      </c>
      <c r="AQ129" s="62" t="str">
        <f aca="false">IF(Tasks[[#This Row],[Task Name]]="","",IF(N(Tasks[[#This Row],[Baseline Start]])&gt;0,Tasks[[#This Row],[Baseline Start]],Tasks[[#This Row],[_CalcStart]]))</f>
        <v/>
      </c>
      <c r="AR129" s="62" t="str">
        <f aca="false">IF(Tasks[[#This Row],[Task Name]]="","",IF(N(Tasks[[#This Row],[Baseline Finish]])&gt;0,Tasks[[#This Row],[Baseline Finish]],Tasks[[#This Row],[_CalcFinish]]))</f>
        <v/>
      </c>
      <c r="AS129" s="46" t="str">
        <f aca="false">IF(Tasks[[#This Row],[Task Name]]="","",IF(Tasks[[#This Row],[Start]]&gt;=Tasks[[#This Row],[Planned Start]],NETWORKDAYS.INTL(Tasks[[#This Row],[Planned Start]],Tasks[[#This Row],[Start]],WorkWeek,Holidays)-1,1-NETWORKDAYS.INTL(Tasks[[#This Row],[Start]],Tasks[[#This Row],[Planned Start]],WorkWeek,Holidays)))</f>
        <v/>
      </c>
      <c r="AT129" s="62" t="str">
        <f aca="false">IF(Tasks[[#This Row],[Task Name]]="","",IF(Tasks[[#This Row],[_IsSummary]],MIN(INDEX(Tasks[_LeafLateStart],Tasks[[#This Row],[_Row]]+1):INDEX(Tasks[_LeafLateStart],Tasks[[#This Row],[_Row]]+Tasks[[#This Row],[_Descendants]])),Tasks[[#This Row],[_LeafLateStart]]))</f>
        <v/>
      </c>
      <c r="AU129" s="62" t="str">
        <f aca="false">IF(Tasks[[#This Row],[Task Name]]="","",IF(Tasks[[#This Row],[_IsSummary]],MAX(INDEX(Tasks[_LeafLateFinish],Tasks[[#This Row],[_Row]]+1):INDEX(Tasks[_LeafLateFinish],Tasks[[#This Row],[_Row]]+Tasks[[#This Row],[_Descendants]])),Tasks[[#This Row],[_LeafLateFinish]]))</f>
        <v/>
      </c>
      <c r="AV129" s="46" t="str">
        <f aca="false">IF(Tasks[[#This Row],[Task Name]]="","",IF(Tasks[[#This Row],[_IsSummary]],MIN(INDEX(Tasks[_LeafTotalSlack],Tasks[[#This Row],[_Row]]+1):INDEX(Tasks[_LeafTotalSlack],Tasks[[#This Row],[_Row]]+Tasks[[#This Row],[_Descendants]])),Tasks[[#This Row],[_LeafTotalSlack]]))</f>
        <v/>
      </c>
      <c r="AW12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4"/>
      <c r="BA12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t="str">
        <f aca="false">IF(Tasks[[#This Row],[Task Name]]="","",IF(Tasks[[#This Row],[_Level]]&lt;=OutlineShowLevel,"Yes","No"))</f>
        <v/>
      </c>
      <c r="BE129" s="85" t="str">
        <f aca="false">IF(Tasks[[#This Row],[Task Name]]="","",IF(Tasks[[#This Row],[_IsSummary]],SUM(INDEX(Tasks[_LeafTotalWork],Tasks[[#This Row],[_Row]]+1):INDEX(Tasks[_LeafTotalWork],Tasks[[#This Row],[_Row]]+Tasks[[#This Row],[_Descendants]])),Tasks[[#This Row],[_LeafTotalWork]]))</f>
        <v/>
      </c>
      <c r="BF129" s="23"/>
      <c r="BG12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t="str">
        <f aca="false">""</f>
        <v/>
      </c>
      <c r="BI129" s="86"/>
      <c r="BJ129" s="22"/>
      <c r="BK129" s="46" t="str">
        <f aca="false">IF(OR(Tasks[[#This Row],[Task Name]]="",Tasks[[#This Row],[Baseline Duration]]=""),"",Tasks[[#This Row],[_SpanDays]]-N(Tasks[[#This Row],[Baseline Duration]]))</f>
        <v/>
      </c>
      <c r="BL129" s="85" t="str">
        <f aca="false">IF(OR(Tasks[[#This Row],[Task Name]]="",Tasks[[#This Row],[Baseline Work]]=""),"",Tasks[[#This Row],[Work]]-N(Tasks[[#This Row],[Baseline Work]]))</f>
        <v/>
      </c>
      <c r="BM129" s="62" t="str">
        <f aca="false">IF(Tasks[[#This Row],[Task Name]]="","",IF(OR(TakeBaseline="Yes",N(Tasks[[#This Row],[Baseline Start]])=0),Tasks[[#This Row],[Start]],Tasks[[#This Row],[Baseline Start]]))</f>
        <v/>
      </c>
      <c r="BN129" s="62" t="str">
        <f aca="false">IF(Tasks[[#This Row],[Task Name]]="","",IF(OR(TakeBaseline="Yes",N(Tasks[[#This Row],[Baseline Finish]])=0),Tasks[[#This Row],[Finish]],Tasks[[#This Row],[Baseline Finish]]))</f>
        <v/>
      </c>
      <c r="BO129" s="21" t="str">
        <f aca="false">IF(Tasks[[#This Row],[Task Name]]="","",IF(OR(TakeBaseline="Yes",N(Tasks[[#This Row],[Baseline Duration]])=0),Tasks[[#This Row],[_SpanDays]],Tasks[[#This Row],[Baseline Duration]]))</f>
        <v/>
      </c>
      <c r="BP129" s="85" t="str">
        <f aca="false">IF(Tasks[[#This Row],[Task Name]]="","",IF(OR(TakeBaseline="Yes",N(Tasks[[#This Row],[Baseline Work]])=0),Tasks[[#This Row],[Work]],Tasks[[#This Row],[Baseline Work]]))</f>
        <v/>
      </c>
      <c r="BQ129" s="7"/>
      <c r="BR129" s="7"/>
      <c r="BS129" s="22"/>
      <c r="BT129" s="87"/>
      <c r="BU129" s="42" t="str">
        <f aca="false">IF(Tasks[[#This Row],[Task Name]]="","",MAX(1,N(Tasks[[#This Row],[Level]])))</f>
        <v/>
      </c>
      <c r="BV129" s="42" t="n">
        <f aca="false">ROW()-ROW(Tasks[[#Headers],[ID]])</f>
        <v>124</v>
      </c>
      <c r="BW129" s="42" t="n">
        <f aca="false">IF(OR(Tasks[[#This Row],[Task Name]]="",Tasks[[#This Row],[_Level]]&lt;=1),0,IFERROR(LOOKUP(2,1/(Tasks[[#Headers],[_Level]]:Tasks[[#This Row],[_Level]]=Tasks[[#This Row],[_Level]]-1),ROW(Tasks[[#Headers],[_Level]]:Tasks[[#This Row],[_Level]])),0))</f>
        <v>0</v>
      </c>
      <c r="BX129" s="42" t="n">
        <f aca="false">IFERROR(N(INDEX(Tasks[_Level],Tasks[[#This Row],[_Row]]+1)),0)</f>
        <v>0</v>
      </c>
      <c r="BY129" s="88" t="b">
        <f aca="false">AND(Tasks[[#This Row],[Task Name]]&lt;&gt;"",Tasks[[#This Row],[_NextLevel]]&gt;Tasks[[#This Row],[_Level]])</f>
        <v>0</v>
      </c>
      <c r="BZ129" s="42" t="n">
        <f aca="false">IF(Tasks[[#This Row],[_IsSummary]],COUNTIF(Tasks[WBS],Tasks[[#This Row],[WBS]]&amp;".*"),0)</f>
        <v>0</v>
      </c>
      <c r="CA129" s="42" t="n">
        <f aca="false">IF(AND(Tasks[[#This Row],[Task Name]]&lt;&gt;"",NOT(Tasks[[#This Row],[_IsSummary]])),1,0)</f>
        <v>0</v>
      </c>
      <c r="CB129" s="42" t="n">
        <f aca="false">IF(N(Tasks[[#This Row],[_Pred1UID]])=0,0,IFERROR(MATCH(Tasks[[#This Row],[_Pred1UID]],Tasks[UID],0),-1))</f>
        <v>0</v>
      </c>
      <c r="CC129" s="42" t="n">
        <f aca="false">IF(N(Tasks[[#This Row],[_Pred2UID]])=0,0,IFERROR(MATCH(Tasks[[#This Row],[_Pred2UID]],Tasks[UID],0),-1))</f>
        <v>0</v>
      </c>
      <c r="CD129" s="42" t="n">
        <f aca="false">IF(N(Tasks[[#This Row],[_Pred3UID]])=0,0,IFERROR(MATCH(Tasks[[#This Row],[_Pred3UID]],Tasks[UID],0),-1))</f>
        <v>0</v>
      </c>
      <c r="CE129" s="42" t="n">
        <f aca="false">IF(N(Tasks[[#This Row],[_Pred4UID]])=0,0,IFERROR(MATCH(Tasks[[#This Row],[_Pred4UID]],Tasks[UID],0),-1))</f>
        <v>0</v>
      </c>
      <c r="CF12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2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29" s="89" t="n">
        <f aca="false">IF(OR(Tasks[[#This Row],[_ConstraintCode]]=2,Tasks[[#This Row],[_ConstraintCode]]=3,Tasks[[#This Row],[_ConstraintCode]]=4,Tasks[[#This Row],[_ConstraintCode]]=6),Tasks[[#This Row],[_ConstraintStart]],0)</f>
        <v>0</v>
      </c>
      <c r="CI129" s="89" t="n">
        <f aca="false">IF(OR(Tasks[[#This Row],[_ConstraintCode]]=2,Tasks[[#This Row],[_ConstraintCode]]=3,Tasks[[#This Row],[_ConstraintCode]]=5,Tasks[[#This Row],[_ConstraintCode]]=7),Tasks[[#This Row],[_ConstraintStart]],2958465)</f>
        <v>2958465</v>
      </c>
      <c r="CJ12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29" s="89" t="str">
        <f aca="false">IF(NOT(Tasks[[#This Row],[_IsLeaf]]=1),"",IF(N(Tasks[[#This Row],[_Days]])&lt;=0,Tasks[[#This Row],[_LeafCalcStart]],WORKDAY.INTL(Tasks[[#This Row],[_LeafCalcStart]],Tasks[[#This Row],[_Days]]-1,WorkWeek,Holidays)))</f>
        <v/>
      </c>
      <c r="CL12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2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29" s="42" t="str">
        <f aca="false">IF(Tasks[[#This Row],[_Predecessors]]="","",TRIM(MID(SUBSTITUTE(SUBSTITUTE(SUBSTITUTE(UPPER(Tasks[[#This Row],[_Predecessors]]),";",",")," ",""),",",REPT(" ",99)),1,99)))</f>
        <v/>
      </c>
      <c r="CO129" s="42" t="str">
        <f aca="false">IF(Tasks[[#This Row],[_Pred1Text]]="","",IFERROR(VALUE(LEFT(Tasks[[#This Row],[_Pred1Text]],MIN(FIND("F",Tasks[[#This Row],[_Pred1Text]]&amp;"F"),FIND("S",Tasks[[#This Row],[_Pred1Text]]&amp;"S"),FIND("+",Tasks[[#This Row],[_Pred1Text]]&amp;"+"),FIND("-",Tasks[[#This Row],[_Pred1Text]]&amp;"-"))-1)),""))</f>
        <v/>
      </c>
      <c r="CP12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2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29" s="42" t="str">
        <f aca="false">IF(Tasks[[#This Row],[_Pred1Text]]="","",TRIM(MID(SUBSTITUTE(SUBSTITUTE(SUBSTITUTE(UPPER(Tasks[[#This Row],[_Predecessors]]),";",",")," ",""),",",REPT(" ",99)),100,99)))</f>
        <v/>
      </c>
      <c r="CS129" s="42" t="str">
        <f aca="false">IF(Tasks[[#This Row],[_Pred2Text]]="","",IFERROR(VALUE(LEFT(Tasks[[#This Row],[_Pred2Text]],MIN(FIND("F",Tasks[[#This Row],[_Pred2Text]]&amp;"F"),FIND("S",Tasks[[#This Row],[_Pred2Text]]&amp;"S"),FIND("+",Tasks[[#This Row],[_Pred2Text]]&amp;"+"),FIND("-",Tasks[[#This Row],[_Pred2Text]]&amp;"-"))-1)),""))</f>
        <v/>
      </c>
      <c r="CT12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2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29" s="42" t="str">
        <f aca="false">IF(Tasks[[#This Row],[_Pred2Text]]="","",TRIM(MID(SUBSTITUTE(SUBSTITUTE(SUBSTITUTE(UPPER(Tasks[[#This Row],[_Predecessors]]),";",",")," ",""),",",REPT(" ",99)),199,99)))</f>
        <v/>
      </c>
      <c r="CW129" s="42" t="str">
        <f aca="false">IF(Tasks[[#This Row],[_Pred3Text]]="","",IFERROR(VALUE(LEFT(Tasks[[#This Row],[_Pred3Text]],MIN(FIND("F",Tasks[[#This Row],[_Pred3Text]]&amp;"F"),FIND("S",Tasks[[#This Row],[_Pred3Text]]&amp;"S"),FIND("+",Tasks[[#This Row],[_Pred3Text]]&amp;"+"),FIND("-",Tasks[[#This Row],[_Pred3Text]]&amp;"-"))-1)),""))</f>
        <v/>
      </c>
      <c r="CX12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2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29" s="42" t="str">
        <f aca="false">IF(Tasks[[#This Row],[_Pred3Text]]="","",TRIM(MID(SUBSTITUTE(SUBSTITUTE(SUBSTITUTE(UPPER(Tasks[[#This Row],[_Predecessors]]),";",",")," ",""),",",REPT(" ",99)),298,99)))</f>
        <v/>
      </c>
      <c r="DA129" s="42" t="str">
        <f aca="false">IF(Tasks[[#This Row],[_Pred4Text]]="","",IFERROR(VALUE(LEFT(Tasks[[#This Row],[_Pred4Text]],MIN(FIND("F",Tasks[[#This Row],[_Pred4Text]]&amp;"F"),FIND("S",Tasks[[#This Row],[_Pred4Text]]&amp;"S"),FIND("+",Tasks[[#This Row],[_Pred4Text]]&amp;"+"),FIND("-",Tasks[[#This Row],[_Pred4Text]]&amp;"-"))-1)),""))</f>
        <v/>
      </c>
      <c r="DB12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2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29" s="42" t="str">
        <f aca="false">IF(OR(Tasks[[#This Row],[Task Name]]="",Tasks[[#This Row],[_Resources]]=""),"",TRIM(MID(SUBSTITUTE(Tasks[[#This Row],[_Resources]],",",REPT(" ",99)),1,99)))</f>
        <v/>
      </c>
      <c r="DE129" s="42" t="str">
        <f aca="false">IF(Tasks[[#This Row],[_Res1Text]]="","",TRIM(MID(SUBSTITUTE(Tasks[[#This Row],[_Resources]],",",REPT(" ",99)),100,99)))</f>
        <v/>
      </c>
      <c r="DF129" s="42" t="str">
        <f aca="false">IF(Tasks[[#This Row],[_Res2Text]]="","",TRIM(MID(SUBSTITUTE(Tasks[[#This Row],[_Resources]],",",REPT(" ",99)),199,99)))</f>
        <v/>
      </c>
      <c r="DG129" s="42" t="str">
        <f aca="false">IF(Tasks[[#This Row],[_Res3Text]]="","",TRIM(MID(SUBSTITUTE(Tasks[[#This Row],[_Resources]],",",REPT(" ",99)),298,99)))</f>
        <v/>
      </c>
      <c r="DH129" s="42" t="n">
        <f aca="false">IF(Tasks[[#This Row],[_Res1Text]]="",0,IFERROR(MATCH(TRIM(LEFT(Tasks[[#This Row],[_Res1Text]],FIND("[",Tasks[[#This Row],[_Res1Text]]&amp;"[")-1)),res_Name,0),IFERROR(MATCH(TRIM(LEFT(Tasks[[#This Row],[_Res1Text]],FIND("[",Tasks[[#This Row],[_Res1Text]]&amp;"[")-1)),res_Initials,0),0)))</f>
        <v>0</v>
      </c>
      <c r="DI129" s="42" t="n">
        <f aca="false">IF(Tasks[[#This Row],[_Res2Text]]="",0,IFERROR(MATCH(TRIM(LEFT(Tasks[[#This Row],[_Res2Text]],FIND("[",Tasks[[#This Row],[_Res2Text]]&amp;"[")-1)),res_Name,0),IFERROR(MATCH(TRIM(LEFT(Tasks[[#This Row],[_Res2Text]],FIND("[",Tasks[[#This Row],[_Res2Text]]&amp;"[")-1)),res_Initials,0),0)))</f>
        <v>0</v>
      </c>
      <c r="DJ129" s="42" t="n">
        <f aca="false">IF(Tasks[[#This Row],[_Res3Text]]="",0,IFERROR(MATCH(TRIM(LEFT(Tasks[[#This Row],[_Res3Text]],FIND("[",Tasks[[#This Row],[_Res3Text]]&amp;"[")-1)),res_Name,0),IFERROR(MATCH(TRIM(LEFT(Tasks[[#This Row],[_Res3Text]],FIND("[",Tasks[[#This Row],[_Res3Text]]&amp;"[")-1)),res_Initials,0),0)))</f>
        <v>0</v>
      </c>
      <c r="DK129" s="42" t="n">
        <f aca="false">IF(Tasks[[#This Row],[_Res4Text]]="",0,IFERROR(MATCH(TRIM(LEFT(Tasks[[#This Row],[_Res4Text]],FIND("[",Tasks[[#This Row],[_Res4Text]]&amp;"[")-1)),res_Name,0),IFERROR(MATCH(TRIM(LEFT(Tasks[[#This Row],[_Res4Text]],FIND("[",Tasks[[#This Row],[_Res4Text]]&amp;"[")-1)),res_Initials,0),0)))</f>
        <v>0</v>
      </c>
      <c r="DL129" s="42" t="str">
        <f aca="false">IF(Tasks[[#This Row],[_Res1Text]]="","",IF(Tasks[[#This Row],[_Res1Row]]&gt;0,INDEX(res_Name,Tasks[[#This Row],[_Res1Row]]),TRIM(LEFT(Tasks[[#This Row],[_Res1Text]],FIND("[",Tasks[[#This Row],[_Res1Text]]&amp;"[")-1))))</f>
        <v/>
      </c>
      <c r="DM12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29" s="42" t="n">
        <f aca="false">IF(NOT(Tasks[[#This Row],[_IsLeaf]]=1),0,(Tasks[[#This Row],[_Resource1]]&lt;&gt;"")+(Tasks[[#This Row],[_Res2]]&lt;&gt;"")+(Tasks[[#This Row],[_Res3]]&lt;&gt;"")+(Tasks[[#This Row],[_Res4]]&lt;&gt;""))</f>
        <v>0</v>
      </c>
      <c r="DO129" s="42" t="str">
        <f aca="false">IF(Tasks[[#This Row],[_Res2Text]]="","",IF(Tasks[[#This Row],[_Res2Row]]&gt;0,INDEX(res_Name,Tasks[[#This Row],[_Res2Row]]),TRIM(LEFT(Tasks[[#This Row],[_Res2Text]],FIND("[",Tasks[[#This Row],[_Res2Text]]&amp;"[")-1))))</f>
        <v/>
      </c>
      <c r="DP12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29" s="42" t="n">
        <f aca="false">IF(OR(NOT(Tasks[[#This Row],[_IsLeaf]]=1),Tasks[[#This Row],[_Res2Row]]=0),0,N(Tasks[[#This Row],[_Days]])*HoursPerDay*IF(Tasks[[#This Row],[_Res2Units]]="",DefaultUnits,Tasks[[#This Row],[_Res2Units]]))</f>
        <v>0</v>
      </c>
      <c r="DR129" s="42" t="n">
        <f aca="false">IF(AND(AND(Tasks[[#This Row],[_IsLeaf]]=1,Tasks[[#This Row],[_LeafTotalWork]]&gt;0),Tasks[[#This Row],[_Res2Work]]&gt;0),Tasks[[#This Row],[_Res2Work]]/(Tasks[[#This Row],[_FinishWorkday]]-Tasks[[#This Row],[_StartWorkday]]+1),0)</f>
        <v>0</v>
      </c>
      <c r="DS129" s="42" t="n">
        <f aca="false">Tasks[[#This Row],[_Res2WorkPerWD]]*MAX(0,Tasks[[#This Row],[_StartWorkday]]-1)</f>
        <v>0</v>
      </c>
      <c r="DT129" s="42" t="n">
        <f aca="false">Tasks[[#This Row],[_Res2Work]]*Tasks[[#This Row],[_LeafProgress]]</f>
        <v>0</v>
      </c>
      <c r="DU129" s="42" t="str">
        <f aca="false">IF(Tasks[[#This Row],[_Res3Text]]="","",IF(Tasks[[#This Row],[_Res3Row]]&gt;0,INDEX(res_Name,Tasks[[#This Row],[_Res3Row]]),TRIM(LEFT(Tasks[[#This Row],[_Res3Text]],FIND("[",Tasks[[#This Row],[_Res3Text]]&amp;"[")-1))))</f>
        <v/>
      </c>
      <c r="DV12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29" s="42" t="n">
        <f aca="false">IF(OR(NOT(Tasks[[#This Row],[_IsLeaf]]=1),Tasks[[#This Row],[_Res3Row]]=0),0,N(Tasks[[#This Row],[_Days]])*HoursPerDay*IF(Tasks[[#This Row],[_Res3Units]]="",DefaultUnits,Tasks[[#This Row],[_Res3Units]]))</f>
        <v>0</v>
      </c>
      <c r="DX129" s="42" t="n">
        <f aca="false">IF(AND(AND(Tasks[[#This Row],[_IsLeaf]]=1,Tasks[[#This Row],[_LeafTotalWork]]&gt;0),Tasks[[#This Row],[_Res3Work]]&gt;0),Tasks[[#This Row],[_Res3Work]]/(Tasks[[#This Row],[_FinishWorkday]]-Tasks[[#This Row],[_StartWorkday]]+1),0)</f>
        <v>0</v>
      </c>
      <c r="DY129" s="42" t="n">
        <f aca="false">Tasks[[#This Row],[_Res3WorkPerWD]]*MAX(0,Tasks[[#This Row],[_StartWorkday]]-1)</f>
        <v>0</v>
      </c>
      <c r="DZ129" s="42" t="n">
        <f aca="false">Tasks[[#This Row],[_Res3Work]]*Tasks[[#This Row],[_LeafProgress]]</f>
        <v>0</v>
      </c>
      <c r="EA129" s="42" t="str">
        <f aca="false">IF(Tasks[[#This Row],[_Res4Text]]="","",IF(Tasks[[#This Row],[_Res4Row]]&gt;0,INDEX(res_Name,Tasks[[#This Row],[_Res4Row]]),TRIM(LEFT(Tasks[[#This Row],[_Res4Text]],FIND("[",Tasks[[#This Row],[_Res4Text]]&amp;"[")-1))))</f>
        <v/>
      </c>
      <c r="EB12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29" s="42" t="n">
        <f aca="false">IF(OR(NOT(Tasks[[#This Row],[_IsLeaf]]=1),Tasks[[#This Row],[_Res4Row]]=0),0,N(Tasks[[#This Row],[_Days]])*HoursPerDay*IF(Tasks[[#This Row],[_Res4Units]]="",DefaultUnits,Tasks[[#This Row],[_Res4Units]]))</f>
        <v>0</v>
      </c>
      <c r="ED129" s="42" t="n">
        <f aca="false">IF(AND(AND(Tasks[[#This Row],[_IsLeaf]]=1,Tasks[[#This Row],[_LeafTotalWork]]&gt;0),Tasks[[#This Row],[_Res4Work]]&gt;0),Tasks[[#This Row],[_Res4Work]]/(Tasks[[#This Row],[_FinishWorkday]]-Tasks[[#This Row],[_StartWorkday]]+1),0)</f>
        <v>0</v>
      </c>
      <c r="EE129" s="42" t="n">
        <f aca="false">Tasks[[#This Row],[_Res4WorkPerWD]]*MAX(0,Tasks[[#This Row],[_StartWorkday]]-1)</f>
        <v>0</v>
      </c>
      <c r="EF129" s="42" t="n">
        <f aca="false">Tasks[[#This Row],[_Res4Work]]*Tasks[[#This Row],[_LeafProgress]]</f>
        <v>0</v>
      </c>
      <c r="EG129" s="42" t="n">
        <f aca="false">IF(ISNUMBER(Tasks[[#This Row],[% Complete]]),Tasks[[#This Row],[% Complete]],IF(Tasks[[#This Row],[Stage]]="",0,IFERROR(INDEX(stg_Pct,MATCH(Tasks[[#This Row],[Stage]],stg_Name,0)),0)))</f>
        <v>0</v>
      </c>
      <c r="EH129" s="42" t="n">
        <f aca="false">IF(NOT(Tasks[[#This Row],[_IsLeaf]]=1),0,IF(N(Tasks[[#This Row],[Actual Finish]])&gt;0,1,MIN(1,Tasks[[#This Row],[_Pct]])))</f>
        <v>0</v>
      </c>
      <c r="EI129" s="42" t="n">
        <f aca="false">IF(OR(NOT(Tasks[[#This Row],[_IsLeaf]]=1),Tasks[[#This Row],[_Res1Row]]=0),0,N(Tasks[[#This Row],[_Days]])*HoursPerDay*IF(Tasks[[#This Row],[_Units1]]="",DefaultUnits,Tasks[[#This Row],[_Units1]]))</f>
        <v>0</v>
      </c>
      <c r="EJ129" s="42" t="n">
        <f aca="false">Tasks[[#This Row],[_LeafWork]]+Tasks[[#This Row],[_Res2Work]]+Tasks[[#This Row],[_Res3Work]]+Tasks[[#This Row],[_Res4Work]]</f>
        <v>0</v>
      </c>
      <c r="EK12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2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2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2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2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2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2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2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29" s="42" t="n">
        <f aca="false">IF(NOT(Tasks[[#This Row],[_IsLeaf]]=1),0,MAX(_xlfn.MAXIFS(Tasks[_Row],Tasks[_Pred1UID],Tasks[[#This Row],[UID]]),_xlfn.MAXIFS(Tasks[_Row],Tasks[_Pred2UID],Tasks[[#This Row],[UID]]),_xlfn.MAXIFS(Tasks[_Row],Tasks[_Pred3UID],Tasks[[#This Row],[UID]]),_xlfn.MAXIFS(Tasks[_Row],Tasks[_Pred4UID],Tasks[[#This Row],[UID]])))</f>
        <v>0</v>
      </c>
      <c r="ET12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2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29" s="89" t="str">
        <f aca="false">IF(NOT(Tasks[[#This Row],[_IsLeaf]]=1),"",IF(N(Tasks[[#This Row],[_Days]])&lt;=0,Tasks[[#This Row],[_LeafLateFinish]],WORKDAY.INTL(Tasks[[#This Row],[_LeafLateFinish]],-(Tasks[[#This Row],[_Days]]-1),WorkWeek,Holidays)))</f>
        <v/>
      </c>
      <c r="EW12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29" s="88" t="b">
        <f aca="false">AND(Tasks[[#This Row],[_IsLeaf]]=1,Tasks[[#This Row],[_LeafProgress]]&lt;1,N(Tasks[[#This Row],[_LeafTotalSlack]])&lt;=CriticalSlackDays)</f>
        <v>0</v>
      </c>
      <c r="EY129" s="42" t="n">
        <f aca="false">IF(AND(Tasks[[#This Row],[_IsLeaf]]=1,Tasks[[#This Row],[_ConstraintCode]]=1,Tasks[[#This Row],[Mode]]&lt;&gt;"Manual",N(Tasks[[#This Row],[Actual Start]])=0),MAX(0,N(Tasks[[#This Row],[Free Slack]])),0)</f>
        <v>0</v>
      </c>
      <c r="EZ129" s="89" t="str">
        <f aca="false">IF(NOT(Tasks[[#This Row],[_IsLeaf]]=1),"",IF(Tasks[[#This Row],[_AlapShift]]=0,Tasks[[#This Row],[_LeafCalcStart]],WORKDAY.INTL(Tasks[[#This Row],[_LeafCalcStart]],Tasks[[#This Row],[_AlapShift]],WorkWeek,Holidays)))</f>
        <v/>
      </c>
      <c r="FA129" s="89" t="str">
        <f aca="false">IF(NOT(Tasks[[#This Row],[_IsLeaf]]=1),"",IF(Tasks[[#This Row],[_AlapShift]]=0,Tasks[[#This Row],[_LeafCalcFinish]],WORKDAY.INTL(Tasks[[#This Row],[_LeafCalcFinish]],Tasks[[#This Row],[_AlapShift]],WorkWeek,Holidays)))</f>
        <v/>
      </c>
      <c r="FB129" s="89" t="str">
        <f aca="false">IF(NOT(Tasks[[#This Row],[_IsLeaf]]=1),"",IF(Tasks[[#This Row],[_AlapShift]]=0,Tasks[[#This Row],[_LeafFcstStart]],WORKDAY.INTL(Tasks[[#This Row],[_LeafFcstStart]],Tasks[[#This Row],[_AlapShift]],WorkWeek,Holidays)))</f>
        <v/>
      </c>
      <c r="FC129" s="89" t="str">
        <f aca="false">IF(NOT(Tasks[[#This Row],[_IsLeaf]]=1),"",IF(Tasks[[#This Row],[_AlapShift]]=0,Tasks[[#This Row],[_LeafFcstFinish]],WORKDAY.INTL(Tasks[[#This Row],[_LeafFcstFinish]],Tasks[[#This Row],[_AlapShift]],WorkWeek,Holidays)))</f>
        <v/>
      </c>
      <c r="FD129" s="89" t="str">
        <f aca="false">IF(Tasks[[#This Row],[Task Name]]="","",IF(Tasks[[#This Row],[_IsSummary]],MIN(INDEX(Tasks[_ShownCalcStart],Tasks[[#This Row],[_Row]]+1):INDEX(Tasks[_ShownCalcStart],Tasks[[#This Row],[_Row]]+Tasks[[#This Row],[_Descendants]])),Tasks[[#This Row],[_ShownCalcStart]]))</f>
        <v/>
      </c>
      <c r="FE129" s="89" t="str">
        <f aca="false">IF(Tasks[[#This Row],[Task Name]]="","",IF(Tasks[[#This Row],[_IsSummary]],MAX(INDEX(Tasks[_ShownCalcFinish],Tasks[[#This Row],[_Row]]+1):INDEX(Tasks[_ShownCalcFinish],Tasks[[#This Row],[_Row]]+Tasks[[#This Row],[_Descendants]])),Tasks[[#This Row],[_ShownCalcFinish]]))</f>
        <v/>
      </c>
      <c r="FF12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2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2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2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2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2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2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2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2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2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2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2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29" s="42" t="n">
        <f aca="false">IF(AND(Tasks[[#This Row],[_IsLeaf]]=1,Tasks[[#This Row],[_LeafTotalWork]]&gt;0),NETWORKDAYS.INTL(ProjectStart,Tasks[[#This Row],[_ShownFcstStart]],WorkWeek,Holidays),0)</f>
        <v>0</v>
      </c>
      <c r="FS129" s="42" t="n">
        <f aca="false">IF(AND(Tasks[[#This Row],[_IsLeaf]]=1,Tasks[[#This Row],[_LeafTotalWork]]&gt;0),MAX(Tasks[[#This Row],[_StartWorkday]],NETWORKDAYS.INTL(ProjectStart,Tasks[[#This Row],[_ShownFcstFinish]],WorkWeek,Holidays)),0)</f>
        <v>0</v>
      </c>
      <c r="FT129" s="42" t="n">
        <f aca="false">IF(AND(Tasks[[#This Row],[_IsLeaf]]=1,Tasks[[#This Row],[_LeafTotalWork]]&gt;0),Tasks[[#This Row],[_LeafWork]]/(Tasks[[#This Row],[_FinishWorkday]]-Tasks[[#This Row],[_StartWorkday]]+1),0)</f>
        <v>0</v>
      </c>
      <c r="FU129" s="42" t="n">
        <f aca="false">Tasks[[#This Row],[_WorkPerWorkday]]*(Tasks[[#This Row],[_StartWorkday]]-1)</f>
        <v>-0</v>
      </c>
      <c r="FV129" s="42" t="n">
        <f aca="false">IF(Tasks[[#This Row],[_IsLeaf]]=1,MAX(N(Tasks[[#This Row],[_Days]]),0.1),0)</f>
        <v>0</v>
      </c>
      <c r="FW129" s="42" t="n">
        <f aca="false">Tasks[[#This Row],[_WeightDur]]*Tasks[[#This Row],[_LeafProgress]]</f>
        <v>0</v>
      </c>
      <c r="FX129" s="42" t="n">
        <f aca="false">Tasks[[#This Row],[_WeightDur]]*Tasks[[#This Row],[_PlannedPct]]</f>
        <v>0</v>
      </c>
      <c r="FY12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29" s="42" t="str">
        <f aca="false">IF(AND(Tasks[[#This Row],[_IsLeaf]]=1,N(Tasks[[#This Row],[_Days]])=0,Tasks[[#This Row],[_LeafProgress]]&lt;1),Tasks[[#This Row],[_ShownFcstFinish]]+Tasks[[#This Row],[_Row]]/100000,"")</f>
        <v/>
      </c>
      <c r="GA12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29" s="42" t="str">
        <f aca="false">IF(Tasks[[#This Row],[Task Name]]="","",LEFT(Tasks[[#This Row],[WBS]],FIND(".",Tasks[[#This Row],[WBS]]&amp;".")-1))</f>
        <v/>
      </c>
      <c r="GC129" s="42" t="str">
        <f aca="false">IF(AND(Tasks[[#This Row],[Task Name]]&lt;&gt;"",Tasks[[#This Row],[_Level]]=1),Tasks[[#This Row],[_Row]],"")</f>
        <v/>
      </c>
      <c r="GD129" s="42" t="str">
        <f aca="false">IF(AND(Tasks[[#This Row],[_IsLeaf]]=1,N(Tasks[[#This Row],[_Days]])=0),Tasks[[#This Row],[Planned Finish]]+Tasks[[#This Row],[_Row]]/100000,"")</f>
        <v/>
      </c>
      <c r="GE129" s="42" t="str">
        <f aca="false">IF(AND(Tasks[[#This Row],[_IsLeaf]]=1,Tasks[[#This Row],[_LeafProgress]]&lt;1,OR(N(Tasks[[#This Row],[Finish Var]])&gt;0,Tasks[[#This Row],[Status]]="Late Start")),MAX(0,Tasks[[#This Row],[Finish Var]])+1-Tasks[[#This Row],[_Row]]/1000000,"")</f>
        <v/>
      </c>
      <c r="GF129" s="42" t="str">
        <f aca="false">IF(AND(Tasks[[#This Row],[_IsLeaf]]=1,N(Tasks[[#This Row],[Actual Start]])=0,Tasks[[#This Row],[_ShownFcstStart]]&gt;=StatusDate,Tasks[[#This Row],[_ShownFcstStart]]&lt;=LookaheadEnd),Tasks[[#This Row],[_ShownFcstStart]]+Tasks[[#This Row],[_Row]]/100000,"")</f>
        <v/>
      </c>
      <c r="GG129" s="42" t="str">
        <f aca="false">IF(AND(Tasks[[#This Row],[_IsLeaf]]=1,Tasks[[#This Row],[_LeafProgress]]&lt;1,Tasks[[#This Row],[_ShownFcstFinish]]&gt;=StatusDate,Tasks[[#This Row],[_ShownFcstFinish]]&lt;=LookaheadEnd),Tasks[[#This Row],[_ShownFcstFinish]]+Tasks[[#This Row],[_Row]]/100000,"")</f>
        <v/>
      </c>
      <c r="GH129" s="42" t="str">
        <f aca="false">IF(Tasks[[#This Row],[_LeafCritical]],Tasks[[#This Row],[_ShownFcstStart]]+Tasks[[#This Row],[_Row]]/100000,"")</f>
        <v/>
      </c>
      <c r="GI129" s="42" t="n">
        <f aca="false">Tasks[[#This Row],[_LeafWork]]*Tasks[[#This Row],[_LeafProgress]]</f>
        <v>0</v>
      </c>
      <c r="GJ129" s="89" t="str">
        <f aca="false">IF(AND(Tasks[[#This Row],[_IsLeaf]]=1,Tasks[[#This Row],[_LeafProgress]]&gt;=1),IF(N(Tasks[[#This Row],[Actual Finish]])&gt;0,Tasks[[#This Row],[Actual Finish]],Tasks[[#This Row],[_ShownFcstFinish]]),"")</f>
        <v/>
      </c>
      <c r="GK129" s="42" t="n">
        <f aca="false">IF(Tasks[[#This Row],[_IsLeaf]]=1,N(Tasks[[#This Row],[Story Points]]),0)</f>
        <v>0</v>
      </c>
      <c r="GL129" s="42" t="str">
        <f aca="false">""</f>
        <v/>
      </c>
      <c r="GM129" s="88" t="b">
        <f aca="false">IF(Tasks[[#This Row],[Task Name]]="",FALSE(),AND(Tasks[[#This Row],[_IsLeaf]]=1,N(Tasks[[#This Row],[_Days]])=0))</f>
        <v>0</v>
      </c>
      <c r="GN129" s="89" t="n">
        <f aca="false">IF(Tasks[[#This Row],[Task Name]]="",0,IF(AND(Tasks[[#This Row],[_IsLeaf]]=1,NOT(Tasks[[#This Row],[_IsMilestone]]),N(Tasks[[#This Row],[Progress]])&gt;0),Tasks[[#This Row],[Start]],0))</f>
        <v>0</v>
      </c>
      <c r="GO129" s="89" t="n">
        <f aca="false">IF(Tasks[[#This Row],[_DoneFrom]]=0,0,IF(Tasks[[#This Row],[Progress]]&gt;=1,Tasks[[#This Row],[Finish]],MAX(Tasks[[#This Row],[_DoneFrom]],Tasks[[#This Row],[Start]]+ROUND((Tasks[[#This Row],[Finish]]-Tasks[[#This Row],[Start]]+1)*Tasks[[#This Row],[Progress]],0)-1)))</f>
        <v>0</v>
      </c>
      <c r="GP129" s="89" t="n">
        <f aca="false">IF(Tasks[[#This Row],[Task Name]]="",0,IF(OR(NOT(Tasks[[#This Row],[_IsLeaf]]=1),Tasks[[#This Row],[_IsMilestone]],N(Tasks[[#This Row],[Progress]])&gt;=1),0,IF(Tasks[[#This Row],[_DoneTo]]&gt;0,Tasks[[#This Row],[_DoneTo]]+1,Tasks[[#This Row],[Start]])))</f>
        <v>0</v>
      </c>
      <c r="GQ129" s="89" t="n">
        <f aca="false">IF(Tasks[[#This Row],[_RemFrom]]=0,0,Tasks[[#This Row],[Finish]])</f>
        <v>0</v>
      </c>
      <c r="GR129" s="88" t="b">
        <f aca="false">IF(Tasks[[#This Row],[Task Name]]="",FALSE(),OR(NOT(BaselineSet),N(Tasks[[#This Row],[Baseline Start]])&gt;0))</f>
        <v>0</v>
      </c>
      <c r="GS12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2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2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29" s="90" t="str">
        <f aca="false">IF(Tasks[[#This Row],[_IsLeaf]]=1,Tasks[[#This Row],[_Row]],"")</f>
        <v/>
      </c>
      <c r="GW129" s="90" t="str">
        <f aca="false">IFERROR(INDEX(Tasks[UID],SMALL(Tasks[_PickKey],Tasks[[#This Row],[_Row]]))&amp;" "&amp;INDEX(Tasks[Task Name],SMALL(Tasks[_PickKey],Tasks[[#This Row],[_Row]])),"")</f>
        <v/>
      </c>
      <c r="GX129" s="42" t="str">
        <f aca="false">IF(Tasks[[#This Row],[Task Name]]="","",IF(Tasks[[#This Row],[_IsSummary]],NETWORKDAYS.INTL(Tasks[[#This Row],[Start]],Tasks[[#This Row],[Finish]],WorkWeek,Holidays),N(Tasks[[#This Row],[_Days]])))</f>
        <v/>
      </c>
    </row>
    <row r="130" customFormat="false" ht="15" hidden="false" customHeight="false" outlineLevel="0" collapsed="false">
      <c r="A130" s="21" t="str">
        <f aca="false">IF(Tasks[[#This Row],[Task Name]]="","",COUNTA(Tasks[[#Headers],[Task Name]]:Tasks[[#This Row],[Task Name]])-1)</f>
        <v/>
      </c>
      <c r="B130" s="22" t="n">
        <v>138</v>
      </c>
      <c r="C130" s="22"/>
      <c r="D130" s="23"/>
      <c r="E130" s="22"/>
      <c r="F130" s="23"/>
      <c r="G130" s="22"/>
      <c r="H130" s="22"/>
      <c r="I130" s="23"/>
      <c r="J130" s="22"/>
      <c r="K130" s="22"/>
      <c r="L130" s="23"/>
      <c r="M130" s="22"/>
      <c r="N130" s="22"/>
      <c r="O130" s="23"/>
      <c r="P130" s="22"/>
      <c r="Q130" s="22"/>
      <c r="R130" s="23"/>
      <c r="S130" s="23"/>
      <c r="T130" s="83"/>
      <c r="U130" s="23"/>
      <c r="V130" s="83"/>
      <c r="W130" s="23"/>
      <c r="X130" s="83"/>
      <c r="Y130" s="23"/>
      <c r="Z130" s="83"/>
      <c r="AA130" s="23"/>
      <c r="AB130" s="23"/>
      <c r="AC130" s="7"/>
      <c r="AD130" s="7"/>
      <c r="AE130" s="62" t="str">
        <f aca="false">IF(Tasks[[#This Row],[Task Name]]="","",IF(Tasks[[#This Row],[_IsSummary]],MIN(INDEX(Tasks[_ShownFcstStart],Tasks[[#This Row],[_Row]]+1):INDEX(Tasks[_ShownFcstStart],Tasks[[#This Row],[_Row]]+Tasks[[#This Row],[_Descendants]])),Tasks[[#This Row],[_ShownFcstStart]]))</f>
        <v/>
      </c>
      <c r="AF130" s="62" t="str">
        <f aca="false">IF(Tasks[[#This Row],[Task Name]]="","",IF(Tasks[[#This Row],[_IsSummary]],MAX(INDEX(Tasks[_ShownFcstFinish],Tasks[[#This Row],[_Row]]+1):INDEX(Tasks[_ShownFcstFinish],Tasks[[#This Row],[_Row]]+Tasks[[#This Row],[_Descendants]])),Tasks[[#This Row],[_ShownFcstFinish]]))</f>
        <v/>
      </c>
      <c r="AG130" s="21" t="str">
        <f aca="false">""</f>
        <v/>
      </c>
      <c r="AH130" s="23"/>
      <c r="AI13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0" s="7"/>
      <c r="AK130" s="22"/>
      <c r="AL130" s="23"/>
      <c r="AM130" s="7"/>
      <c r="AN130" s="46" t="str">
        <f aca="false">IF(Tasks[[#This Row],[Task Name]]="","",IF(Tasks[[#This Row],[Finish]]&gt;=Tasks[[#This Row],[Planned Finish]],NETWORKDAYS.INTL(Tasks[[#This Row],[Planned Finish]],Tasks[[#This Row],[Finish]],WorkWeek,Holidays)-1,1-NETWORKDAYS.INTL(Tasks[[#This Row],[Finish]],Tasks[[#This Row],[Planned Finish]],WorkWeek,Holidays)))</f>
        <v/>
      </c>
      <c r="AO130" s="21" t="str">
        <f aca="false">IF(Tasks[[#This Row],[Task Name]]="","",IF(Tasks[[#This Row],[Progress]]&gt;=1,"Complete",IF(OR(N(Tasks[[#This Row],[Actual Start]])&gt;0,Tasks[[#This Row],[Progress]]&gt;0),IF(Tasks[[#This Row],[Finish Var]]&gt;0,"Behind","In Progress"),IF(Tasks[[#This Row],[Planned Start]]&lt;StatusDate,"Late Start","Not Started"))))</f>
        <v/>
      </c>
      <c r="AP130" s="21" t="str">
        <f aca="false">IF(Tasks[[#This Row],[Task Name]]="","",IF(IF(Tasks[[#This Row],[_IsSummary]],COUNTIF(INDEX(Tasks[_LeafCritical],Tasks[[#This Row],[_Row]]+1):INDEX(Tasks[_LeafCritical],Tasks[[#This Row],[_Row]]+Tasks[[#This Row],[_Descendants]]),TRUE())&gt;0,Tasks[[#This Row],[_LeafCritical]]),"Yes",""))</f>
        <v/>
      </c>
      <c r="AQ130" s="62" t="str">
        <f aca="false">IF(Tasks[[#This Row],[Task Name]]="","",IF(N(Tasks[[#This Row],[Baseline Start]])&gt;0,Tasks[[#This Row],[Baseline Start]],Tasks[[#This Row],[_CalcStart]]))</f>
        <v/>
      </c>
      <c r="AR130" s="62" t="str">
        <f aca="false">IF(Tasks[[#This Row],[Task Name]]="","",IF(N(Tasks[[#This Row],[Baseline Finish]])&gt;0,Tasks[[#This Row],[Baseline Finish]],Tasks[[#This Row],[_CalcFinish]]))</f>
        <v/>
      </c>
      <c r="AS130" s="46" t="str">
        <f aca="false">IF(Tasks[[#This Row],[Task Name]]="","",IF(Tasks[[#This Row],[Start]]&gt;=Tasks[[#This Row],[Planned Start]],NETWORKDAYS.INTL(Tasks[[#This Row],[Planned Start]],Tasks[[#This Row],[Start]],WorkWeek,Holidays)-1,1-NETWORKDAYS.INTL(Tasks[[#This Row],[Start]],Tasks[[#This Row],[Planned Start]],WorkWeek,Holidays)))</f>
        <v/>
      </c>
      <c r="AT130" s="62" t="str">
        <f aca="false">IF(Tasks[[#This Row],[Task Name]]="","",IF(Tasks[[#This Row],[_IsSummary]],MIN(INDEX(Tasks[_LeafLateStart],Tasks[[#This Row],[_Row]]+1):INDEX(Tasks[_LeafLateStart],Tasks[[#This Row],[_Row]]+Tasks[[#This Row],[_Descendants]])),Tasks[[#This Row],[_LeafLateStart]]))</f>
        <v/>
      </c>
      <c r="AU130" s="62" t="str">
        <f aca="false">IF(Tasks[[#This Row],[Task Name]]="","",IF(Tasks[[#This Row],[_IsSummary]],MAX(INDEX(Tasks[_LeafLateFinish],Tasks[[#This Row],[_Row]]+1):INDEX(Tasks[_LeafLateFinish],Tasks[[#This Row],[_Row]]+Tasks[[#This Row],[_Descendants]])),Tasks[[#This Row],[_LeafLateFinish]]))</f>
        <v/>
      </c>
      <c r="AV130" s="46" t="str">
        <f aca="false">IF(Tasks[[#This Row],[Task Name]]="","",IF(Tasks[[#This Row],[_IsSummary]],MIN(INDEX(Tasks[_LeafTotalSlack],Tasks[[#This Row],[_Row]]+1):INDEX(Tasks[_LeafTotalSlack],Tasks[[#This Row],[_Row]]+Tasks[[#This Row],[_Descendants]])),Tasks[[#This Row],[_LeafTotalSlack]]))</f>
        <v/>
      </c>
      <c r="AW13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4"/>
      <c r="BA13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t="str">
        <f aca="false">IF(Tasks[[#This Row],[Task Name]]="","",IF(Tasks[[#This Row],[_Level]]&lt;=OutlineShowLevel,"Yes","No"))</f>
        <v/>
      </c>
      <c r="BE130" s="85" t="str">
        <f aca="false">IF(Tasks[[#This Row],[Task Name]]="","",IF(Tasks[[#This Row],[_IsSummary]],SUM(INDEX(Tasks[_LeafTotalWork],Tasks[[#This Row],[_Row]]+1):INDEX(Tasks[_LeafTotalWork],Tasks[[#This Row],[_Row]]+Tasks[[#This Row],[_Descendants]])),Tasks[[#This Row],[_LeafTotalWork]]))</f>
        <v/>
      </c>
      <c r="BF130" s="23"/>
      <c r="BG13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t="str">
        <f aca="false">""</f>
        <v/>
      </c>
      <c r="BI130" s="86"/>
      <c r="BJ130" s="22"/>
      <c r="BK130" s="46" t="str">
        <f aca="false">IF(OR(Tasks[[#This Row],[Task Name]]="",Tasks[[#This Row],[Baseline Duration]]=""),"",Tasks[[#This Row],[_SpanDays]]-N(Tasks[[#This Row],[Baseline Duration]]))</f>
        <v/>
      </c>
      <c r="BL130" s="85" t="str">
        <f aca="false">IF(OR(Tasks[[#This Row],[Task Name]]="",Tasks[[#This Row],[Baseline Work]]=""),"",Tasks[[#This Row],[Work]]-N(Tasks[[#This Row],[Baseline Work]]))</f>
        <v/>
      </c>
      <c r="BM130" s="62" t="str">
        <f aca="false">IF(Tasks[[#This Row],[Task Name]]="","",IF(OR(TakeBaseline="Yes",N(Tasks[[#This Row],[Baseline Start]])=0),Tasks[[#This Row],[Start]],Tasks[[#This Row],[Baseline Start]]))</f>
        <v/>
      </c>
      <c r="BN130" s="62" t="str">
        <f aca="false">IF(Tasks[[#This Row],[Task Name]]="","",IF(OR(TakeBaseline="Yes",N(Tasks[[#This Row],[Baseline Finish]])=0),Tasks[[#This Row],[Finish]],Tasks[[#This Row],[Baseline Finish]]))</f>
        <v/>
      </c>
      <c r="BO130" s="21" t="str">
        <f aca="false">IF(Tasks[[#This Row],[Task Name]]="","",IF(OR(TakeBaseline="Yes",N(Tasks[[#This Row],[Baseline Duration]])=0),Tasks[[#This Row],[_SpanDays]],Tasks[[#This Row],[Baseline Duration]]))</f>
        <v/>
      </c>
      <c r="BP130" s="85" t="str">
        <f aca="false">IF(Tasks[[#This Row],[Task Name]]="","",IF(OR(TakeBaseline="Yes",N(Tasks[[#This Row],[Baseline Work]])=0),Tasks[[#This Row],[Work]],Tasks[[#This Row],[Baseline Work]]))</f>
        <v/>
      </c>
      <c r="BQ130" s="7"/>
      <c r="BR130" s="7"/>
      <c r="BS130" s="22"/>
      <c r="BT130" s="87"/>
      <c r="BU130" s="42" t="str">
        <f aca="false">IF(Tasks[[#This Row],[Task Name]]="","",MAX(1,N(Tasks[[#This Row],[Level]])))</f>
        <v/>
      </c>
      <c r="BV130" s="42" t="n">
        <f aca="false">ROW()-ROW(Tasks[[#Headers],[ID]])</f>
        <v>125</v>
      </c>
      <c r="BW130" s="42" t="n">
        <f aca="false">IF(OR(Tasks[[#This Row],[Task Name]]="",Tasks[[#This Row],[_Level]]&lt;=1),0,IFERROR(LOOKUP(2,1/(Tasks[[#Headers],[_Level]]:Tasks[[#This Row],[_Level]]=Tasks[[#This Row],[_Level]]-1),ROW(Tasks[[#Headers],[_Level]]:Tasks[[#This Row],[_Level]])),0))</f>
        <v>0</v>
      </c>
      <c r="BX130" s="42" t="n">
        <f aca="false">IFERROR(N(INDEX(Tasks[_Level],Tasks[[#This Row],[_Row]]+1)),0)</f>
        <v>0</v>
      </c>
      <c r="BY130" s="88" t="b">
        <f aca="false">AND(Tasks[[#This Row],[Task Name]]&lt;&gt;"",Tasks[[#This Row],[_NextLevel]]&gt;Tasks[[#This Row],[_Level]])</f>
        <v>0</v>
      </c>
      <c r="BZ130" s="42" t="n">
        <f aca="false">IF(Tasks[[#This Row],[_IsSummary]],COUNTIF(Tasks[WBS],Tasks[[#This Row],[WBS]]&amp;".*"),0)</f>
        <v>0</v>
      </c>
      <c r="CA130" s="42" t="n">
        <f aca="false">IF(AND(Tasks[[#This Row],[Task Name]]&lt;&gt;"",NOT(Tasks[[#This Row],[_IsSummary]])),1,0)</f>
        <v>0</v>
      </c>
      <c r="CB130" s="42" t="n">
        <f aca="false">IF(N(Tasks[[#This Row],[_Pred1UID]])=0,0,IFERROR(MATCH(Tasks[[#This Row],[_Pred1UID]],Tasks[UID],0),-1))</f>
        <v>0</v>
      </c>
      <c r="CC130" s="42" t="n">
        <f aca="false">IF(N(Tasks[[#This Row],[_Pred2UID]])=0,0,IFERROR(MATCH(Tasks[[#This Row],[_Pred2UID]],Tasks[UID],0),-1))</f>
        <v>0</v>
      </c>
      <c r="CD130" s="42" t="n">
        <f aca="false">IF(N(Tasks[[#This Row],[_Pred3UID]])=0,0,IFERROR(MATCH(Tasks[[#This Row],[_Pred3UID]],Tasks[UID],0),-1))</f>
        <v>0</v>
      </c>
      <c r="CE130" s="42" t="n">
        <f aca="false">IF(N(Tasks[[#This Row],[_Pred4UID]])=0,0,IFERROR(MATCH(Tasks[[#This Row],[_Pred4UID]],Tasks[UID],0),-1))</f>
        <v>0</v>
      </c>
      <c r="CF13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0" s="89" t="n">
        <f aca="false">IF(OR(Tasks[[#This Row],[_ConstraintCode]]=2,Tasks[[#This Row],[_ConstraintCode]]=3,Tasks[[#This Row],[_ConstraintCode]]=4,Tasks[[#This Row],[_ConstraintCode]]=6),Tasks[[#This Row],[_ConstraintStart]],0)</f>
        <v>0</v>
      </c>
      <c r="CI130" s="89" t="n">
        <f aca="false">IF(OR(Tasks[[#This Row],[_ConstraintCode]]=2,Tasks[[#This Row],[_ConstraintCode]]=3,Tasks[[#This Row],[_ConstraintCode]]=5,Tasks[[#This Row],[_ConstraintCode]]=7),Tasks[[#This Row],[_ConstraintStart]],2958465)</f>
        <v>2958465</v>
      </c>
      <c r="CJ13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0" s="89" t="str">
        <f aca="false">IF(NOT(Tasks[[#This Row],[_IsLeaf]]=1),"",IF(N(Tasks[[#This Row],[_Days]])&lt;=0,Tasks[[#This Row],[_LeafCalcStart]],WORKDAY.INTL(Tasks[[#This Row],[_LeafCalcStart]],Tasks[[#This Row],[_Days]]-1,WorkWeek,Holidays)))</f>
        <v/>
      </c>
      <c r="CL13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0" s="42" t="str">
        <f aca="false">IF(Tasks[[#This Row],[_Predecessors]]="","",TRIM(MID(SUBSTITUTE(SUBSTITUTE(SUBSTITUTE(UPPER(Tasks[[#This Row],[_Predecessors]]),";",",")," ",""),",",REPT(" ",99)),1,99)))</f>
        <v/>
      </c>
      <c r="CO130" s="42" t="str">
        <f aca="false">IF(Tasks[[#This Row],[_Pred1Text]]="","",IFERROR(VALUE(LEFT(Tasks[[#This Row],[_Pred1Text]],MIN(FIND("F",Tasks[[#This Row],[_Pred1Text]]&amp;"F"),FIND("S",Tasks[[#This Row],[_Pred1Text]]&amp;"S"),FIND("+",Tasks[[#This Row],[_Pred1Text]]&amp;"+"),FIND("-",Tasks[[#This Row],[_Pred1Text]]&amp;"-"))-1)),""))</f>
        <v/>
      </c>
      <c r="CP13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0" s="42" t="str">
        <f aca="false">IF(Tasks[[#This Row],[_Pred1Text]]="","",TRIM(MID(SUBSTITUTE(SUBSTITUTE(SUBSTITUTE(UPPER(Tasks[[#This Row],[_Predecessors]]),";",",")," ",""),",",REPT(" ",99)),100,99)))</f>
        <v/>
      </c>
      <c r="CS130" s="42" t="str">
        <f aca="false">IF(Tasks[[#This Row],[_Pred2Text]]="","",IFERROR(VALUE(LEFT(Tasks[[#This Row],[_Pred2Text]],MIN(FIND("F",Tasks[[#This Row],[_Pred2Text]]&amp;"F"),FIND("S",Tasks[[#This Row],[_Pred2Text]]&amp;"S"),FIND("+",Tasks[[#This Row],[_Pred2Text]]&amp;"+"),FIND("-",Tasks[[#This Row],[_Pred2Text]]&amp;"-"))-1)),""))</f>
        <v/>
      </c>
      <c r="CT13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0" s="42" t="str">
        <f aca="false">IF(Tasks[[#This Row],[_Pred2Text]]="","",TRIM(MID(SUBSTITUTE(SUBSTITUTE(SUBSTITUTE(UPPER(Tasks[[#This Row],[_Predecessors]]),";",",")," ",""),",",REPT(" ",99)),199,99)))</f>
        <v/>
      </c>
      <c r="CW130" s="42" t="str">
        <f aca="false">IF(Tasks[[#This Row],[_Pred3Text]]="","",IFERROR(VALUE(LEFT(Tasks[[#This Row],[_Pred3Text]],MIN(FIND("F",Tasks[[#This Row],[_Pred3Text]]&amp;"F"),FIND("S",Tasks[[#This Row],[_Pred3Text]]&amp;"S"),FIND("+",Tasks[[#This Row],[_Pred3Text]]&amp;"+"),FIND("-",Tasks[[#This Row],[_Pred3Text]]&amp;"-"))-1)),""))</f>
        <v/>
      </c>
      <c r="CX13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0" s="42" t="str">
        <f aca="false">IF(Tasks[[#This Row],[_Pred3Text]]="","",TRIM(MID(SUBSTITUTE(SUBSTITUTE(SUBSTITUTE(UPPER(Tasks[[#This Row],[_Predecessors]]),";",",")," ",""),",",REPT(" ",99)),298,99)))</f>
        <v/>
      </c>
      <c r="DA130" s="42" t="str">
        <f aca="false">IF(Tasks[[#This Row],[_Pred4Text]]="","",IFERROR(VALUE(LEFT(Tasks[[#This Row],[_Pred4Text]],MIN(FIND("F",Tasks[[#This Row],[_Pred4Text]]&amp;"F"),FIND("S",Tasks[[#This Row],[_Pred4Text]]&amp;"S"),FIND("+",Tasks[[#This Row],[_Pred4Text]]&amp;"+"),FIND("-",Tasks[[#This Row],[_Pred4Text]]&amp;"-"))-1)),""))</f>
        <v/>
      </c>
      <c r="DB13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0" s="42" t="str">
        <f aca="false">IF(OR(Tasks[[#This Row],[Task Name]]="",Tasks[[#This Row],[_Resources]]=""),"",TRIM(MID(SUBSTITUTE(Tasks[[#This Row],[_Resources]],",",REPT(" ",99)),1,99)))</f>
        <v/>
      </c>
      <c r="DE130" s="42" t="str">
        <f aca="false">IF(Tasks[[#This Row],[_Res1Text]]="","",TRIM(MID(SUBSTITUTE(Tasks[[#This Row],[_Resources]],",",REPT(" ",99)),100,99)))</f>
        <v/>
      </c>
      <c r="DF130" s="42" t="str">
        <f aca="false">IF(Tasks[[#This Row],[_Res2Text]]="","",TRIM(MID(SUBSTITUTE(Tasks[[#This Row],[_Resources]],",",REPT(" ",99)),199,99)))</f>
        <v/>
      </c>
      <c r="DG130" s="42" t="str">
        <f aca="false">IF(Tasks[[#This Row],[_Res3Text]]="","",TRIM(MID(SUBSTITUTE(Tasks[[#This Row],[_Resources]],",",REPT(" ",99)),298,99)))</f>
        <v/>
      </c>
      <c r="DH130" s="42" t="n">
        <f aca="false">IF(Tasks[[#This Row],[_Res1Text]]="",0,IFERROR(MATCH(TRIM(LEFT(Tasks[[#This Row],[_Res1Text]],FIND("[",Tasks[[#This Row],[_Res1Text]]&amp;"[")-1)),res_Name,0),IFERROR(MATCH(TRIM(LEFT(Tasks[[#This Row],[_Res1Text]],FIND("[",Tasks[[#This Row],[_Res1Text]]&amp;"[")-1)),res_Initials,0),0)))</f>
        <v>0</v>
      </c>
      <c r="DI130" s="42" t="n">
        <f aca="false">IF(Tasks[[#This Row],[_Res2Text]]="",0,IFERROR(MATCH(TRIM(LEFT(Tasks[[#This Row],[_Res2Text]],FIND("[",Tasks[[#This Row],[_Res2Text]]&amp;"[")-1)),res_Name,0),IFERROR(MATCH(TRIM(LEFT(Tasks[[#This Row],[_Res2Text]],FIND("[",Tasks[[#This Row],[_Res2Text]]&amp;"[")-1)),res_Initials,0),0)))</f>
        <v>0</v>
      </c>
      <c r="DJ130" s="42" t="n">
        <f aca="false">IF(Tasks[[#This Row],[_Res3Text]]="",0,IFERROR(MATCH(TRIM(LEFT(Tasks[[#This Row],[_Res3Text]],FIND("[",Tasks[[#This Row],[_Res3Text]]&amp;"[")-1)),res_Name,0),IFERROR(MATCH(TRIM(LEFT(Tasks[[#This Row],[_Res3Text]],FIND("[",Tasks[[#This Row],[_Res3Text]]&amp;"[")-1)),res_Initials,0),0)))</f>
        <v>0</v>
      </c>
      <c r="DK130" s="42" t="n">
        <f aca="false">IF(Tasks[[#This Row],[_Res4Text]]="",0,IFERROR(MATCH(TRIM(LEFT(Tasks[[#This Row],[_Res4Text]],FIND("[",Tasks[[#This Row],[_Res4Text]]&amp;"[")-1)),res_Name,0),IFERROR(MATCH(TRIM(LEFT(Tasks[[#This Row],[_Res4Text]],FIND("[",Tasks[[#This Row],[_Res4Text]]&amp;"[")-1)),res_Initials,0),0)))</f>
        <v>0</v>
      </c>
      <c r="DL130" s="42" t="str">
        <f aca="false">IF(Tasks[[#This Row],[_Res1Text]]="","",IF(Tasks[[#This Row],[_Res1Row]]&gt;0,INDEX(res_Name,Tasks[[#This Row],[_Res1Row]]),TRIM(LEFT(Tasks[[#This Row],[_Res1Text]],FIND("[",Tasks[[#This Row],[_Res1Text]]&amp;"[")-1))))</f>
        <v/>
      </c>
      <c r="DM13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0" s="42" t="n">
        <f aca="false">IF(NOT(Tasks[[#This Row],[_IsLeaf]]=1),0,(Tasks[[#This Row],[_Resource1]]&lt;&gt;"")+(Tasks[[#This Row],[_Res2]]&lt;&gt;"")+(Tasks[[#This Row],[_Res3]]&lt;&gt;"")+(Tasks[[#This Row],[_Res4]]&lt;&gt;""))</f>
        <v>0</v>
      </c>
      <c r="DO130" s="42" t="str">
        <f aca="false">IF(Tasks[[#This Row],[_Res2Text]]="","",IF(Tasks[[#This Row],[_Res2Row]]&gt;0,INDEX(res_Name,Tasks[[#This Row],[_Res2Row]]),TRIM(LEFT(Tasks[[#This Row],[_Res2Text]],FIND("[",Tasks[[#This Row],[_Res2Text]]&amp;"[")-1))))</f>
        <v/>
      </c>
      <c r="DP13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0" s="42" t="n">
        <f aca="false">IF(OR(NOT(Tasks[[#This Row],[_IsLeaf]]=1),Tasks[[#This Row],[_Res2Row]]=0),0,N(Tasks[[#This Row],[_Days]])*HoursPerDay*IF(Tasks[[#This Row],[_Res2Units]]="",DefaultUnits,Tasks[[#This Row],[_Res2Units]]))</f>
        <v>0</v>
      </c>
      <c r="DR130" s="42" t="n">
        <f aca="false">IF(AND(AND(Tasks[[#This Row],[_IsLeaf]]=1,Tasks[[#This Row],[_LeafTotalWork]]&gt;0),Tasks[[#This Row],[_Res2Work]]&gt;0),Tasks[[#This Row],[_Res2Work]]/(Tasks[[#This Row],[_FinishWorkday]]-Tasks[[#This Row],[_StartWorkday]]+1),0)</f>
        <v>0</v>
      </c>
      <c r="DS130" s="42" t="n">
        <f aca="false">Tasks[[#This Row],[_Res2WorkPerWD]]*MAX(0,Tasks[[#This Row],[_StartWorkday]]-1)</f>
        <v>0</v>
      </c>
      <c r="DT130" s="42" t="n">
        <f aca="false">Tasks[[#This Row],[_Res2Work]]*Tasks[[#This Row],[_LeafProgress]]</f>
        <v>0</v>
      </c>
      <c r="DU130" s="42" t="str">
        <f aca="false">IF(Tasks[[#This Row],[_Res3Text]]="","",IF(Tasks[[#This Row],[_Res3Row]]&gt;0,INDEX(res_Name,Tasks[[#This Row],[_Res3Row]]),TRIM(LEFT(Tasks[[#This Row],[_Res3Text]],FIND("[",Tasks[[#This Row],[_Res3Text]]&amp;"[")-1))))</f>
        <v/>
      </c>
      <c r="DV13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0" s="42" t="n">
        <f aca="false">IF(OR(NOT(Tasks[[#This Row],[_IsLeaf]]=1),Tasks[[#This Row],[_Res3Row]]=0),0,N(Tasks[[#This Row],[_Days]])*HoursPerDay*IF(Tasks[[#This Row],[_Res3Units]]="",DefaultUnits,Tasks[[#This Row],[_Res3Units]]))</f>
        <v>0</v>
      </c>
      <c r="DX130" s="42" t="n">
        <f aca="false">IF(AND(AND(Tasks[[#This Row],[_IsLeaf]]=1,Tasks[[#This Row],[_LeafTotalWork]]&gt;0),Tasks[[#This Row],[_Res3Work]]&gt;0),Tasks[[#This Row],[_Res3Work]]/(Tasks[[#This Row],[_FinishWorkday]]-Tasks[[#This Row],[_StartWorkday]]+1),0)</f>
        <v>0</v>
      </c>
      <c r="DY130" s="42" t="n">
        <f aca="false">Tasks[[#This Row],[_Res3WorkPerWD]]*MAX(0,Tasks[[#This Row],[_StartWorkday]]-1)</f>
        <v>0</v>
      </c>
      <c r="DZ130" s="42" t="n">
        <f aca="false">Tasks[[#This Row],[_Res3Work]]*Tasks[[#This Row],[_LeafProgress]]</f>
        <v>0</v>
      </c>
      <c r="EA130" s="42" t="str">
        <f aca="false">IF(Tasks[[#This Row],[_Res4Text]]="","",IF(Tasks[[#This Row],[_Res4Row]]&gt;0,INDEX(res_Name,Tasks[[#This Row],[_Res4Row]]),TRIM(LEFT(Tasks[[#This Row],[_Res4Text]],FIND("[",Tasks[[#This Row],[_Res4Text]]&amp;"[")-1))))</f>
        <v/>
      </c>
      <c r="EB13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0" s="42" t="n">
        <f aca="false">IF(OR(NOT(Tasks[[#This Row],[_IsLeaf]]=1),Tasks[[#This Row],[_Res4Row]]=0),0,N(Tasks[[#This Row],[_Days]])*HoursPerDay*IF(Tasks[[#This Row],[_Res4Units]]="",DefaultUnits,Tasks[[#This Row],[_Res4Units]]))</f>
        <v>0</v>
      </c>
      <c r="ED130" s="42" t="n">
        <f aca="false">IF(AND(AND(Tasks[[#This Row],[_IsLeaf]]=1,Tasks[[#This Row],[_LeafTotalWork]]&gt;0),Tasks[[#This Row],[_Res4Work]]&gt;0),Tasks[[#This Row],[_Res4Work]]/(Tasks[[#This Row],[_FinishWorkday]]-Tasks[[#This Row],[_StartWorkday]]+1),0)</f>
        <v>0</v>
      </c>
      <c r="EE130" s="42" t="n">
        <f aca="false">Tasks[[#This Row],[_Res4WorkPerWD]]*MAX(0,Tasks[[#This Row],[_StartWorkday]]-1)</f>
        <v>0</v>
      </c>
      <c r="EF130" s="42" t="n">
        <f aca="false">Tasks[[#This Row],[_Res4Work]]*Tasks[[#This Row],[_LeafProgress]]</f>
        <v>0</v>
      </c>
      <c r="EG130" s="42" t="n">
        <f aca="false">IF(ISNUMBER(Tasks[[#This Row],[% Complete]]),Tasks[[#This Row],[% Complete]],IF(Tasks[[#This Row],[Stage]]="",0,IFERROR(INDEX(stg_Pct,MATCH(Tasks[[#This Row],[Stage]],stg_Name,0)),0)))</f>
        <v>0</v>
      </c>
      <c r="EH130" s="42" t="n">
        <f aca="false">IF(NOT(Tasks[[#This Row],[_IsLeaf]]=1),0,IF(N(Tasks[[#This Row],[Actual Finish]])&gt;0,1,MIN(1,Tasks[[#This Row],[_Pct]])))</f>
        <v>0</v>
      </c>
      <c r="EI130" s="42" t="n">
        <f aca="false">IF(OR(NOT(Tasks[[#This Row],[_IsLeaf]]=1),Tasks[[#This Row],[_Res1Row]]=0),0,N(Tasks[[#This Row],[_Days]])*HoursPerDay*IF(Tasks[[#This Row],[_Units1]]="",DefaultUnits,Tasks[[#This Row],[_Units1]]))</f>
        <v>0</v>
      </c>
      <c r="EJ130" s="42" t="n">
        <f aca="false">Tasks[[#This Row],[_LeafWork]]+Tasks[[#This Row],[_Res2Work]]+Tasks[[#This Row],[_Res3Work]]+Tasks[[#This Row],[_Res4Work]]</f>
        <v>0</v>
      </c>
      <c r="EK13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0" s="42" t="n">
        <f aca="false">IF(NOT(Tasks[[#This Row],[_IsLeaf]]=1),0,MAX(_xlfn.MAXIFS(Tasks[_Row],Tasks[_Pred1UID],Tasks[[#This Row],[UID]]),_xlfn.MAXIFS(Tasks[_Row],Tasks[_Pred2UID],Tasks[[#This Row],[UID]]),_xlfn.MAXIFS(Tasks[_Row],Tasks[_Pred3UID],Tasks[[#This Row],[UID]]),_xlfn.MAXIFS(Tasks[_Row],Tasks[_Pred4UID],Tasks[[#This Row],[UID]])))</f>
        <v>0</v>
      </c>
      <c r="ET13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0" s="89" t="str">
        <f aca="false">IF(NOT(Tasks[[#This Row],[_IsLeaf]]=1),"",IF(N(Tasks[[#This Row],[_Days]])&lt;=0,Tasks[[#This Row],[_LeafLateFinish]],WORKDAY.INTL(Tasks[[#This Row],[_LeafLateFinish]],-(Tasks[[#This Row],[_Days]]-1),WorkWeek,Holidays)))</f>
        <v/>
      </c>
      <c r="EW13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0" s="88" t="b">
        <f aca="false">AND(Tasks[[#This Row],[_IsLeaf]]=1,Tasks[[#This Row],[_LeafProgress]]&lt;1,N(Tasks[[#This Row],[_LeafTotalSlack]])&lt;=CriticalSlackDays)</f>
        <v>0</v>
      </c>
      <c r="EY130" s="42" t="n">
        <f aca="false">IF(AND(Tasks[[#This Row],[_IsLeaf]]=1,Tasks[[#This Row],[_ConstraintCode]]=1,Tasks[[#This Row],[Mode]]&lt;&gt;"Manual",N(Tasks[[#This Row],[Actual Start]])=0),MAX(0,N(Tasks[[#This Row],[Free Slack]])),0)</f>
        <v>0</v>
      </c>
      <c r="EZ130" s="89" t="str">
        <f aca="false">IF(NOT(Tasks[[#This Row],[_IsLeaf]]=1),"",IF(Tasks[[#This Row],[_AlapShift]]=0,Tasks[[#This Row],[_LeafCalcStart]],WORKDAY.INTL(Tasks[[#This Row],[_LeafCalcStart]],Tasks[[#This Row],[_AlapShift]],WorkWeek,Holidays)))</f>
        <v/>
      </c>
      <c r="FA130" s="89" t="str">
        <f aca="false">IF(NOT(Tasks[[#This Row],[_IsLeaf]]=1),"",IF(Tasks[[#This Row],[_AlapShift]]=0,Tasks[[#This Row],[_LeafCalcFinish]],WORKDAY.INTL(Tasks[[#This Row],[_LeafCalcFinish]],Tasks[[#This Row],[_AlapShift]],WorkWeek,Holidays)))</f>
        <v/>
      </c>
      <c r="FB130" s="89" t="str">
        <f aca="false">IF(NOT(Tasks[[#This Row],[_IsLeaf]]=1),"",IF(Tasks[[#This Row],[_AlapShift]]=0,Tasks[[#This Row],[_LeafFcstStart]],WORKDAY.INTL(Tasks[[#This Row],[_LeafFcstStart]],Tasks[[#This Row],[_AlapShift]],WorkWeek,Holidays)))</f>
        <v/>
      </c>
      <c r="FC130" s="89" t="str">
        <f aca="false">IF(NOT(Tasks[[#This Row],[_IsLeaf]]=1),"",IF(Tasks[[#This Row],[_AlapShift]]=0,Tasks[[#This Row],[_LeafFcstFinish]],WORKDAY.INTL(Tasks[[#This Row],[_LeafFcstFinish]],Tasks[[#This Row],[_AlapShift]],WorkWeek,Holidays)))</f>
        <v/>
      </c>
      <c r="FD130" s="89" t="str">
        <f aca="false">IF(Tasks[[#This Row],[Task Name]]="","",IF(Tasks[[#This Row],[_IsSummary]],MIN(INDEX(Tasks[_ShownCalcStart],Tasks[[#This Row],[_Row]]+1):INDEX(Tasks[_ShownCalcStart],Tasks[[#This Row],[_Row]]+Tasks[[#This Row],[_Descendants]])),Tasks[[#This Row],[_ShownCalcStart]]))</f>
        <v/>
      </c>
      <c r="FE130" s="89" t="str">
        <f aca="false">IF(Tasks[[#This Row],[Task Name]]="","",IF(Tasks[[#This Row],[_IsSummary]],MAX(INDEX(Tasks[_ShownCalcFinish],Tasks[[#This Row],[_Row]]+1):INDEX(Tasks[_ShownCalcFinish],Tasks[[#This Row],[_Row]]+Tasks[[#This Row],[_Descendants]])),Tasks[[#This Row],[_ShownCalcFinish]]))</f>
        <v/>
      </c>
      <c r="FF13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0" s="42" t="n">
        <f aca="false">IF(AND(Tasks[[#This Row],[_IsLeaf]]=1,Tasks[[#This Row],[_LeafTotalWork]]&gt;0),NETWORKDAYS.INTL(ProjectStart,Tasks[[#This Row],[_ShownFcstStart]],WorkWeek,Holidays),0)</f>
        <v>0</v>
      </c>
      <c r="FS130" s="42" t="n">
        <f aca="false">IF(AND(Tasks[[#This Row],[_IsLeaf]]=1,Tasks[[#This Row],[_LeafTotalWork]]&gt;0),MAX(Tasks[[#This Row],[_StartWorkday]],NETWORKDAYS.INTL(ProjectStart,Tasks[[#This Row],[_ShownFcstFinish]],WorkWeek,Holidays)),0)</f>
        <v>0</v>
      </c>
      <c r="FT130" s="42" t="n">
        <f aca="false">IF(AND(Tasks[[#This Row],[_IsLeaf]]=1,Tasks[[#This Row],[_LeafTotalWork]]&gt;0),Tasks[[#This Row],[_LeafWork]]/(Tasks[[#This Row],[_FinishWorkday]]-Tasks[[#This Row],[_StartWorkday]]+1),0)</f>
        <v>0</v>
      </c>
      <c r="FU130" s="42" t="n">
        <f aca="false">Tasks[[#This Row],[_WorkPerWorkday]]*(Tasks[[#This Row],[_StartWorkday]]-1)</f>
        <v>-0</v>
      </c>
      <c r="FV130" s="42" t="n">
        <f aca="false">IF(Tasks[[#This Row],[_IsLeaf]]=1,MAX(N(Tasks[[#This Row],[_Days]]),0.1),0)</f>
        <v>0</v>
      </c>
      <c r="FW130" s="42" t="n">
        <f aca="false">Tasks[[#This Row],[_WeightDur]]*Tasks[[#This Row],[_LeafProgress]]</f>
        <v>0</v>
      </c>
      <c r="FX130" s="42" t="n">
        <f aca="false">Tasks[[#This Row],[_WeightDur]]*Tasks[[#This Row],[_PlannedPct]]</f>
        <v>0</v>
      </c>
      <c r="FY13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0" s="42" t="str">
        <f aca="false">IF(AND(Tasks[[#This Row],[_IsLeaf]]=1,N(Tasks[[#This Row],[_Days]])=0,Tasks[[#This Row],[_LeafProgress]]&lt;1),Tasks[[#This Row],[_ShownFcstFinish]]+Tasks[[#This Row],[_Row]]/100000,"")</f>
        <v/>
      </c>
      <c r="GA13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0" s="42" t="str">
        <f aca="false">IF(Tasks[[#This Row],[Task Name]]="","",LEFT(Tasks[[#This Row],[WBS]],FIND(".",Tasks[[#This Row],[WBS]]&amp;".")-1))</f>
        <v/>
      </c>
      <c r="GC130" s="42" t="str">
        <f aca="false">IF(AND(Tasks[[#This Row],[Task Name]]&lt;&gt;"",Tasks[[#This Row],[_Level]]=1),Tasks[[#This Row],[_Row]],"")</f>
        <v/>
      </c>
      <c r="GD130" s="42" t="str">
        <f aca="false">IF(AND(Tasks[[#This Row],[_IsLeaf]]=1,N(Tasks[[#This Row],[_Days]])=0),Tasks[[#This Row],[Planned Finish]]+Tasks[[#This Row],[_Row]]/100000,"")</f>
        <v/>
      </c>
      <c r="GE130" s="42" t="str">
        <f aca="false">IF(AND(Tasks[[#This Row],[_IsLeaf]]=1,Tasks[[#This Row],[_LeafProgress]]&lt;1,OR(N(Tasks[[#This Row],[Finish Var]])&gt;0,Tasks[[#This Row],[Status]]="Late Start")),MAX(0,Tasks[[#This Row],[Finish Var]])+1-Tasks[[#This Row],[_Row]]/1000000,"")</f>
        <v/>
      </c>
      <c r="GF130" s="42" t="str">
        <f aca="false">IF(AND(Tasks[[#This Row],[_IsLeaf]]=1,N(Tasks[[#This Row],[Actual Start]])=0,Tasks[[#This Row],[_ShownFcstStart]]&gt;=StatusDate,Tasks[[#This Row],[_ShownFcstStart]]&lt;=LookaheadEnd),Tasks[[#This Row],[_ShownFcstStart]]+Tasks[[#This Row],[_Row]]/100000,"")</f>
        <v/>
      </c>
      <c r="GG130" s="42" t="str">
        <f aca="false">IF(AND(Tasks[[#This Row],[_IsLeaf]]=1,Tasks[[#This Row],[_LeafProgress]]&lt;1,Tasks[[#This Row],[_ShownFcstFinish]]&gt;=StatusDate,Tasks[[#This Row],[_ShownFcstFinish]]&lt;=LookaheadEnd),Tasks[[#This Row],[_ShownFcstFinish]]+Tasks[[#This Row],[_Row]]/100000,"")</f>
        <v/>
      </c>
      <c r="GH130" s="42" t="str">
        <f aca="false">IF(Tasks[[#This Row],[_LeafCritical]],Tasks[[#This Row],[_ShownFcstStart]]+Tasks[[#This Row],[_Row]]/100000,"")</f>
        <v/>
      </c>
      <c r="GI130" s="42" t="n">
        <f aca="false">Tasks[[#This Row],[_LeafWork]]*Tasks[[#This Row],[_LeafProgress]]</f>
        <v>0</v>
      </c>
      <c r="GJ130" s="89" t="str">
        <f aca="false">IF(AND(Tasks[[#This Row],[_IsLeaf]]=1,Tasks[[#This Row],[_LeafProgress]]&gt;=1),IF(N(Tasks[[#This Row],[Actual Finish]])&gt;0,Tasks[[#This Row],[Actual Finish]],Tasks[[#This Row],[_ShownFcstFinish]]),"")</f>
        <v/>
      </c>
      <c r="GK130" s="42" t="n">
        <f aca="false">IF(Tasks[[#This Row],[_IsLeaf]]=1,N(Tasks[[#This Row],[Story Points]]),0)</f>
        <v>0</v>
      </c>
      <c r="GL130" s="42" t="str">
        <f aca="false">""</f>
        <v/>
      </c>
      <c r="GM130" s="88" t="b">
        <f aca="false">IF(Tasks[[#This Row],[Task Name]]="",FALSE(),AND(Tasks[[#This Row],[_IsLeaf]]=1,N(Tasks[[#This Row],[_Days]])=0))</f>
        <v>0</v>
      </c>
      <c r="GN130" s="89" t="n">
        <f aca="false">IF(Tasks[[#This Row],[Task Name]]="",0,IF(AND(Tasks[[#This Row],[_IsLeaf]]=1,NOT(Tasks[[#This Row],[_IsMilestone]]),N(Tasks[[#This Row],[Progress]])&gt;0),Tasks[[#This Row],[Start]],0))</f>
        <v>0</v>
      </c>
      <c r="GO130" s="89" t="n">
        <f aca="false">IF(Tasks[[#This Row],[_DoneFrom]]=0,0,IF(Tasks[[#This Row],[Progress]]&gt;=1,Tasks[[#This Row],[Finish]],MAX(Tasks[[#This Row],[_DoneFrom]],Tasks[[#This Row],[Start]]+ROUND((Tasks[[#This Row],[Finish]]-Tasks[[#This Row],[Start]]+1)*Tasks[[#This Row],[Progress]],0)-1)))</f>
        <v>0</v>
      </c>
      <c r="GP130" s="89" t="n">
        <f aca="false">IF(Tasks[[#This Row],[Task Name]]="",0,IF(OR(NOT(Tasks[[#This Row],[_IsLeaf]]=1),Tasks[[#This Row],[_IsMilestone]],N(Tasks[[#This Row],[Progress]])&gt;=1),0,IF(Tasks[[#This Row],[_DoneTo]]&gt;0,Tasks[[#This Row],[_DoneTo]]+1,Tasks[[#This Row],[Start]])))</f>
        <v>0</v>
      </c>
      <c r="GQ130" s="89" t="n">
        <f aca="false">IF(Tasks[[#This Row],[_RemFrom]]=0,0,Tasks[[#This Row],[Finish]])</f>
        <v>0</v>
      </c>
      <c r="GR130" s="88" t="b">
        <f aca="false">IF(Tasks[[#This Row],[Task Name]]="",FALSE(),OR(NOT(BaselineSet),N(Tasks[[#This Row],[Baseline Start]])&gt;0))</f>
        <v>0</v>
      </c>
      <c r="GS13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0" s="90" t="str">
        <f aca="false">IF(Tasks[[#This Row],[_IsLeaf]]=1,Tasks[[#This Row],[_Row]],"")</f>
        <v/>
      </c>
      <c r="GW130" s="90" t="str">
        <f aca="false">IFERROR(INDEX(Tasks[UID],SMALL(Tasks[_PickKey],Tasks[[#This Row],[_Row]]))&amp;" "&amp;INDEX(Tasks[Task Name],SMALL(Tasks[_PickKey],Tasks[[#This Row],[_Row]])),"")</f>
        <v/>
      </c>
      <c r="GX130" s="42" t="str">
        <f aca="false">IF(Tasks[[#This Row],[Task Name]]="","",IF(Tasks[[#This Row],[_IsSummary]],NETWORKDAYS.INTL(Tasks[[#This Row],[Start]],Tasks[[#This Row],[Finish]],WorkWeek,Holidays),N(Tasks[[#This Row],[_Days]])))</f>
        <v/>
      </c>
    </row>
    <row r="131" customFormat="false" ht="15" hidden="false" customHeight="false" outlineLevel="0" collapsed="false">
      <c r="A131" s="21" t="str">
        <f aca="false">IF(Tasks[[#This Row],[Task Name]]="","",COUNTA(Tasks[[#Headers],[Task Name]]:Tasks[[#This Row],[Task Name]])-1)</f>
        <v/>
      </c>
      <c r="B131" s="22" t="n">
        <v>139</v>
      </c>
      <c r="C131" s="22"/>
      <c r="D131" s="23"/>
      <c r="E131" s="22"/>
      <c r="F131" s="23"/>
      <c r="G131" s="22"/>
      <c r="H131" s="22"/>
      <c r="I131" s="23"/>
      <c r="J131" s="22"/>
      <c r="K131" s="22"/>
      <c r="L131" s="23"/>
      <c r="M131" s="22"/>
      <c r="N131" s="22"/>
      <c r="O131" s="23"/>
      <c r="P131" s="22"/>
      <c r="Q131" s="22"/>
      <c r="R131" s="23"/>
      <c r="S131" s="23"/>
      <c r="T131" s="83"/>
      <c r="U131" s="23"/>
      <c r="V131" s="83"/>
      <c r="W131" s="23"/>
      <c r="X131" s="83"/>
      <c r="Y131" s="23"/>
      <c r="Z131" s="83"/>
      <c r="AA131" s="23"/>
      <c r="AB131" s="23"/>
      <c r="AC131" s="7"/>
      <c r="AD131" s="7"/>
      <c r="AE131" s="62" t="str">
        <f aca="false">IF(Tasks[[#This Row],[Task Name]]="","",IF(Tasks[[#This Row],[_IsSummary]],MIN(INDEX(Tasks[_ShownFcstStart],Tasks[[#This Row],[_Row]]+1):INDEX(Tasks[_ShownFcstStart],Tasks[[#This Row],[_Row]]+Tasks[[#This Row],[_Descendants]])),Tasks[[#This Row],[_ShownFcstStart]]))</f>
        <v/>
      </c>
      <c r="AF131" s="62" t="str">
        <f aca="false">IF(Tasks[[#This Row],[Task Name]]="","",IF(Tasks[[#This Row],[_IsSummary]],MAX(INDEX(Tasks[_ShownFcstFinish],Tasks[[#This Row],[_Row]]+1):INDEX(Tasks[_ShownFcstFinish],Tasks[[#This Row],[_Row]]+Tasks[[#This Row],[_Descendants]])),Tasks[[#This Row],[_ShownFcstFinish]]))</f>
        <v/>
      </c>
      <c r="AG131" s="21" t="str">
        <f aca="false">""</f>
        <v/>
      </c>
      <c r="AH131" s="23"/>
      <c r="AI13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1" s="7"/>
      <c r="AK131" s="22"/>
      <c r="AL131" s="23"/>
      <c r="AM131" s="7"/>
      <c r="AN131" s="46" t="str">
        <f aca="false">IF(Tasks[[#This Row],[Task Name]]="","",IF(Tasks[[#This Row],[Finish]]&gt;=Tasks[[#This Row],[Planned Finish]],NETWORKDAYS.INTL(Tasks[[#This Row],[Planned Finish]],Tasks[[#This Row],[Finish]],WorkWeek,Holidays)-1,1-NETWORKDAYS.INTL(Tasks[[#This Row],[Finish]],Tasks[[#This Row],[Planned Finish]],WorkWeek,Holidays)))</f>
        <v/>
      </c>
      <c r="AO131" s="21" t="str">
        <f aca="false">IF(Tasks[[#This Row],[Task Name]]="","",IF(Tasks[[#This Row],[Progress]]&gt;=1,"Complete",IF(OR(N(Tasks[[#This Row],[Actual Start]])&gt;0,Tasks[[#This Row],[Progress]]&gt;0),IF(Tasks[[#This Row],[Finish Var]]&gt;0,"Behind","In Progress"),IF(Tasks[[#This Row],[Planned Start]]&lt;StatusDate,"Late Start","Not Started"))))</f>
        <v/>
      </c>
      <c r="AP131" s="21" t="str">
        <f aca="false">IF(Tasks[[#This Row],[Task Name]]="","",IF(IF(Tasks[[#This Row],[_IsSummary]],COUNTIF(INDEX(Tasks[_LeafCritical],Tasks[[#This Row],[_Row]]+1):INDEX(Tasks[_LeafCritical],Tasks[[#This Row],[_Row]]+Tasks[[#This Row],[_Descendants]]),TRUE())&gt;0,Tasks[[#This Row],[_LeafCritical]]),"Yes",""))</f>
        <v/>
      </c>
      <c r="AQ131" s="62" t="str">
        <f aca="false">IF(Tasks[[#This Row],[Task Name]]="","",IF(N(Tasks[[#This Row],[Baseline Start]])&gt;0,Tasks[[#This Row],[Baseline Start]],Tasks[[#This Row],[_CalcStart]]))</f>
        <v/>
      </c>
      <c r="AR131" s="62" t="str">
        <f aca="false">IF(Tasks[[#This Row],[Task Name]]="","",IF(N(Tasks[[#This Row],[Baseline Finish]])&gt;0,Tasks[[#This Row],[Baseline Finish]],Tasks[[#This Row],[_CalcFinish]]))</f>
        <v/>
      </c>
      <c r="AS131" s="46" t="str">
        <f aca="false">IF(Tasks[[#This Row],[Task Name]]="","",IF(Tasks[[#This Row],[Start]]&gt;=Tasks[[#This Row],[Planned Start]],NETWORKDAYS.INTL(Tasks[[#This Row],[Planned Start]],Tasks[[#This Row],[Start]],WorkWeek,Holidays)-1,1-NETWORKDAYS.INTL(Tasks[[#This Row],[Start]],Tasks[[#This Row],[Planned Start]],WorkWeek,Holidays)))</f>
        <v/>
      </c>
      <c r="AT131" s="62" t="str">
        <f aca="false">IF(Tasks[[#This Row],[Task Name]]="","",IF(Tasks[[#This Row],[_IsSummary]],MIN(INDEX(Tasks[_LeafLateStart],Tasks[[#This Row],[_Row]]+1):INDEX(Tasks[_LeafLateStart],Tasks[[#This Row],[_Row]]+Tasks[[#This Row],[_Descendants]])),Tasks[[#This Row],[_LeafLateStart]]))</f>
        <v/>
      </c>
      <c r="AU131" s="62" t="str">
        <f aca="false">IF(Tasks[[#This Row],[Task Name]]="","",IF(Tasks[[#This Row],[_IsSummary]],MAX(INDEX(Tasks[_LeafLateFinish],Tasks[[#This Row],[_Row]]+1):INDEX(Tasks[_LeafLateFinish],Tasks[[#This Row],[_Row]]+Tasks[[#This Row],[_Descendants]])),Tasks[[#This Row],[_LeafLateFinish]]))</f>
        <v/>
      </c>
      <c r="AV131" s="46" t="str">
        <f aca="false">IF(Tasks[[#This Row],[Task Name]]="","",IF(Tasks[[#This Row],[_IsSummary]],MIN(INDEX(Tasks[_LeafTotalSlack],Tasks[[#This Row],[_Row]]+1):INDEX(Tasks[_LeafTotalSlack],Tasks[[#This Row],[_Row]]+Tasks[[#This Row],[_Descendants]])),Tasks[[#This Row],[_LeafTotalSlack]]))</f>
        <v/>
      </c>
      <c r="AW13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4"/>
      <c r="BA13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t="str">
        <f aca="false">IF(Tasks[[#This Row],[Task Name]]="","",IF(Tasks[[#This Row],[_Level]]&lt;=OutlineShowLevel,"Yes","No"))</f>
        <v/>
      </c>
      <c r="BE131" s="85" t="str">
        <f aca="false">IF(Tasks[[#This Row],[Task Name]]="","",IF(Tasks[[#This Row],[_IsSummary]],SUM(INDEX(Tasks[_LeafTotalWork],Tasks[[#This Row],[_Row]]+1):INDEX(Tasks[_LeafTotalWork],Tasks[[#This Row],[_Row]]+Tasks[[#This Row],[_Descendants]])),Tasks[[#This Row],[_LeafTotalWork]]))</f>
        <v/>
      </c>
      <c r="BF131" s="23"/>
      <c r="BG13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t="str">
        <f aca="false">""</f>
        <v/>
      </c>
      <c r="BI131" s="86"/>
      <c r="BJ131" s="22"/>
      <c r="BK131" s="46" t="str">
        <f aca="false">IF(OR(Tasks[[#This Row],[Task Name]]="",Tasks[[#This Row],[Baseline Duration]]=""),"",Tasks[[#This Row],[_SpanDays]]-N(Tasks[[#This Row],[Baseline Duration]]))</f>
        <v/>
      </c>
      <c r="BL131" s="85" t="str">
        <f aca="false">IF(OR(Tasks[[#This Row],[Task Name]]="",Tasks[[#This Row],[Baseline Work]]=""),"",Tasks[[#This Row],[Work]]-N(Tasks[[#This Row],[Baseline Work]]))</f>
        <v/>
      </c>
      <c r="BM131" s="62" t="str">
        <f aca="false">IF(Tasks[[#This Row],[Task Name]]="","",IF(OR(TakeBaseline="Yes",N(Tasks[[#This Row],[Baseline Start]])=0),Tasks[[#This Row],[Start]],Tasks[[#This Row],[Baseline Start]]))</f>
        <v/>
      </c>
      <c r="BN131" s="62" t="str">
        <f aca="false">IF(Tasks[[#This Row],[Task Name]]="","",IF(OR(TakeBaseline="Yes",N(Tasks[[#This Row],[Baseline Finish]])=0),Tasks[[#This Row],[Finish]],Tasks[[#This Row],[Baseline Finish]]))</f>
        <v/>
      </c>
      <c r="BO131" s="21" t="str">
        <f aca="false">IF(Tasks[[#This Row],[Task Name]]="","",IF(OR(TakeBaseline="Yes",N(Tasks[[#This Row],[Baseline Duration]])=0),Tasks[[#This Row],[_SpanDays]],Tasks[[#This Row],[Baseline Duration]]))</f>
        <v/>
      </c>
      <c r="BP131" s="85" t="str">
        <f aca="false">IF(Tasks[[#This Row],[Task Name]]="","",IF(OR(TakeBaseline="Yes",N(Tasks[[#This Row],[Baseline Work]])=0),Tasks[[#This Row],[Work]],Tasks[[#This Row],[Baseline Work]]))</f>
        <v/>
      </c>
      <c r="BQ131" s="7"/>
      <c r="BR131" s="7"/>
      <c r="BS131" s="22"/>
      <c r="BT131" s="87"/>
      <c r="BU131" s="42" t="str">
        <f aca="false">IF(Tasks[[#This Row],[Task Name]]="","",MAX(1,N(Tasks[[#This Row],[Level]])))</f>
        <v/>
      </c>
      <c r="BV131" s="42" t="n">
        <f aca="false">ROW()-ROW(Tasks[[#Headers],[ID]])</f>
        <v>126</v>
      </c>
      <c r="BW131" s="42" t="n">
        <f aca="false">IF(OR(Tasks[[#This Row],[Task Name]]="",Tasks[[#This Row],[_Level]]&lt;=1),0,IFERROR(LOOKUP(2,1/(Tasks[[#Headers],[_Level]]:Tasks[[#This Row],[_Level]]=Tasks[[#This Row],[_Level]]-1),ROW(Tasks[[#Headers],[_Level]]:Tasks[[#This Row],[_Level]])),0))</f>
        <v>0</v>
      </c>
      <c r="BX131" s="42" t="n">
        <f aca="false">IFERROR(N(INDEX(Tasks[_Level],Tasks[[#This Row],[_Row]]+1)),0)</f>
        <v>0</v>
      </c>
      <c r="BY131" s="88" t="b">
        <f aca="false">AND(Tasks[[#This Row],[Task Name]]&lt;&gt;"",Tasks[[#This Row],[_NextLevel]]&gt;Tasks[[#This Row],[_Level]])</f>
        <v>0</v>
      </c>
      <c r="BZ131" s="42" t="n">
        <f aca="false">IF(Tasks[[#This Row],[_IsSummary]],COUNTIF(Tasks[WBS],Tasks[[#This Row],[WBS]]&amp;".*"),0)</f>
        <v>0</v>
      </c>
      <c r="CA131" s="42" t="n">
        <f aca="false">IF(AND(Tasks[[#This Row],[Task Name]]&lt;&gt;"",NOT(Tasks[[#This Row],[_IsSummary]])),1,0)</f>
        <v>0</v>
      </c>
      <c r="CB131" s="42" t="n">
        <f aca="false">IF(N(Tasks[[#This Row],[_Pred1UID]])=0,0,IFERROR(MATCH(Tasks[[#This Row],[_Pred1UID]],Tasks[UID],0),-1))</f>
        <v>0</v>
      </c>
      <c r="CC131" s="42" t="n">
        <f aca="false">IF(N(Tasks[[#This Row],[_Pred2UID]])=0,0,IFERROR(MATCH(Tasks[[#This Row],[_Pred2UID]],Tasks[UID],0),-1))</f>
        <v>0</v>
      </c>
      <c r="CD131" s="42" t="n">
        <f aca="false">IF(N(Tasks[[#This Row],[_Pred3UID]])=0,0,IFERROR(MATCH(Tasks[[#This Row],[_Pred3UID]],Tasks[UID],0),-1))</f>
        <v>0</v>
      </c>
      <c r="CE131" s="42" t="n">
        <f aca="false">IF(N(Tasks[[#This Row],[_Pred4UID]])=0,0,IFERROR(MATCH(Tasks[[#This Row],[_Pred4UID]],Tasks[UID],0),-1))</f>
        <v>0</v>
      </c>
      <c r="CF13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1" s="89" t="n">
        <f aca="false">IF(OR(Tasks[[#This Row],[_ConstraintCode]]=2,Tasks[[#This Row],[_ConstraintCode]]=3,Tasks[[#This Row],[_ConstraintCode]]=4,Tasks[[#This Row],[_ConstraintCode]]=6),Tasks[[#This Row],[_ConstraintStart]],0)</f>
        <v>0</v>
      </c>
      <c r="CI131" s="89" t="n">
        <f aca="false">IF(OR(Tasks[[#This Row],[_ConstraintCode]]=2,Tasks[[#This Row],[_ConstraintCode]]=3,Tasks[[#This Row],[_ConstraintCode]]=5,Tasks[[#This Row],[_ConstraintCode]]=7),Tasks[[#This Row],[_ConstraintStart]],2958465)</f>
        <v>2958465</v>
      </c>
      <c r="CJ13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1" s="89" t="str">
        <f aca="false">IF(NOT(Tasks[[#This Row],[_IsLeaf]]=1),"",IF(N(Tasks[[#This Row],[_Days]])&lt;=0,Tasks[[#This Row],[_LeafCalcStart]],WORKDAY.INTL(Tasks[[#This Row],[_LeafCalcStart]],Tasks[[#This Row],[_Days]]-1,WorkWeek,Holidays)))</f>
        <v/>
      </c>
      <c r="CL13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1" s="42" t="str">
        <f aca="false">IF(Tasks[[#This Row],[_Predecessors]]="","",TRIM(MID(SUBSTITUTE(SUBSTITUTE(SUBSTITUTE(UPPER(Tasks[[#This Row],[_Predecessors]]),";",",")," ",""),",",REPT(" ",99)),1,99)))</f>
        <v/>
      </c>
      <c r="CO131" s="42" t="str">
        <f aca="false">IF(Tasks[[#This Row],[_Pred1Text]]="","",IFERROR(VALUE(LEFT(Tasks[[#This Row],[_Pred1Text]],MIN(FIND("F",Tasks[[#This Row],[_Pred1Text]]&amp;"F"),FIND("S",Tasks[[#This Row],[_Pred1Text]]&amp;"S"),FIND("+",Tasks[[#This Row],[_Pred1Text]]&amp;"+"),FIND("-",Tasks[[#This Row],[_Pred1Text]]&amp;"-"))-1)),""))</f>
        <v/>
      </c>
      <c r="CP13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1" s="42" t="str">
        <f aca="false">IF(Tasks[[#This Row],[_Pred1Text]]="","",TRIM(MID(SUBSTITUTE(SUBSTITUTE(SUBSTITUTE(UPPER(Tasks[[#This Row],[_Predecessors]]),";",",")," ",""),",",REPT(" ",99)),100,99)))</f>
        <v/>
      </c>
      <c r="CS131" s="42" t="str">
        <f aca="false">IF(Tasks[[#This Row],[_Pred2Text]]="","",IFERROR(VALUE(LEFT(Tasks[[#This Row],[_Pred2Text]],MIN(FIND("F",Tasks[[#This Row],[_Pred2Text]]&amp;"F"),FIND("S",Tasks[[#This Row],[_Pred2Text]]&amp;"S"),FIND("+",Tasks[[#This Row],[_Pred2Text]]&amp;"+"),FIND("-",Tasks[[#This Row],[_Pred2Text]]&amp;"-"))-1)),""))</f>
        <v/>
      </c>
      <c r="CT13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1" s="42" t="str">
        <f aca="false">IF(Tasks[[#This Row],[_Pred2Text]]="","",TRIM(MID(SUBSTITUTE(SUBSTITUTE(SUBSTITUTE(UPPER(Tasks[[#This Row],[_Predecessors]]),";",",")," ",""),",",REPT(" ",99)),199,99)))</f>
        <v/>
      </c>
      <c r="CW131" s="42" t="str">
        <f aca="false">IF(Tasks[[#This Row],[_Pred3Text]]="","",IFERROR(VALUE(LEFT(Tasks[[#This Row],[_Pred3Text]],MIN(FIND("F",Tasks[[#This Row],[_Pred3Text]]&amp;"F"),FIND("S",Tasks[[#This Row],[_Pred3Text]]&amp;"S"),FIND("+",Tasks[[#This Row],[_Pred3Text]]&amp;"+"),FIND("-",Tasks[[#This Row],[_Pred3Text]]&amp;"-"))-1)),""))</f>
        <v/>
      </c>
      <c r="CX13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1" s="42" t="str">
        <f aca="false">IF(Tasks[[#This Row],[_Pred3Text]]="","",TRIM(MID(SUBSTITUTE(SUBSTITUTE(SUBSTITUTE(UPPER(Tasks[[#This Row],[_Predecessors]]),";",",")," ",""),",",REPT(" ",99)),298,99)))</f>
        <v/>
      </c>
      <c r="DA131" s="42" t="str">
        <f aca="false">IF(Tasks[[#This Row],[_Pred4Text]]="","",IFERROR(VALUE(LEFT(Tasks[[#This Row],[_Pred4Text]],MIN(FIND("F",Tasks[[#This Row],[_Pred4Text]]&amp;"F"),FIND("S",Tasks[[#This Row],[_Pred4Text]]&amp;"S"),FIND("+",Tasks[[#This Row],[_Pred4Text]]&amp;"+"),FIND("-",Tasks[[#This Row],[_Pred4Text]]&amp;"-"))-1)),""))</f>
        <v/>
      </c>
      <c r="DB13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1" s="42" t="str">
        <f aca="false">IF(OR(Tasks[[#This Row],[Task Name]]="",Tasks[[#This Row],[_Resources]]=""),"",TRIM(MID(SUBSTITUTE(Tasks[[#This Row],[_Resources]],",",REPT(" ",99)),1,99)))</f>
        <v/>
      </c>
      <c r="DE131" s="42" t="str">
        <f aca="false">IF(Tasks[[#This Row],[_Res1Text]]="","",TRIM(MID(SUBSTITUTE(Tasks[[#This Row],[_Resources]],",",REPT(" ",99)),100,99)))</f>
        <v/>
      </c>
      <c r="DF131" s="42" t="str">
        <f aca="false">IF(Tasks[[#This Row],[_Res2Text]]="","",TRIM(MID(SUBSTITUTE(Tasks[[#This Row],[_Resources]],",",REPT(" ",99)),199,99)))</f>
        <v/>
      </c>
      <c r="DG131" s="42" t="str">
        <f aca="false">IF(Tasks[[#This Row],[_Res3Text]]="","",TRIM(MID(SUBSTITUTE(Tasks[[#This Row],[_Resources]],",",REPT(" ",99)),298,99)))</f>
        <v/>
      </c>
      <c r="DH131" s="42" t="n">
        <f aca="false">IF(Tasks[[#This Row],[_Res1Text]]="",0,IFERROR(MATCH(TRIM(LEFT(Tasks[[#This Row],[_Res1Text]],FIND("[",Tasks[[#This Row],[_Res1Text]]&amp;"[")-1)),res_Name,0),IFERROR(MATCH(TRIM(LEFT(Tasks[[#This Row],[_Res1Text]],FIND("[",Tasks[[#This Row],[_Res1Text]]&amp;"[")-1)),res_Initials,0),0)))</f>
        <v>0</v>
      </c>
      <c r="DI131" s="42" t="n">
        <f aca="false">IF(Tasks[[#This Row],[_Res2Text]]="",0,IFERROR(MATCH(TRIM(LEFT(Tasks[[#This Row],[_Res2Text]],FIND("[",Tasks[[#This Row],[_Res2Text]]&amp;"[")-1)),res_Name,0),IFERROR(MATCH(TRIM(LEFT(Tasks[[#This Row],[_Res2Text]],FIND("[",Tasks[[#This Row],[_Res2Text]]&amp;"[")-1)),res_Initials,0),0)))</f>
        <v>0</v>
      </c>
      <c r="DJ131" s="42" t="n">
        <f aca="false">IF(Tasks[[#This Row],[_Res3Text]]="",0,IFERROR(MATCH(TRIM(LEFT(Tasks[[#This Row],[_Res3Text]],FIND("[",Tasks[[#This Row],[_Res3Text]]&amp;"[")-1)),res_Name,0),IFERROR(MATCH(TRIM(LEFT(Tasks[[#This Row],[_Res3Text]],FIND("[",Tasks[[#This Row],[_Res3Text]]&amp;"[")-1)),res_Initials,0),0)))</f>
        <v>0</v>
      </c>
      <c r="DK131" s="42" t="n">
        <f aca="false">IF(Tasks[[#This Row],[_Res4Text]]="",0,IFERROR(MATCH(TRIM(LEFT(Tasks[[#This Row],[_Res4Text]],FIND("[",Tasks[[#This Row],[_Res4Text]]&amp;"[")-1)),res_Name,0),IFERROR(MATCH(TRIM(LEFT(Tasks[[#This Row],[_Res4Text]],FIND("[",Tasks[[#This Row],[_Res4Text]]&amp;"[")-1)),res_Initials,0),0)))</f>
        <v>0</v>
      </c>
      <c r="DL131" s="42" t="str">
        <f aca="false">IF(Tasks[[#This Row],[_Res1Text]]="","",IF(Tasks[[#This Row],[_Res1Row]]&gt;0,INDEX(res_Name,Tasks[[#This Row],[_Res1Row]]),TRIM(LEFT(Tasks[[#This Row],[_Res1Text]],FIND("[",Tasks[[#This Row],[_Res1Text]]&amp;"[")-1))))</f>
        <v/>
      </c>
      <c r="DM13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1" s="42" t="n">
        <f aca="false">IF(NOT(Tasks[[#This Row],[_IsLeaf]]=1),0,(Tasks[[#This Row],[_Resource1]]&lt;&gt;"")+(Tasks[[#This Row],[_Res2]]&lt;&gt;"")+(Tasks[[#This Row],[_Res3]]&lt;&gt;"")+(Tasks[[#This Row],[_Res4]]&lt;&gt;""))</f>
        <v>0</v>
      </c>
      <c r="DO131" s="42" t="str">
        <f aca="false">IF(Tasks[[#This Row],[_Res2Text]]="","",IF(Tasks[[#This Row],[_Res2Row]]&gt;0,INDEX(res_Name,Tasks[[#This Row],[_Res2Row]]),TRIM(LEFT(Tasks[[#This Row],[_Res2Text]],FIND("[",Tasks[[#This Row],[_Res2Text]]&amp;"[")-1))))</f>
        <v/>
      </c>
      <c r="DP13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1" s="42" t="n">
        <f aca="false">IF(OR(NOT(Tasks[[#This Row],[_IsLeaf]]=1),Tasks[[#This Row],[_Res2Row]]=0),0,N(Tasks[[#This Row],[_Days]])*HoursPerDay*IF(Tasks[[#This Row],[_Res2Units]]="",DefaultUnits,Tasks[[#This Row],[_Res2Units]]))</f>
        <v>0</v>
      </c>
      <c r="DR131" s="42" t="n">
        <f aca="false">IF(AND(AND(Tasks[[#This Row],[_IsLeaf]]=1,Tasks[[#This Row],[_LeafTotalWork]]&gt;0),Tasks[[#This Row],[_Res2Work]]&gt;0),Tasks[[#This Row],[_Res2Work]]/(Tasks[[#This Row],[_FinishWorkday]]-Tasks[[#This Row],[_StartWorkday]]+1),0)</f>
        <v>0</v>
      </c>
      <c r="DS131" s="42" t="n">
        <f aca="false">Tasks[[#This Row],[_Res2WorkPerWD]]*MAX(0,Tasks[[#This Row],[_StartWorkday]]-1)</f>
        <v>0</v>
      </c>
      <c r="DT131" s="42" t="n">
        <f aca="false">Tasks[[#This Row],[_Res2Work]]*Tasks[[#This Row],[_LeafProgress]]</f>
        <v>0</v>
      </c>
      <c r="DU131" s="42" t="str">
        <f aca="false">IF(Tasks[[#This Row],[_Res3Text]]="","",IF(Tasks[[#This Row],[_Res3Row]]&gt;0,INDEX(res_Name,Tasks[[#This Row],[_Res3Row]]),TRIM(LEFT(Tasks[[#This Row],[_Res3Text]],FIND("[",Tasks[[#This Row],[_Res3Text]]&amp;"[")-1))))</f>
        <v/>
      </c>
      <c r="DV13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1" s="42" t="n">
        <f aca="false">IF(OR(NOT(Tasks[[#This Row],[_IsLeaf]]=1),Tasks[[#This Row],[_Res3Row]]=0),0,N(Tasks[[#This Row],[_Days]])*HoursPerDay*IF(Tasks[[#This Row],[_Res3Units]]="",DefaultUnits,Tasks[[#This Row],[_Res3Units]]))</f>
        <v>0</v>
      </c>
      <c r="DX131" s="42" t="n">
        <f aca="false">IF(AND(AND(Tasks[[#This Row],[_IsLeaf]]=1,Tasks[[#This Row],[_LeafTotalWork]]&gt;0),Tasks[[#This Row],[_Res3Work]]&gt;0),Tasks[[#This Row],[_Res3Work]]/(Tasks[[#This Row],[_FinishWorkday]]-Tasks[[#This Row],[_StartWorkday]]+1),0)</f>
        <v>0</v>
      </c>
      <c r="DY131" s="42" t="n">
        <f aca="false">Tasks[[#This Row],[_Res3WorkPerWD]]*MAX(0,Tasks[[#This Row],[_StartWorkday]]-1)</f>
        <v>0</v>
      </c>
      <c r="DZ131" s="42" t="n">
        <f aca="false">Tasks[[#This Row],[_Res3Work]]*Tasks[[#This Row],[_LeafProgress]]</f>
        <v>0</v>
      </c>
      <c r="EA131" s="42" t="str">
        <f aca="false">IF(Tasks[[#This Row],[_Res4Text]]="","",IF(Tasks[[#This Row],[_Res4Row]]&gt;0,INDEX(res_Name,Tasks[[#This Row],[_Res4Row]]),TRIM(LEFT(Tasks[[#This Row],[_Res4Text]],FIND("[",Tasks[[#This Row],[_Res4Text]]&amp;"[")-1))))</f>
        <v/>
      </c>
      <c r="EB13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1" s="42" t="n">
        <f aca="false">IF(OR(NOT(Tasks[[#This Row],[_IsLeaf]]=1),Tasks[[#This Row],[_Res4Row]]=0),0,N(Tasks[[#This Row],[_Days]])*HoursPerDay*IF(Tasks[[#This Row],[_Res4Units]]="",DefaultUnits,Tasks[[#This Row],[_Res4Units]]))</f>
        <v>0</v>
      </c>
      <c r="ED131" s="42" t="n">
        <f aca="false">IF(AND(AND(Tasks[[#This Row],[_IsLeaf]]=1,Tasks[[#This Row],[_LeafTotalWork]]&gt;0),Tasks[[#This Row],[_Res4Work]]&gt;0),Tasks[[#This Row],[_Res4Work]]/(Tasks[[#This Row],[_FinishWorkday]]-Tasks[[#This Row],[_StartWorkday]]+1),0)</f>
        <v>0</v>
      </c>
      <c r="EE131" s="42" t="n">
        <f aca="false">Tasks[[#This Row],[_Res4WorkPerWD]]*MAX(0,Tasks[[#This Row],[_StartWorkday]]-1)</f>
        <v>0</v>
      </c>
      <c r="EF131" s="42" t="n">
        <f aca="false">Tasks[[#This Row],[_Res4Work]]*Tasks[[#This Row],[_LeafProgress]]</f>
        <v>0</v>
      </c>
      <c r="EG131" s="42" t="n">
        <f aca="false">IF(ISNUMBER(Tasks[[#This Row],[% Complete]]),Tasks[[#This Row],[% Complete]],IF(Tasks[[#This Row],[Stage]]="",0,IFERROR(INDEX(stg_Pct,MATCH(Tasks[[#This Row],[Stage]],stg_Name,0)),0)))</f>
        <v>0</v>
      </c>
      <c r="EH131" s="42" t="n">
        <f aca="false">IF(NOT(Tasks[[#This Row],[_IsLeaf]]=1),0,IF(N(Tasks[[#This Row],[Actual Finish]])&gt;0,1,MIN(1,Tasks[[#This Row],[_Pct]])))</f>
        <v>0</v>
      </c>
      <c r="EI131" s="42" t="n">
        <f aca="false">IF(OR(NOT(Tasks[[#This Row],[_IsLeaf]]=1),Tasks[[#This Row],[_Res1Row]]=0),0,N(Tasks[[#This Row],[_Days]])*HoursPerDay*IF(Tasks[[#This Row],[_Units1]]="",DefaultUnits,Tasks[[#This Row],[_Units1]]))</f>
        <v>0</v>
      </c>
      <c r="EJ131" s="42" t="n">
        <f aca="false">Tasks[[#This Row],[_LeafWork]]+Tasks[[#This Row],[_Res2Work]]+Tasks[[#This Row],[_Res3Work]]+Tasks[[#This Row],[_Res4Work]]</f>
        <v>0</v>
      </c>
      <c r="EK13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1" s="42" t="n">
        <f aca="false">IF(NOT(Tasks[[#This Row],[_IsLeaf]]=1),0,MAX(_xlfn.MAXIFS(Tasks[_Row],Tasks[_Pred1UID],Tasks[[#This Row],[UID]]),_xlfn.MAXIFS(Tasks[_Row],Tasks[_Pred2UID],Tasks[[#This Row],[UID]]),_xlfn.MAXIFS(Tasks[_Row],Tasks[_Pred3UID],Tasks[[#This Row],[UID]]),_xlfn.MAXIFS(Tasks[_Row],Tasks[_Pred4UID],Tasks[[#This Row],[UID]])))</f>
        <v>0</v>
      </c>
      <c r="ET13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1" s="89" t="str">
        <f aca="false">IF(NOT(Tasks[[#This Row],[_IsLeaf]]=1),"",IF(N(Tasks[[#This Row],[_Days]])&lt;=0,Tasks[[#This Row],[_LeafLateFinish]],WORKDAY.INTL(Tasks[[#This Row],[_LeafLateFinish]],-(Tasks[[#This Row],[_Days]]-1),WorkWeek,Holidays)))</f>
        <v/>
      </c>
      <c r="EW13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1" s="88" t="b">
        <f aca="false">AND(Tasks[[#This Row],[_IsLeaf]]=1,Tasks[[#This Row],[_LeafProgress]]&lt;1,N(Tasks[[#This Row],[_LeafTotalSlack]])&lt;=CriticalSlackDays)</f>
        <v>0</v>
      </c>
      <c r="EY131" s="42" t="n">
        <f aca="false">IF(AND(Tasks[[#This Row],[_IsLeaf]]=1,Tasks[[#This Row],[_ConstraintCode]]=1,Tasks[[#This Row],[Mode]]&lt;&gt;"Manual",N(Tasks[[#This Row],[Actual Start]])=0),MAX(0,N(Tasks[[#This Row],[Free Slack]])),0)</f>
        <v>0</v>
      </c>
      <c r="EZ131" s="89" t="str">
        <f aca="false">IF(NOT(Tasks[[#This Row],[_IsLeaf]]=1),"",IF(Tasks[[#This Row],[_AlapShift]]=0,Tasks[[#This Row],[_LeafCalcStart]],WORKDAY.INTL(Tasks[[#This Row],[_LeafCalcStart]],Tasks[[#This Row],[_AlapShift]],WorkWeek,Holidays)))</f>
        <v/>
      </c>
      <c r="FA131" s="89" t="str">
        <f aca="false">IF(NOT(Tasks[[#This Row],[_IsLeaf]]=1),"",IF(Tasks[[#This Row],[_AlapShift]]=0,Tasks[[#This Row],[_LeafCalcFinish]],WORKDAY.INTL(Tasks[[#This Row],[_LeafCalcFinish]],Tasks[[#This Row],[_AlapShift]],WorkWeek,Holidays)))</f>
        <v/>
      </c>
      <c r="FB131" s="89" t="str">
        <f aca="false">IF(NOT(Tasks[[#This Row],[_IsLeaf]]=1),"",IF(Tasks[[#This Row],[_AlapShift]]=0,Tasks[[#This Row],[_LeafFcstStart]],WORKDAY.INTL(Tasks[[#This Row],[_LeafFcstStart]],Tasks[[#This Row],[_AlapShift]],WorkWeek,Holidays)))</f>
        <v/>
      </c>
      <c r="FC131" s="89" t="str">
        <f aca="false">IF(NOT(Tasks[[#This Row],[_IsLeaf]]=1),"",IF(Tasks[[#This Row],[_AlapShift]]=0,Tasks[[#This Row],[_LeafFcstFinish]],WORKDAY.INTL(Tasks[[#This Row],[_LeafFcstFinish]],Tasks[[#This Row],[_AlapShift]],WorkWeek,Holidays)))</f>
        <v/>
      </c>
      <c r="FD131" s="89" t="str">
        <f aca="false">IF(Tasks[[#This Row],[Task Name]]="","",IF(Tasks[[#This Row],[_IsSummary]],MIN(INDEX(Tasks[_ShownCalcStart],Tasks[[#This Row],[_Row]]+1):INDEX(Tasks[_ShownCalcStart],Tasks[[#This Row],[_Row]]+Tasks[[#This Row],[_Descendants]])),Tasks[[#This Row],[_ShownCalcStart]]))</f>
        <v/>
      </c>
      <c r="FE131" s="89" t="str">
        <f aca="false">IF(Tasks[[#This Row],[Task Name]]="","",IF(Tasks[[#This Row],[_IsSummary]],MAX(INDEX(Tasks[_ShownCalcFinish],Tasks[[#This Row],[_Row]]+1):INDEX(Tasks[_ShownCalcFinish],Tasks[[#This Row],[_Row]]+Tasks[[#This Row],[_Descendants]])),Tasks[[#This Row],[_ShownCalcFinish]]))</f>
        <v/>
      </c>
      <c r="FF13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1" s="42" t="n">
        <f aca="false">IF(AND(Tasks[[#This Row],[_IsLeaf]]=1,Tasks[[#This Row],[_LeafTotalWork]]&gt;0),NETWORKDAYS.INTL(ProjectStart,Tasks[[#This Row],[_ShownFcstStart]],WorkWeek,Holidays),0)</f>
        <v>0</v>
      </c>
      <c r="FS131" s="42" t="n">
        <f aca="false">IF(AND(Tasks[[#This Row],[_IsLeaf]]=1,Tasks[[#This Row],[_LeafTotalWork]]&gt;0),MAX(Tasks[[#This Row],[_StartWorkday]],NETWORKDAYS.INTL(ProjectStart,Tasks[[#This Row],[_ShownFcstFinish]],WorkWeek,Holidays)),0)</f>
        <v>0</v>
      </c>
      <c r="FT131" s="42" t="n">
        <f aca="false">IF(AND(Tasks[[#This Row],[_IsLeaf]]=1,Tasks[[#This Row],[_LeafTotalWork]]&gt;0),Tasks[[#This Row],[_LeafWork]]/(Tasks[[#This Row],[_FinishWorkday]]-Tasks[[#This Row],[_StartWorkday]]+1),0)</f>
        <v>0</v>
      </c>
      <c r="FU131" s="42" t="n">
        <f aca="false">Tasks[[#This Row],[_WorkPerWorkday]]*(Tasks[[#This Row],[_StartWorkday]]-1)</f>
        <v>-0</v>
      </c>
      <c r="FV131" s="42" t="n">
        <f aca="false">IF(Tasks[[#This Row],[_IsLeaf]]=1,MAX(N(Tasks[[#This Row],[_Days]]),0.1),0)</f>
        <v>0</v>
      </c>
      <c r="FW131" s="42" t="n">
        <f aca="false">Tasks[[#This Row],[_WeightDur]]*Tasks[[#This Row],[_LeafProgress]]</f>
        <v>0</v>
      </c>
      <c r="FX131" s="42" t="n">
        <f aca="false">Tasks[[#This Row],[_WeightDur]]*Tasks[[#This Row],[_PlannedPct]]</f>
        <v>0</v>
      </c>
      <c r="FY13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1" s="42" t="str">
        <f aca="false">IF(AND(Tasks[[#This Row],[_IsLeaf]]=1,N(Tasks[[#This Row],[_Days]])=0,Tasks[[#This Row],[_LeafProgress]]&lt;1),Tasks[[#This Row],[_ShownFcstFinish]]+Tasks[[#This Row],[_Row]]/100000,"")</f>
        <v/>
      </c>
      <c r="GA13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1" s="42" t="str">
        <f aca="false">IF(Tasks[[#This Row],[Task Name]]="","",LEFT(Tasks[[#This Row],[WBS]],FIND(".",Tasks[[#This Row],[WBS]]&amp;".")-1))</f>
        <v/>
      </c>
      <c r="GC131" s="42" t="str">
        <f aca="false">IF(AND(Tasks[[#This Row],[Task Name]]&lt;&gt;"",Tasks[[#This Row],[_Level]]=1),Tasks[[#This Row],[_Row]],"")</f>
        <v/>
      </c>
      <c r="GD131" s="42" t="str">
        <f aca="false">IF(AND(Tasks[[#This Row],[_IsLeaf]]=1,N(Tasks[[#This Row],[_Days]])=0),Tasks[[#This Row],[Planned Finish]]+Tasks[[#This Row],[_Row]]/100000,"")</f>
        <v/>
      </c>
      <c r="GE131" s="42" t="str">
        <f aca="false">IF(AND(Tasks[[#This Row],[_IsLeaf]]=1,Tasks[[#This Row],[_LeafProgress]]&lt;1,OR(N(Tasks[[#This Row],[Finish Var]])&gt;0,Tasks[[#This Row],[Status]]="Late Start")),MAX(0,Tasks[[#This Row],[Finish Var]])+1-Tasks[[#This Row],[_Row]]/1000000,"")</f>
        <v/>
      </c>
      <c r="GF131" s="42" t="str">
        <f aca="false">IF(AND(Tasks[[#This Row],[_IsLeaf]]=1,N(Tasks[[#This Row],[Actual Start]])=0,Tasks[[#This Row],[_ShownFcstStart]]&gt;=StatusDate,Tasks[[#This Row],[_ShownFcstStart]]&lt;=LookaheadEnd),Tasks[[#This Row],[_ShownFcstStart]]+Tasks[[#This Row],[_Row]]/100000,"")</f>
        <v/>
      </c>
      <c r="GG131" s="42" t="str">
        <f aca="false">IF(AND(Tasks[[#This Row],[_IsLeaf]]=1,Tasks[[#This Row],[_LeafProgress]]&lt;1,Tasks[[#This Row],[_ShownFcstFinish]]&gt;=StatusDate,Tasks[[#This Row],[_ShownFcstFinish]]&lt;=LookaheadEnd),Tasks[[#This Row],[_ShownFcstFinish]]+Tasks[[#This Row],[_Row]]/100000,"")</f>
        <v/>
      </c>
      <c r="GH131" s="42" t="str">
        <f aca="false">IF(Tasks[[#This Row],[_LeafCritical]],Tasks[[#This Row],[_ShownFcstStart]]+Tasks[[#This Row],[_Row]]/100000,"")</f>
        <v/>
      </c>
      <c r="GI131" s="42" t="n">
        <f aca="false">Tasks[[#This Row],[_LeafWork]]*Tasks[[#This Row],[_LeafProgress]]</f>
        <v>0</v>
      </c>
      <c r="GJ131" s="89" t="str">
        <f aca="false">IF(AND(Tasks[[#This Row],[_IsLeaf]]=1,Tasks[[#This Row],[_LeafProgress]]&gt;=1),IF(N(Tasks[[#This Row],[Actual Finish]])&gt;0,Tasks[[#This Row],[Actual Finish]],Tasks[[#This Row],[_ShownFcstFinish]]),"")</f>
        <v/>
      </c>
      <c r="GK131" s="42" t="n">
        <f aca="false">IF(Tasks[[#This Row],[_IsLeaf]]=1,N(Tasks[[#This Row],[Story Points]]),0)</f>
        <v>0</v>
      </c>
      <c r="GL131" s="42" t="str">
        <f aca="false">""</f>
        <v/>
      </c>
      <c r="GM131" s="88" t="b">
        <f aca="false">IF(Tasks[[#This Row],[Task Name]]="",FALSE(),AND(Tasks[[#This Row],[_IsLeaf]]=1,N(Tasks[[#This Row],[_Days]])=0))</f>
        <v>0</v>
      </c>
      <c r="GN131" s="89" t="n">
        <f aca="false">IF(Tasks[[#This Row],[Task Name]]="",0,IF(AND(Tasks[[#This Row],[_IsLeaf]]=1,NOT(Tasks[[#This Row],[_IsMilestone]]),N(Tasks[[#This Row],[Progress]])&gt;0),Tasks[[#This Row],[Start]],0))</f>
        <v>0</v>
      </c>
      <c r="GO131" s="89" t="n">
        <f aca="false">IF(Tasks[[#This Row],[_DoneFrom]]=0,0,IF(Tasks[[#This Row],[Progress]]&gt;=1,Tasks[[#This Row],[Finish]],MAX(Tasks[[#This Row],[_DoneFrom]],Tasks[[#This Row],[Start]]+ROUND((Tasks[[#This Row],[Finish]]-Tasks[[#This Row],[Start]]+1)*Tasks[[#This Row],[Progress]],0)-1)))</f>
        <v>0</v>
      </c>
      <c r="GP131" s="89" t="n">
        <f aca="false">IF(Tasks[[#This Row],[Task Name]]="",0,IF(OR(NOT(Tasks[[#This Row],[_IsLeaf]]=1),Tasks[[#This Row],[_IsMilestone]],N(Tasks[[#This Row],[Progress]])&gt;=1),0,IF(Tasks[[#This Row],[_DoneTo]]&gt;0,Tasks[[#This Row],[_DoneTo]]+1,Tasks[[#This Row],[Start]])))</f>
        <v>0</v>
      </c>
      <c r="GQ131" s="89" t="n">
        <f aca="false">IF(Tasks[[#This Row],[_RemFrom]]=0,0,Tasks[[#This Row],[Finish]])</f>
        <v>0</v>
      </c>
      <c r="GR131" s="88" t="b">
        <f aca="false">IF(Tasks[[#This Row],[Task Name]]="",FALSE(),OR(NOT(BaselineSet),N(Tasks[[#This Row],[Baseline Start]])&gt;0))</f>
        <v>0</v>
      </c>
      <c r="GS13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1" s="90" t="str">
        <f aca="false">IF(Tasks[[#This Row],[_IsLeaf]]=1,Tasks[[#This Row],[_Row]],"")</f>
        <v/>
      </c>
      <c r="GW131" s="90" t="str">
        <f aca="false">IFERROR(INDEX(Tasks[UID],SMALL(Tasks[_PickKey],Tasks[[#This Row],[_Row]]))&amp;" "&amp;INDEX(Tasks[Task Name],SMALL(Tasks[_PickKey],Tasks[[#This Row],[_Row]])),"")</f>
        <v/>
      </c>
      <c r="GX131" s="42" t="str">
        <f aca="false">IF(Tasks[[#This Row],[Task Name]]="","",IF(Tasks[[#This Row],[_IsSummary]],NETWORKDAYS.INTL(Tasks[[#This Row],[Start]],Tasks[[#This Row],[Finish]],WorkWeek,Holidays),N(Tasks[[#This Row],[_Days]])))</f>
        <v/>
      </c>
    </row>
    <row r="132" customFormat="false" ht="15" hidden="false" customHeight="false" outlineLevel="0" collapsed="false">
      <c r="A132" s="21" t="str">
        <f aca="false">IF(Tasks[[#This Row],[Task Name]]="","",COUNTA(Tasks[[#Headers],[Task Name]]:Tasks[[#This Row],[Task Name]])-1)</f>
        <v/>
      </c>
      <c r="B132" s="22" t="n">
        <v>140</v>
      </c>
      <c r="C132" s="22"/>
      <c r="D132" s="23"/>
      <c r="E132" s="22"/>
      <c r="F132" s="23"/>
      <c r="G132" s="22"/>
      <c r="H132" s="22"/>
      <c r="I132" s="23"/>
      <c r="J132" s="22"/>
      <c r="K132" s="22"/>
      <c r="L132" s="23"/>
      <c r="M132" s="22"/>
      <c r="N132" s="22"/>
      <c r="O132" s="23"/>
      <c r="P132" s="22"/>
      <c r="Q132" s="22"/>
      <c r="R132" s="23"/>
      <c r="S132" s="23"/>
      <c r="T132" s="83"/>
      <c r="U132" s="23"/>
      <c r="V132" s="83"/>
      <c r="W132" s="23"/>
      <c r="X132" s="83"/>
      <c r="Y132" s="23"/>
      <c r="Z132" s="83"/>
      <c r="AA132" s="23"/>
      <c r="AB132" s="23"/>
      <c r="AC132" s="7"/>
      <c r="AD132" s="7"/>
      <c r="AE132" s="62" t="str">
        <f aca="false">IF(Tasks[[#This Row],[Task Name]]="","",IF(Tasks[[#This Row],[_IsSummary]],MIN(INDEX(Tasks[_ShownFcstStart],Tasks[[#This Row],[_Row]]+1):INDEX(Tasks[_ShownFcstStart],Tasks[[#This Row],[_Row]]+Tasks[[#This Row],[_Descendants]])),Tasks[[#This Row],[_ShownFcstStart]]))</f>
        <v/>
      </c>
      <c r="AF132" s="62" t="str">
        <f aca="false">IF(Tasks[[#This Row],[Task Name]]="","",IF(Tasks[[#This Row],[_IsSummary]],MAX(INDEX(Tasks[_ShownFcstFinish],Tasks[[#This Row],[_Row]]+1):INDEX(Tasks[_ShownFcstFinish],Tasks[[#This Row],[_Row]]+Tasks[[#This Row],[_Descendants]])),Tasks[[#This Row],[_ShownFcstFinish]]))</f>
        <v/>
      </c>
      <c r="AG132" s="21" t="str">
        <f aca="false">""</f>
        <v/>
      </c>
      <c r="AH132" s="23"/>
      <c r="AI13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2" s="7"/>
      <c r="AK132" s="22"/>
      <c r="AL132" s="23"/>
      <c r="AM132" s="7"/>
      <c r="AN132" s="46" t="str">
        <f aca="false">IF(Tasks[[#This Row],[Task Name]]="","",IF(Tasks[[#This Row],[Finish]]&gt;=Tasks[[#This Row],[Planned Finish]],NETWORKDAYS.INTL(Tasks[[#This Row],[Planned Finish]],Tasks[[#This Row],[Finish]],WorkWeek,Holidays)-1,1-NETWORKDAYS.INTL(Tasks[[#This Row],[Finish]],Tasks[[#This Row],[Planned Finish]],WorkWeek,Holidays)))</f>
        <v/>
      </c>
      <c r="AO132" s="21" t="str">
        <f aca="false">IF(Tasks[[#This Row],[Task Name]]="","",IF(Tasks[[#This Row],[Progress]]&gt;=1,"Complete",IF(OR(N(Tasks[[#This Row],[Actual Start]])&gt;0,Tasks[[#This Row],[Progress]]&gt;0),IF(Tasks[[#This Row],[Finish Var]]&gt;0,"Behind","In Progress"),IF(Tasks[[#This Row],[Planned Start]]&lt;StatusDate,"Late Start","Not Started"))))</f>
        <v/>
      </c>
      <c r="AP132" s="21" t="str">
        <f aca="false">IF(Tasks[[#This Row],[Task Name]]="","",IF(IF(Tasks[[#This Row],[_IsSummary]],COUNTIF(INDEX(Tasks[_LeafCritical],Tasks[[#This Row],[_Row]]+1):INDEX(Tasks[_LeafCritical],Tasks[[#This Row],[_Row]]+Tasks[[#This Row],[_Descendants]]),TRUE())&gt;0,Tasks[[#This Row],[_LeafCritical]]),"Yes",""))</f>
        <v/>
      </c>
      <c r="AQ132" s="62" t="str">
        <f aca="false">IF(Tasks[[#This Row],[Task Name]]="","",IF(N(Tasks[[#This Row],[Baseline Start]])&gt;0,Tasks[[#This Row],[Baseline Start]],Tasks[[#This Row],[_CalcStart]]))</f>
        <v/>
      </c>
      <c r="AR132" s="62" t="str">
        <f aca="false">IF(Tasks[[#This Row],[Task Name]]="","",IF(N(Tasks[[#This Row],[Baseline Finish]])&gt;0,Tasks[[#This Row],[Baseline Finish]],Tasks[[#This Row],[_CalcFinish]]))</f>
        <v/>
      </c>
      <c r="AS132" s="46" t="str">
        <f aca="false">IF(Tasks[[#This Row],[Task Name]]="","",IF(Tasks[[#This Row],[Start]]&gt;=Tasks[[#This Row],[Planned Start]],NETWORKDAYS.INTL(Tasks[[#This Row],[Planned Start]],Tasks[[#This Row],[Start]],WorkWeek,Holidays)-1,1-NETWORKDAYS.INTL(Tasks[[#This Row],[Start]],Tasks[[#This Row],[Planned Start]],WorkWeek,Holidays)))</f>
        <v/>
      </c>
      <c r="AT132" s="62" t="str">
        <f aca="false">IF(Tasks[[#This Row],[Task Name]]="","",IF(Tasks[[#This Row],[_IsSummary]],MIN(INDEX(Tasks[_LeafLateStart],Tasks[[#This Row],[_Row]]+1):INDEX(Tasks[_LeafLateStart],Tasks[[#This Row],[_Row]]+Tasks[[#This Row],[_Descendants]])),Tasks[[#This Row],[_LeafLateStart]]))</f>
        <v/>
      </c>
      <c r="AU132" s="62" t="str">
        <f aca="false">IF(Tasks[[#This Row],[Task Name]]="","",IF(Tasks[[#This Row],[_IsSummary]],MAX(INDEX(Tasks[_LeafLateFinish],Tasks[[#This Row],[_Row]]+1):INDEX(Tasks[_LeafLateFinish],Tasks[[#This Row],[_Row]]+Tasks[[#This Row],[_Descendants]])),Tasks[[#This Row],[_LeafLateFinish]]))</f>
        <v/>
      </c>
      <c r="AV132" s="46" t="str">
        <f aca="false">IF(Tasks[[#This Row],[Task Name]]="","",IF(Tasks[[#This Row],[_IsSummary]],MIN(INDEX(Tasks[_LeafTotalSlack],Tasks[[#This Row],[_Row]]+1):INDEX(Tasks[_LeafTotalSlack],Tasks[[#This Row],[_Row]]+Tasks[[#This Row],[_Descendants]])),Tasks[[#This Row],[_LeafTotalSlack]]))</f>
        <v/>
      </c>
      <c r="AW13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4"/>
      <c r="BA13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t="str">
        <f aca="false">IF(Tasks[[#This Row],[Task Name]]="","",IF(Tasks[[#This Row],[_Level]]&lt;=OutlineShowLevel,"Yes","No"))</f>
        <v/>
      </c>
      <c r="BE132" s="85" t="str">
        <f aca="false">IF(Tasks[[#This Row],[Task Name]]="","",IF(Tasks[[#This Row],[_IsSummary]],SUM(INDEX(Tasks[_LeafTotalWork],Tasks[[#This Row],[_Row]]+1):INDEX(Tasks[_LeafTotalWork],Tasks[[#This Row],[_Row]]+Tasks[[#This Row],[_Descendants]])),Tasks[[#This Row],[_LeafTotalWork]]))</f>
        <v/>
      </c>
      <c r="BF132" s="23"/>
      <c r="BG13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t="str">
        <f aca="false">""</f>
        <v/>
      </c>
      <c r="BI132" s="86"/>
      <c r="BJ132" s="22"/>
      <c r="BK132" s="46" t="str">
        <f aca="false">IF(OR(Tasks[[#This Row],[Task Name]]="",Tasks[[#This Row],[Baseline Duration]]=""),"",Tasks[[#This Row],[_SpanDays]]-N(Tasks[[#This Row],[Baseline Duration]]))</f>
        <v/>
      </c>
      <c r="BL132" s="85" t="str">
        <f aca="false">IF(OR(Tasks[[#This Row],[Task Name]]="",Tasks[[#This Row],[Baseline Work]]=""),"",Tasks[[#This Row],[Work]]-N(Tasks[[#This Row],[Baseline Work]]))</f>
        <v/>
      </c>
      <c r="BM132" s="62" t="str">
        <f aca="false">IF(Tasks[[#This Row],[Task Name]]="","",IF(OR(TakeBaseline="Yes",N(Tasks[[#This Row],[Baseline Start]])=0),Tasks[[#This Row],[Start]],Tasks[[#This Row],[Baseline Start]]))</f>
        <v/>
      </c>
      <c r="BN132" s="62" t="str">
        <f aca="false">IF(Tasks[[#This Row],[Task Name]]="","",IF(OR(TakeBaseline="Yes",N(Tasks[[#This Row],[Baseline Finish]])=0),Tasks[[#This Row],[Finish]],Tasks[[#This Row],[Baseline Finish]]))</f>
        <v/>
      </c>
      <c r="BO132" s="21" t="str">
        <f aca="false">IF(Tasks[[#This Row],[Task Name]]="","",IF(OR(TakeBaseline="Yes",N(Tasks[[#This Row],[Baseline Duration]])=0),Tasks[[#This Row],[_SpanDays]],Tasks[[#This Row],[Baseline Duration]]))</f>
        <v/>
      </c>
      <c r="BP132" s="85" t="str">
        <f aca="false">IF(Tasks[[#This Row],[Task Name]]="","",IF(OR(TakeBaseline="Yes",N(Tasks[[#This Row],[Baseline Work]])=0),Tasks[[#This Row],[Work]],Tasks[[#This Row],[Baseline Work]]))</f>
        <v/>
      </c>
      <c r="BQ132" s="7"/>
      <c r="BR132" s="7"/>
      <c r="BS132" s="22"/>
      <c r="BT132" s="87"/>
      <c r="BU132" s="42" t="str">
        <f aca="false">IF(Tasks[[#This Row],[Task Name]]="","",MAX(1,N(Tasks[[#This Row],[Level]])))</f>
        <v/>
      </c>
      <c r="BV132" s="42" t="n">
        <f aca="false">ROW()-ROW(Tasks[[#Headers],[ID]])</f>
        <v>127</v>
      </c>
      <c r="BW132" s="42" t="n">
        <f aca="false">IF(OR(Tasks[[#This Row],[Task Name]]="",Tasks[[#This Row],[_Level]]&lt;=1),0,IFERROR(LOOKUP(2,1/(Tasks[[#Headers],[_Level]]:Tasks[[#This Row],[_Level]]=Tasks[[#This Row],[_Level]]-1),ROW(Tasks[[#Headers],[_Level]]:Tasks[[#This Row],[_Level]])),0))</f>
        <v>0</v>
      </c>
      <c r="BX132" s="42" t="n">
        <f aca="false">IFERROR(N(INDEX(Tasks[_Level],Tasks[[#This Row],[_Row]]+1)),0)</f>
        <v>0</v>
      </c>
      <c r="BY132" s="88" t="b">
        <f aca="false">AND(Tasks[[#This Row],[Task Name]]&lt;&gt;"",Tasks[[#This Row],[_NextLevel]]&gt;Tasks[[#This Row],[_Level]])</f>
        <v>0</v>
      </c>
      <c r="BZ132" s="42" t="n">
        <f aca="false">IF(Tasks[[#This Row],[_IsSummary]],COUNTIF(Tasks[WBS],Tasks[[#This Row],[WBS]]&amp;".*"),0)</f>
        <v>0</v>
      </c>
      <c r="CA132" s="42" t="n">
        <f aca="false">IF(AND(Tasks[[#This Row],[Task Name]]&lt;&gt;"",NOT(Tasks[[#This Row],[_IsSummary]])),1,0)</f>
        <v>0</v>
      </c>
      <c r="CB132" s="42" t="n">
        <f aca="false">IF(N(Tasks[[#This Row],[_Pred1UID]])=0,0,IFERROR(MATCH(Tasks[[#This Row],[_Pred1UID]],Tasks[UID],0),-1))</f>
        <v>0</v>
      </c>
      <c r="CC132" s="42" t="n">
        <f aca="false">IF(N(Tasks[[#This Row],[_Pred2UID]])=0,0,IFERROR(MATCH(Tasks[[#This Row],[_Pred2UID]],Tasks[UID],0),-1))</f>
        <v>0</v>
      </c>
      <c r="CD132" s="42" t="n">
        <f aca="false">IF(N(Tasks[[#This Row],[_Pred3UID]])=0,0,IFERROR(MATCH(Tasks[[#This Row],[_Pred3UID]],Tasks[UID],0),-1))</f>
        <v>0</v>
      </c>
      <c r="CE132" s="42" t="n">
        <f aca="false">IF(N(Tasks[[#This Row],[_Pred4UID]])=0,0,IFERROR(MATCH(Tasks[[#This Row],[_Pred4UID]],Tasks[UID],0),-1))</f>
        <v>0</v>
      </c>
      <c r="CF13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2" s="89" t="n">
        <f aca="false">IF(OR(Tasks[[#This Row],[_ConstraintCode]]=2,Tasks[[#This Row],[_ConstraintCode]]=3,Tasks[[#This Row],[_ConstraintCode]]=4,Tasks[[#This Row],[_ConstraintCode]]=6),Tasks[[#This Row],[_ConstraintStart]],0)</f>
        <v>0</v>
      </c>
      <c r="CI132" s="89" t="n">
        <f aca="false">IF(OR(Tasks[[#This Row],[_ConstraintCode]]=2,Tasks[[#This Row],[_ConstraintCode]]=3,Tasks[[#This Row],[_ConstraintCode]]=5,Tasks[[#This Row],[_ConstraintCode]]=7),Tasks[[#This Row],[_ConstraintStart]],2958465)</f>
        <v>2958465</v>
      </c>
      <c r="CJ13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2" s="89" t="str">
        <f aca="false">IF(NOT(Tasks[[#This Row],[_IsLeaf]]=1),"",IF(N(Tasks[[#This Row],[_Days]])&lt;=0,Tasks[[#This Row],[_LeafCalcStart]],WORKDAY.INTL(Tasks[[#This Row],[_LeafCalcStart]],Tasks[[#This Row],[_Days]]-1,WorkWeek,Holidays)))</f>
        <v/>
      </c>
      <c r="CL13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2" s="42" t="str">
        <f aca="false">IF(Tasks[[#This Row],[_Predecessors]]="","",TRIM(MID(SUBSTITUTE(SUBSTITUTE(SUBSTITUTE(UPPER(Tasks[[#This Row],[_Predecessors]]),";",",")," ",""),",",REPT(" ",99)),1,99)))</f>
        <v/>
      </c>
      <c r="CO132" s="42" t="str">
        <f aca="false">IF(Tasks[[#This Row],[_Pred1Text]]="","",IFERROR(VALUE(LEFT(Tasks[[#This Row],[_Pred1Text]],MIN(FIND("F",Tasks[[#This Row],[_Pred1Text]]&amp;"F"),FIND("S",Tasks[[#This Row],[_Pred1Text]]&amp;"S"),FIND("+",Tasks[[#This Row],[_Pred1Text]]&amp;"+"),FIND("-",Tasks[[#This Row],[_Pred1Text]]&amp;"-"))-1)),""))</f>
        <v/>
      </c>
      <c r="CP13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2" s="42" t="str">
        <f aca="false">IF(Tasks[[#This Row],[_Pred1Text]]="","",TRIM(MID(SUBSTITUTE(SUBSTITUTE(SUBSTITUTE(UPPER(Tasks[[#This Row],[_Predecessors]]),";",",")," ",""),",",REPT(" ",99)),100,99)))</f>
        <v/>
      </c>
      <c r="CS132" s="42" t="str">
        <f aca="false">IF(Tasks[[#This Row],[_Pred2Text]]="","",IFERROR(VALUE(LEFT(Tasks[[#This Row],[_Pred2Text]],MIN(FIND("F",Tasks[[#This Row],[_Pred2Text]]&amp;"F"),FIND("S",Tasks[[#This Row],[_Pred2Text]]&amp;"S"),FIND("+",Tasks[[#This Row],[_Pred2Text]]&amp;"+"),FIND("-",Tasks[[#This Row],[_Pred2Text]]&amp;"-"))-1)),""))</f>
        <v/>
      </c>
      <c r="CT13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2" s="42" t="str">
        <f aca="false">IF(Tasks[[#This Row],[_Pred2Text]]="","",TRIM(MID(SUBSTITUTE(SUBSTITUTE(SUBSTITUTE(UPPER(Tasks[[#This Row],[_Predecessors]]),";",",")," ",""),",",REPT(" ",99)),199,99)))</f>
        <v/>
      </c>
      <c r="CW132" s="42" t="str">
        <f aca="false">IF(Tasks[[#This Row],[_Pred3Text]]="","",IFERROR(VALUE(LEFT(Tasks[[#This Row],[_Pred3Text]],MIN(FIND("F",Tasks[[#This Row],[_Pred3Text]]&amp;"F"),FIND("S",Tasks[[#This Row],[_Pred3Text]]&amp;"S"),FIND("+",Tasks[[#This Row],[_Pred3Text]]&amp;"+"),FIND("-",Tasks[[#This Row],[_Pred3Text]]&amp;"-"))-1)),""))</f>
        <v/>
      </c>
      <c r="CX13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2" s="42" t="str">
        <f aca="false">IF(Tasks[[#This Row],[_Pred3Text]]="","",TRIM(MID(SUBSTITUTE(SUBSTITUTE(SUBSTITUTE(UPPER(Tasks[[#This Row],[_Predecessors]]),";",",")," ",""),",",REPT(" ",99)),298,99)))</f>
        <v/>
      </c>
      <c r="DA132" s="42" t="str">
        <f aca="false">IF(Tasks[[#This Row],[_Pred4Text]]="","",IFERROR(VALUE(LEFT(Tasks[[#This Row],[_Pred4Text]],MIN(FIND("F",Tasks[[#This Row],[_Pred4Text]]&amp;"F"),FIND("S",Tasks[[#This Row],[_Pred4Text]]&amp;"S"),FIND("+",Tasks[[#This Row],[_Pred4Text]]&amp;"+"),FIND("-",Tasks[[#This Row],[_Pred4Text]]&amp;"-"))-1)),""))</f>
        <v/>
      </c>
      <c r="DB13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2" s="42" t="str">
        <f aca="false">IF(OR(Tasks[[#This Row],[Task Name]]="",Tasks[[#This Row],[_Resources]]=""),"",TRIM(MID(SUBSTITUTE(Tasks[[#This Row],[_Resources]],",",REPT(" ",99)),1,99)))</f>
        <v/>
      </c>
      <c r="DE132" s="42" t="str">
        <f aca="false">IF(Tasks[[#This Row],[_Res1Text]]="","",TRIM(MID(SUBSTITUTE(Tasks[[#This Row],[_Resources]],",",REPT(" ",99)),100,99)))</f>
        <v/>
      </c>
      <c r="DF132" s="42" t="str">
        <f aca="false">IF(Tasks[[#This Row],[_Res2Text]]="","",TRIM(MID(SUBSTITUTE(Tasks[[#This Row],[_Resources]],",",REPT(" ",99)),199,99)))</f>
        <v/>
      </c>
      <c r="DG132" s="42" t="str">
        <f aca="false">IF(Tasks[[#This Row],[_Res3Text]]="","",TRIM(MID(SUBSTITUTE(Tasks[[#This Row],[_Resources]],",",REPT(" ",99)),298,99)))</f>
        <v/>
      </c>
      <c r="DH132" s="42" t="n">
        <f aca="false">IF(Tasks[[#This Row],[_Res1Text]]="",0,IFERROR(MATCH(TRIM(LEFT(Tasks[[#This Row],[_Res1Text]],FIND("[",Tasks[[#This Row],[_Res1Text]]&amp;"[")-1)),res_Name,0),IFERROR(MATCH(TRIM(LEFT(Tasks[[#This Row],[_Res1Text]],FIND("[",Tasks[[#This Row],[_Res1Text]]&amp;"[")-1)),res_Initials,0),0)))</f>
        <v>0</v>
      </c>
      <c r="DI132" s="42" t="n">
        <f aca="false">IF(Tasks[[#This Row],[_Res2Text]]="",0,IFERROR(MATCH(TRIM(LEFT(Tasks[[#This Row],[_Res2Text]],FIND("[",Tasks[[#This Row],[_Res2Text]]&amp;"[")-1)),res_Name,0),IFERROR(MATCH(TRIM(LEFT(Tasks[[#This Row],[_Res2Text]],FIND("[",Tasks[[#This Row],[_Res2Text]]&amp;"[")-1)),res_Initials,0),0)))</f>
        <v>0</v>
      </c>
      <c r="DJ132" s="42" t="n">
        <f aca="false">IF(Tasks[[#This Row],[_Res3Text]]="",0,IFERROR(MATCH(TRIM(LEFT(Tasks[[#This Row],[_Res3Text]],FIND("[",Tasks[[#This Row],[_Res3Text]]&amp;"[")-1)),res_Name,0),IFERROR(MATCH(TRIM(LEFT(Tasks[[#This Row],[_Res3Text]],FIND("[",Tasks[[#This Row],[_Res3Text]]&amp;"[")-1)),res_Initials,0),0)))</f>
        <v>0</v>
      </c>
      <c r="DK132" s="42" t="n">
        <f aca="false">IF(Tasks[[#This Row],[_Res4Text]]="",0,IFERROR(MATCH(TRIM(LEFT(Tasks[[#This Row],[_Res4Text]],FIND("[",Tasks[[#This Row],[_Res4Text]]&amp;"[")-1)),res_Name,0),IFERROR(MATCH(TRIM(LEFT(Tasks[[#This Row],[_Res4Text]],FIND("[",Tasks[[#This Row],[_Res4Text]]&amp;"[")-1)),res_Initials,0),0)))</f>
        <v>0</v>
      </c>
      <c r="DL132" s="42" t="str">
        <f aca="false">IF(Tasks[[#This Row],[_Res1Text]]="","",IF(Tasks[[#This Row],[_Res1Row]]&gt;0,INDEX(res_Name,Tasks[[#This Row],[_Res1Row]]),TRIM(LEFT(Tasks[[#This Row],[_Res1Text]],FIND("[",Tasks[[#This Row],[_Res1Text]]&amp;"[")-1))))</f>
        <v/>
      </c>
      <c r="DM13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2" s="42" t="n">
        <f aca="false">IF(NOT(Tasks[[#This Row],[_IsLeaf]]=1),0,(Tasks[[#This Row],[_Resource1]]&lt;&gt;"")+(Tasks[[#This Row],[_Res2]]&lt;&gt;"")+(Tasks[[#This Row],[_Res3]]&lt;&gt;"")+(Tasks[[#This Row],[_Res4]]&lt;&gt;""))</f>
        <v>0</v>
      </c>
      <c r="DO132" s="42" t="str">
        <f aca="false">IF(Tasks[[#This Row],[_Res2Text]]="","",IF(Tasks[[#This Row],[_Res2Row]]&gt;0,INDEX(res_Name,Tasks[[#This Row],[_Res2Row]]),TRIM(LEFT(Tasks[[#This Row],[_Res2Text]],FIND("[",Tasks[[#This Row],[_Res2Text]]&amp;"[")-1))))</f>
        <v/>
      </c>
      <c r="DP13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2" s="42" t="n">
        <f aca="false">IF(OR(NOT(Tasks[[#This Row],[_IsLeaf]]=1),Tasks[[#This Row],[_Res2Row]]=0),0,N(Tasks[[#This Row],[_Days]])*HoursPerDay*IF(Tasks[[#This Row],[_Res2Units]]="",DefaultUnits,Tasks[[#This Row],[_Res2Units]]))</f>
        <v>0</v>
      </c>
      <c r="DR132" s="42" t="n">
        <f aca="false">IF(AND(AND(Tasks[[#This Row],[_IsLeaf]]=1,Tasks[[#This Row],[_LeafTotalWork]]&gt;0),Tasks[[#This Row],[_Res2Work]]&gt;0),Tasks[[#This Row],[_Res2Work]]/(Tasks[[#This Row],[_FinishWorkday]]-Tasks[[#This Row],[_StartWorkday]]+1),0)</f>
        <v>0</v>
      </c>
      <c r="DS132" s="42" t="n">
        <f aca="false">Tasks[[#This Row],[_Res2WorkPerWD]]*MAX(0,Tasks[[#This Row],[_StartWorkday]]-1)</f>
        <v>0</v>
      </c>
      <c r="DT132" s="42" t="n">
        <f aca="false">Tasks[[#This Row],[_Res2Work]]*Tasks[[#This Row],[_LeafProgress]]</f>
        <v>0</v>
      </c>
      <c r="DU132" s="42" t="str">
        <f aca="false">IF(Tasks[[#This Row],[_Res3Text]]="","",IF(Tasks[[#This Row],[_Res3Row]]&gt;0,INDEX(res_Name,Tasks[[#This Row],[_Res3Row]]),TRIM(LEFT(Tasks[[#This Row],[_Res3Text]],FIND("[",Tasks[[#This Row],[_Res3Text]]&amp;"[")-1))))</f>
        <v/>
      </c>
      <c r="DV13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2" s="42" t="n">
        <f aca="false">IF(OR(NOT(Tasks[[#This Row],[_IsLeaf]]=1),Tasks[[#This Row],[_Res3Row]]=0),0,N(Tasks[[#This Row],[_Days]])*HoursPerDay*IF(Tasks[[#This Row],[_Res3Units]]="",DefaultUnits,Tasks[[#This Row],[_Res3Units]]))</f>
        <v>0</v>
      </c>
      <c r="DX132" s="42" t="n">
        <f aca="false">IF(AND(AND(Tasks[[#This Row],[_IsLeaf]]=1,Tasks[[#This Row],[_LeafTotalWork]]&gt;0),Tasks[[#This Row],[_Res3Work]]&gt;0),Tasks[[#This Row],[_Res3Work]]/(Tasks[[#This Row],[_FinishWorkday]]-Tasks[[#This Row],[_StartWorkday]]+1),0)</f>
        <v>0</v>
      </c>
      <c r="DY132" s="42" t="n">
        <f aca="false">Tasks[[#This Row],[_Res3WorkPerWD]]*MAX(0,Tasks[[#This Row],[_StartWorkday]]-1)</f>
        <v>0</v>
      </c>
      <c r="DZ132" s="42" t="n">
        <f aca="false">Tasks[[#This Row],[_Res3Work]]*Tasks[[#This Row],[_LeafProgress]]</f>
        <v>0</v>
      </c>
      <c r="EA132" s="42" t="str">
        <f aca="false">IF(Tasks[[#This Row],[_Res4Text]]="","",IF(Tasks[[#This Row],[_Res4Row]]&gt;0,INDEX(res_Name,Tasks[[#This Row],[_Res4Row]]),TRIM(LEFT(Tasks[[#This Row],[_Res4Text]],FIND("[",Tasks[[#This Row],[_Res4Text]]&amp;"[")-1))))</f>
        <v/>
      </c>
      <c r="EB13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2" s="42" t="n">
        <f aca="false">IF(OR(NOT(Tasks[[#This Row],[_IsLeaf]]=1),Tasks[[#This Row],[_Res4Row]]=0),0,N(Tasks[[#This Row],[_Days]])*HoursPerDay*IF(Tasks[[#This Row],[_Res4Units]]="",DefaultUnits,Tasks[[#This Row],[_Res4Units]]))</f>
        <v>0</v>
      </c>
      <c r="ED132" s="42" t="n">
        <f aca="false">IF(AND(AND(Tasks[[#This Row],[_IsLeaf]]=1,Tasks[[#This Row],[_LeafTotalWork]]&gt;0),Tasks[[#This Row],[_Res4Work]]&gt;0),Tasks[[#This Row],[_Res4Work]]/(Tasks[[#This Row],[_FinishWorkday]]-Tasks[[#This Row],[_StartWorkday]]+1),0)</f>
        <v>0</v>
      </c>
      <c r="EE132" s="42" t="n">
        <f aca="false">Tasks[[#This Row],[_Res4WorkPerWD]]*MAX(0,Tasks[[#This Row],[_StartWorkday]]-1)</f>
        <v>0</v>
      </c>
      <c r="EF132" s="42" t="n">
        <f aca="false">Tasks[[#This Row],[_Res4Work]]*Tasks[[#This Row],[_LeafProgress]]</f>
        <v>0</v>
      </c>
      <c r="EG132" s="42" t="n">
        <f aca="false">IF(ISNUMBER(Tasks[[#This Row],[% Complete]]),Tasks[[#This Row],[% Complete]],IF(Tasks[[#This Row],[Stage]]="",0,IFERROR(INDEX(stg_Pct,MATCH(Tasks[[#This Row],[Stage]],stg_Name,0)),0)))</f>
        <v>0</v>
      </c>
      <c r="EH132" s="42" t="n">
        <f aca="false">IF(NOT(Tasks[[#This Row],[_IsLeaf]]=1),0,IF(N(Tasks[[#This Row],[Actual Finish]])&gt;0,1,MIN(1,Tasks[[#This Row],[_Pct]])))</f>
        <v>0</v>
      </c>
      <c r="EI132" s="42" t="n">
        <f aca="false">IF(OR(NOT(Tasks[[#This Row],[_IsLeaf]]=1),Tasks[[#This Row],[_Res1Row]]=0),0,N(Tasks[[#This Row],[_Days]])*HoursPerDay*IF(Tasks[[#This Row],[_Units1]]="",DefaultUnits,Tasks[[#This Row],[_Units1]]))</f>
        <v>0</v>
      </c>
      <c r="EJ132" s="42" t="n">
        <f aca="false">Tasks[[#This Row],[_LeafWork]]+Tasks[[#This Row],[_Res2Work]]+Tasks[[#This Row],[_Res3Work]]+Tasks[[#This Row],[_Res4Work]]</f>
        <v>0</v>
      </c>
      <c r="EK13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2" s="42" t="n">
        <f aca="false">IF(NOT(Tasks[[#This Row],[_IsLeaf]]=1),0,MAX(_xlfn.MAXIFS(Tasks[_Row],Tasks[_Pred1UID],Tasks[[#This Row],[UID]]),_xlfn.MAXIFS(Tasks[_Row],Tasks[_Pred2UID],Tasks[[#This Row],[UID]]),_xlfn.MAXIFS(Tasks[_Row],Tasks[_Pred3UID],Tasks[[#This Row],[UID]]),_xlfn.MAXIFS(Tasks[_Row],Tasks[_Pred4UID],Tasks[[#This Row],[UID]])))</f>
        <v>0</v>
      </c>
      <c r="ET13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2" s="89" t="str">
        <f aca="false">IF(NOT(Tasks[[#This Row],[_IsLeaf]]=1),"",IF(N(Tasks[[#This Row],[_Days]])&lt;=0,Tasks[[#This Row],[_LeafLateFinish]],WORKDAY.INTL(Tasks[[#This Row],[_LeafLateFinish]],-(Tasks[[#This Row],[_Days]]-1),WorkWeek,Holidays)))</f>
        <v/>
      </c>
      <c r="EW13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2" s="88" t="b">
        <f aca="false">AND(Tasks[[#This Row],[_IsLeaf]]=1,Tasks[[#This Row],[_LeafProgress]]&lt;1,N(Tasks[[#This Row],[_LeafTotalSlack]])&lt;=CriticalSlackDays)</f>
        <v>0</v>
      </c>
      <c r="EY132" s="42" t="n">
        <f aca="false">IF(AND(Tasks[[#This Row],[_IsLeaf]]=1,Tasks[[#This Row],[_ConstraintCode]]=1,Tasks[[#This Row],[Mode]]&lt;&gt;"Manual",N(Tasks[[#This Row],[Actual Start]])=0),MAX(0,N(Tasks[[#This Row],[Free Slack]])),0)</f>
        <v>0</v>
      </c>
      <c r="EZ132" s="89" t="str">
        <f aca="false">IF(NOT(Tasks[[#This Row],[_IsLeaf]]=1),"",IF(Tasks[[#This Row],[_AlapShift]]=0,Tasks[[#This Row],[_LeafCalcStart]],WORKDAY.INTL(Tasks[[#This Row],[_LeafCalcStart]],Tasks[[#This Row],[_AlapShift]],WorkWeek,Holidays)))</f>
        <v/>
      </c>
      <c r="FA132" s="89" t="str">
        <f aca="false">IF(NOT(Tasks[[#This Row],[_IsLeaf]]=1),"",IF(Tasks[[#This Row],[_AlapShift]]=0,Tasks[[#This Row],[_LeafCalcFinish]],WORKDAY.INTL(Tasks[[#This Row],[_LeafCalcFinish]],Tasks[[#This Row],[_AlapShift]],WorkWeek,Holidays)))</f>
        <v/>
      </c>
      <c r="FB132" s="89" t="str">
        <f aca="false">IF(NOT(Tasks[[#This Row],[_IsLeaf]]=1),"",IF(Tasks[[#This Row],[_AlapShift]]=0,Tasks[[#This Row],[_LeafFcstStart]],WORKDAY.INTL(Tasks[[#This Row],[_LeafFcstStart]],Tasks[[#This Row],[_AlapShift]],WorkWeek,Holidays)))</f>
        <v/>
      </c>
      <c r="FC132" s="89" t="str">
        <f aca="false">IF(NOT(Tasks[[#This Row],[_IsLeaf]]=1),"",IF(Tasks[[#This Row],[_AlapShift]]=0,Tasks[[#This Row],[_LeafFcstFinish]],WORKDAY.INTL(Tasks[[#This Row],[_LeafFcstFinish]],Tasks[[#This Row],[_AlapShift]],WorkWeek,Holidays)))</f>
        <v/>
      </c>
      <c r="FD132" s="89" t="str">
        <f aca="false">IF(Tasks[[#This Row],[Task Name]]="","",IF(Tasks[[#This Row],[_IsSummary]],MIN(INDEX(Tasks[_ShownCalcStart],Tasks[[#This Row],[_Row]]+1):INDEX(Tasks[_ShownCalcStart],Tasks[[#This Row],[_Row]]+Tasks[[#This Row],[_Descendants]])),Tasks[[#This Row],[_ShownCalcStart]]))</f>
        <v/>
      </c>
      <c r="FE132" s="89" t="str">
        <f aca="false">IF(Tasks[[#This Row],[Task Name]]="","",IF(Tasks[[#This Row],[_IsSummary]],MAX(INDEX(Tasks[_ShownCalcFinish],Tasks[[#This Row],[_Row]]+1):INDEX(Tasks[_ShownCalcFinish],Tasks[[#This Row],[_Row]]+Tasks[[#This Row],[_Descendants]])),Tasks[[#This Row],[_ShownCalcFinish]]))</f>
        <v/>
      </c>
      <c r="FF13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2" s="42" t="n">
        <f aca="false">IF(AND(Tasks[[#This Row],[_IsLeaf]]=1,Tasks[[#This Row],[_LeafTotalWork]]&gt;0),NETWORKDAYS.INTL(ProjectStart,Tasks[[#This Row],[_ShownFcstStart]],WorkWeek,Holidays),0)</f>
        <v>0</v>
      </c>
      <c r="FS132" s="42" t="n">
        <f aca="false">IF(AND(Tasks[[#This Row],[_IsLeaf]]=1,Tasks[[#This Row],[_LeafTotalWork]]&gt;0),MAX(Tasks[[#This Row],[_StartWorkday]],NETWORKDAYS.INTL(ProjectStart,Tasks[[#This Row],[_ShownFcstFinish]],WorkWeek,Holidays)),0)</f>
        <v>0</v>
      </c>
      <c r="FT132" s="42" t="n">
        <f aca="false">IF(AND(Tasks[[#This Row],[_IsLeaf]]=1,Tasks[[#This Row],[_LeafTotalWork]]&gt;0),Tasks[[#This Row],[_LeafWork]]/(Tasks[[#This Row],[_FinishWorkday]]-Tasks[[#This Row],[_StartWorkday]]+1),0)</f>
        <v>0</v>
      </c>
      <c r="FU132" s="42" t="n">
        <f aca="false">Tasks[[#This Row],[_WorkPerWorkday]]*(Tasks[[#This Row],[_StartWorkday]]-1)</f>
        <v>-0</v>
      </c>
      <c r="FV132" s="42" t="n">
        <f aca="false">IF(Tasks[[#This Row],[_IsLeaf]]=1,MAX(N(Tasks[[#This Row],[_Days]]),0.1),0)</f>
        <v>0</v>
      </c>
      <c r="FW132" s="42" t="n">
        <f aca="false">Tasks[[#This Row],[_WeightDur]]*Tasks[[#This Row],[_LeafProgress]]</f>
        <v>0</v>
      </c>
      <c r="FX132" s="42" t="n">
        <f aca="false">Tasks[[#This Row],[_WeightDur]]*Tasks[[#This Row],[_PlannedPct]]</f>
        <v>0</v>
      </c>
      <c r="FY13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2" s="42" t="str">
        <f aca="false">IF(AND(Tasks[[#This Row],[_IsLeaf]]=1,N(Tasks[[#This Row],[_Days]])=0,Tasks[[#This Row],[_LeafProgress]]&lt;1),Tasks[[#This Row],[_ShownFcstFinish]]+Tasks[[#This Row],[_Row]]/100000,"")</f>
        <v/>
      </c>
      <c r="GA13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2" s="42" t="str">
        <f aca="false">IF(Tasks[[#This Row],[Task Name]]="","",LEFT(Tasks[[#This Row],[WBS]],FIND(".",Tasks[[#This Row],[WBS]]&amp;".")-1))</f>
        <v/>
      </c>
      <c r="GC132" s="42" t="str">
        <f aca="false">IF(AND(Tasks[[#This Row],[Task Name]]&lt;&gt;"",Tasks[[#This Row],[_Level]]=1),Tasks[[#This Row],[_Row]],"")</f>
        <v/>
      </c>
      <c r="GD132" s="42" t="str">
        <f aca="false">IF(AND(Tasks[[#This Row],[_IsLeaf]]=1,N(Tasks[[#This Row],[_Days]])=0),Tasks[[#This Row],[Planned Finish]]+Tasks[[#This Row],[_Row]]/100000,"")</f>
        <v/>
      </c>
      <c r="GE132" s="42" t="str">
        <f aca="false">IF(AND(Tasks[[#This Row],[_IsLeaf]]=1,Tasks[[#This Row],[_LeafProgress]]&lt;1,OR(N(Tasks[[#This Row],[Finish Var]])&gt;0,Tasks[[#This Row],[Status]]="Late Start")),MAX(0,Tasks[[#This Row],[Finish Var]])+1-Tasks[[#This Row],[_Row]]/1000000,"")</f>
        <v/>
      </c>
      <c r="GF132" s="42" t="str">
        <f aca="false">IF(AND(Tasks[[#This Row],[_IsLeaf]]=1,N(Tasks[[#This Row],[Actual Start]])=0,Tasks[[#This Row],[_ShownFcstStart]]&gt;=StatusDate,Tasks[[#This Row],[_ShownFcstStart]]&lt;=LookaheadEnd),Tasks[[#This Row],[_ShownFcstStart]]+Tasks[[#This Row],[_Row]]/100000,"")</f>
        <v/>
      </c>
      <c r="GG132" s="42" t="str">
        <f aca="false">IF(AND(Tasks[[#This Row],[_IsLeaf]]=1,Tasks[[#This Row],[_LeafProgress]]&lt;1,Tasks[[#This Row],[_ShownFcstFinish]]&gt;=StatusDate,Tasks[[#This Row],[_ShownFcstFinish]]&lt;=LookaheadEnd),Tasks[[#This Row],[_ShownFcstFinish]]+Tasks[[#This Row],[_Row]]/100000,"")</f>
        <v/>
      </c>
      <c r="GH132" s="42" t="str">
        <f aca="false">IF(Tasks[[#This Row],[_LeafCritical]],Tasks[[#This Row],[_ShownFcstStart]]+Tasks[[#This Row],[_Row]]/100000,"")</f>
        <v/>
      </c>
      <c r="GI132" s="42" t="n">
        <f aca="false">Tasks[[#This Row],[_LeafWork]]*Tasks[[#This Row],[_LeafProgress]]</f>
        <v>0</v>
      </c>
      <c r="GJ132" s="89" t="str">
        <f aca="false">IF(AND(Tasks[[#This Row],[_IsLeaf]]=1,Tasks[[#This Row],[_LeafProgress]]&gt;=1),IF(N(Tasks[[#This Row],[Actual Finish]])&gt;0,Tasks[[#This Row],[Actual Finish]],Tasks[[#This Row],[_ShownFcstFinish]]),"")</f>
        <v/>
      </c>
      <c r="GK132" s="42" t="n">
        <f aca="false">IF(Tasks[[#This Row],[_IsLeaf]]=1,N(Tasks[[#This Row],[Story Points]]),0)</f>
        <v>0</v>
      </c>
      <c r="GL132" s="42" t="str">
        <f aca="false">""</f>
        <v/>
      </c>
      <c r="GM132" s="88" t="b">
        <f aca="false">IF(Tasks[[#This Row],[Task Name]]="",FALSE(),AND(Tasks[[#This Row],[_IsLeaf]]=1,N(Tasks[[#This Row],[_Days]])=0))</f>
        <v>0</v>
      </c>
      <c r="GN132" s="89" t="n">
        <f aca="false">IF(Tasks[[#This Row],[Task Name]]="",0,IF(AND(Tasks[[#This Row],[_IsLeaf]]=1,NOT(Tasks[[#This Row],[_IsMilestone]]),N(Tasks[[#This Row],[Progress]])&gt;0),Tasks[[#This Row],[Start]],0))</f>
        <v>0</v>
      </c>
      <c r="GO132" s="89" t="n">
        <f aca="false">IF(Tasks[[#This Row],[_DoneFrom]]=0,0,IF(Tasks[[#This Row],[Progress]]&gt;=1,Tasks[[#This Row],[Finish]],MAX(Tasks[[#This Row],[_DoneFrom]],Tasks[[#This Row],[Start]]+ROUND((Tasks[[#This Row],[Finish]]-Tasks[[#This Row],[Start]]+1)*Tasks[[#This Row],[Progress]],0)-1)))</f>
        <v>0</v>
      </c>
      <c r="GP132" s="89" t="n">
        <f aca="false">IF(Tasks[[#This Row],[Task Name]]="",0,IF(OR(NOT(Tasks[[#This Row],[_IsLeaf]]=1),Tasks[[#This Row],[_IsMilestone]],N(Tasks[[#This Row],[Progress]])&gt;=1),0,IF(Tasks[[#This Row],[_DoneTo]]&gt;0,Tasks[[#This Row],[_DoneTo]]+1,Tasks[[#This Row],[Start]])))</f>
        <v>0</v>
      </c>
      <c r="GQ132" s="89" t="n">
        <f aca="false">IF(Tasks[[#This Row],[_RemFrom]]=0,0,Tasks[[#This Row],[Finish]])</f>
        <v>0</v>
      </c>
      <c r="GR132" s="88" t="b">
        <f aca="false">IF(Tasks[[#This Row],[Task Name]]="",FALSE(),OR(NOT(BaselineSet),N(Tasks[[#This Row],[Baseline Start]])&gt;0))</f>
        <v>0</v>
      </c>
      <c r="GS13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2" s="90" t="str">
        <f aca="false">IF(Tasks[[#This Row],[_IsLeaf]]=1,Tasks[[#This Row],[_Row]],"")</f>
        <v/>
      </c>
      <c r="GW132" s="90" t="str">
        <f aca="false">IFERROR(INDEX(Tasks[UID],SMALL(Tasks[_PickKey],Tasks[[#This Row],[_Row]]))&amp;" "&amp;INDEX(Tasks[Task Name],SMALL(Tasks[_PickKey],Tasks[[#This Row],[_Row]])),"")</f>
        <v/>
      </c>
      <c r="GX132" s="42" t="str">
        <f aca="false">IF(Tasks[[#This Row],[Task Name]]="","",IF(Tasks[[#This Row],[_IsSummary]],NETWORKDAYS.INTL(Tasks[[#This Row],[Start]],Tasks[[#This Row],[Finish]],WorkWeek,Holidays),N(Tasks[[#This Row],[_Days]])))</f>
        <v/>
      </c>
    </row>
    <row r="133" customFormat="false" ht="15" hidden="false" customHeight="false" outlineLevel="0" collapsed="false">
      <c r="A133" s="21" t="str">
        <f aca="false">IF(Tasks[[#This Row],[Task Name]]="","",COUNTA(Tasks[[#Headers],[Task Name]]:Tasks[[#This Row],[Task Name]])-1)</f>
        <v/>
      </c>
      <c r="B133" s="22" t="n">
        <v>141</v>
      </c>
      <c r="C133" s="22"/>
      <c r="D133" s="23"/>
      <c r="E133" s="22"/>
      <c r="F133" s="23"/>
      <c r="G133" s="22"/>
      <c r="H133" s="22"/>
      <c r="I133" s="23"/>
      <c r="J133" s="22"/>
      <c r="K133" s="22"/>
      <c r="L133" s="23"/>
      <c r="M133" s="22"/>
      <c r="N133" s="22"/>
      <c r="O133" s="23"/>
      <c r="P133" s="22"/>
      <c r="Q133" s="22"/>
      <c r="R133" s="23"/>
      <c r="S133" s="23"/>
      <c r="T133" s="83"/>
      <c r="U133" s="23"/>
      <c r="V133" s="83"/>
      <c r="W133" s="23"/>
      <c r="X133" s="83"/>
      <c r="Y133" s="23"/>
      <c r="Z133" s="83"/>
      <c r="AA133" s="23"/>
      <c r="AB133" s="23"/>
      <c r="AC133" s="7"/>
      <c r="AD133" s="7"/>
      <c r="AE133" s="62" t="str">
        <f aca="false">IF(Tasks[[#This Row],[Task Name]]="","",IF(Tasks[[#This Row],[_IsSummary]],MIN(INDEX(Tasks[_ShownFcstStart],Tasks[[#This Row],[_Row]]+1):INDEX(Tasks[_ShownFcstStart],Tasks[[#This Row],[_Row]]+Tasks[[#This Row],[_Descendants]])),Tasks[[#This Row],[_ShownFcstStart]]))</f>
        <v/>
      </c>
      <c r="AF133" s="62" t="str">
        <f aca="false">IF(Tasks[[#This Row],[Task Name]]="","",IF(Tasks[[#This Row],[_IsSummary]],MAX(INDEX(Tasks[_ShownFcstFinish],Tasks[[#This Row],[_Row]]+1):INDEX(Tasks[_ShownFcstFinish],Tasks[[#This Row],[_Row]]+Tasks[[#This Row],[_Descendants]])),Tasks[[#This Row],[_ShownFcstFinish]]))</f>
        <v/>
      </c>
      <c r="AG133" s="21" t="str">
        <f aca="false">""</f>
        <v/>
      </c>
      <c r="AH133" s="23"/>
      <c r="AI13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3" s="7"/>
      <c r="AK133" s="22"/>
      <c r="AL133" s="23"/>
      <c r="AM133" s="7"/>
      <c r="AN133" s="46" t="str">
        <f aca="false">IF(Tasks[[#This Row],[Task Name]]="","",IF(Tasks[[#This Row],[Finish]]&gt;=Tasks[[#This Row],[Planned Finish]],NETWORKDAYS.INTL(Tasks[[#This Row],[Planned Finish]],Tasks[[#This Row],[Finish]],WorkWeek,Holidays)-1,1-NETWORKDAYS.INTL(Tasks[[#This Row],[Finish]],Tasks[[#This Row],[Planned Finish]],WorkWeek,Holidays)))</f>
        <v/>
      </c>
      <c r="AO133" s="21" t="str">
        <f aca="false">IF(Tasks[[#This Row],[Task Name]]="","",IF(Tasks[[#This Row],[Progress]]&gt;=1,"Complete",IF(OR(N(Tasks[[#This Row],[Actual Start]])&gt;0,Tasks[[#This Row],[Progress]]&gt;0),IF(Tasks[[#This Row],[Finish Var]]&gt;0,"Behind","In Progress"),IF(Tasks[[#This Row],[Planned Start]]&lt;StatusDate,"Late Start","Not Started"))))</f>
        <v/>
      </c>
      <c r="AP133" s="21" t="str">
        <f aca="false">IF(Tasks[[#This Row],[Task Name]]="","",IF(IF(Tasks[[#This Row],[_IsSummary]],COUNTIF(INDEX(Tasks[_LeafCritical],Tasks[[#This Row],[_Row]]+1):INDEX(Tasks[_LeafCritical],Tasks[[#This Row],[_Row]]+Tasks[[#This Row],[_Descendants]]),TRUE())&gt;0,Tasks[[#This Row],[_LeafCritical]]),"Yes",""))</f>
        <v/>
      </c>
      <c r="AQ133" s="62" t="str">
        <f aca="false">IF(Tasks[[#This Row],[Task Name]]="","",IF(N(Tasks[[#This Row],[Baseline Start]])&gt;0,Tasks[[#This Row],[Baseline Start]],Tasks[[#This Row],[_CalcStart]]))</f>
        <v/>
      </c>
      <c r="AR133" s="62" t="str">
        <f aca="false">IF(Tasks[[#This Row],[Task Name]]="","",IF(N(Tasks[[#This Row],[Baseline Finish]])&gt;0,Tasks[[#This Row],[Baseline Finish]],Tasks[[#This Row],[_CalcFinish]]))</f>
        <v/>
      </c>
      <c r="AS133" s="46" t="str">
        <f aca="false">IF(Tasks[[#This Row],[Task Name]]="","",IF(Tasks[[#This Row],[Start]]&gt;=Tasks[[#This Row],[Planned Start]],NETWORKDAYS.INTL(Tasks[[#This Row],[Planned Start]],Tasks[[#This Row],[Start]],WorkWeek,Holidays)-1,1-NETWORKDAYS.INTL(Tasks[[#This Row],[Start]],Tasks[[#This Row],[Planned Start]],WorkWeek,Holidays)))</f>
        <v/>
      </c>
      <c r="AT133" s="62" t="str">
        <f aca="false">IF(Tasks[[#This Row],[Task Name]]="","",IF(Tasks[[#This Row],[_IsSummary]],MIN(INDEX(Tasks[_LeafLateStart],Tasks[[#This Row],[_Row]]+1):INDEX(Tasks[_LeafLateStart],Tasks[[#This Row],[_Row]]+Tasks[[#This Row],[_Descendants]])),Tasks[[#This Row],[_LeafLateStart]]))</f>
        <v/>
      </c>
      <c r="AU133" s="62" t="str">
        <f aca="false">IF(Tasks[[#This Row],[Task Name]]="","",IF(Tasks[[#This Row],[_IsSummary]],MAX(INDEX(Tasks[_LeafLateFinish],Tasks[[#This Row],[_Row]]+1):INDEX(Tasks[_LeafLateFinish],Tasks[[#This Row],[_Row]]+Tasks[[#This Row],[_Descendants]])),Tasks[[#This Row],[_LeafLateFinish]]))</f>
        <v/>
      </c>
      <c r="AV133" s="46" t="str">
        <f aca="false">IF(Tasks[[#This Row],[Task Name]]="","",IF(Tasks[[#This Row],[_IsSummary]],MIN(INDEX(Tasks[_LeafTotalSlack],Tasks[[#This Row],[_Row]]+1):INDEX(Tasks[_LeafTotalSlack],Tasks[[#This Row],[_Row]]+Tasks[[#This Row],[_Descendants]])),Tasks[[#This Row],[_LeafTotalSlack]]))</f>
        <v/>
      </c>
      <c r="AW13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4"/>
      <c r="BA13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t="str">
        <f aca="false">IF(Tasks[[#This Row],[Task Name]]="","",IF(Tasks[[#This Row],[_Level]]&lt;=OutlineShowLevel,"Yes","No"))</f>
        <v/>
      </c>
      <c r="BE133" s="85" t="str">
        <f aca="false">IF(Tasks[[#This Row],[Task Name]]="","",IF(Tasks[[#This Row],[_IsSummary]],SUM(INDEX(Tasks[_LeafTotalWork],Tasks[[#This Row],[_Row]]+1):INDEX(Tasks[_LeafTotalWork],Tasks[[#This Row],[_Row]]+Tasks[[#This Row],[_Descendants]])),Tasks[[#This Row],[_LeafTotalWork]]))</f>
        <v/>
      </c>
      <c r="BF133" s="23"/>
      <c r="BG13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t="str">
        <f aca="false">""</f>
        <v/>
      </c>
      <c r="BI133" s="86"/>
      <c r="BJ133" s="22"/>
      <c r="BK133" s="46" t="str">
        <f aca="false">IF(OR(Tasks[[#This Row],[Task Name]]="",Tasks[[#This Row],[Baseline Duration]]=""),"",Tasks[[#This Row],[_SpanDays]]-N(Tasks[[#This Row],[Baseline Duration]]))</f>
        <v/>
      </c>
      <c r="BL133" s="85" t="str">
        <f aca="false">IF(OR(Tasks[[#This Row],[Task Name]]="",Tasks[[#This Row],[Baseline Work]]=""),"",Tasks[[#This Row],[Work]]-N(Tasks[[#This Row],[Baseline Work]]))</f>
        <v/>
      </c>
      <c r="BM133" s="62" t="str">
        <f aca="false">IF(Tasks[[#This Row],[Task Name]]="","",IF(OR(TakeBaseline="Yes",N(Tasks[[#This Row],[Baseline Start]])=0),Tasks[[#This Row],[Start]],Tasks[[#This Row],[Baseline Start]]))</f>
        <v/>
      </c>
      <c r="BN133" s="62" t="str">
        <f aca="false">IF(Tasks[[#This Row],[Task Name]]="","",IF(OR(TakeBaseline="Yes",N(Tasks[[#This Row],[Baseline Finish]])=0),Tasks[[#This Row],[Finish]],Tasks[[#This Row],[Baseline Finish]]))</f>
        <v/>
      </c>
      <c r="BO133" s="21" t="str">
        <f aca="false">IF(Tasks[[#This Row],[Task Name]]="","",IF(OR(TakeBaseline="Yes",N(Tasks[[#This Row],[Baseline Duration]])=0),Tasks[[#This Row],[_SpanDays]],Tasks[[#This Row],[Baseline Duration]]))</f>
        <v/>
      </c>
      <c r="BP133" s="85" t="str">
        <f aca="false">IF(Tasks[[#This Row],[Task Name]]="","",IF(OR(TakeBaseline="Yes",N(Tasks[[#This Row],[Baseline Work]])=0),Tasks[[#This Row],[Work]],Tasks[[#This Row],[Baseline Work]]))</f>
        <v/>
      </c>
      <c r="BQ133" s="7"/>
      <c r="BR133" s="7"/>
      <c r="BS133" s="22"/>
      <c r="BT133" s="87"/>
      <c r="BU133" s="42" t="str">
        <f aca="false">IF(Tasks[[#This Row],[Task Name]]="","",MAX(1,N(Tasks[[#This Row],[Level]])))</f>
        <v/>
      </c>
      <c r="BV133" s="42" t="n">
        <f aca="false">ROW()-ROW(Tasks[[#Headers],[ID]])</f>
        <v>128</v>
      </c>
      <c r="BW133" s="42" t="n">
        <f aca="false">IF(OR(Tasks[[#This Row],[Task Name]]="",Tasks[[#This Row],[_Level]]&lt;=1),0,IFERROR(LOOKUP(2,1/(Tasks[[#Headers],[_Level]]:Tasks[[#This Row],[_Level]]=Tasks[[#This Row],[_Level]]-1),ROW(Tasks[[#Headers],[_Level]]:Tasks[[#This Row],[_Level]])),0))</f>
        <v>0</v>
      </c>
      <c r="BX133" s="42" t="n">
        <f aca="false">IFERROR(N(INDEX(Tasks[_Level],Tasks[[#This Row],[_Row]]+1)),0)</f>
        <v>0</v>
      </c>
      <c r="BY133" s="88" t="b">
        <f aca="false">AND(Tasks[[#This Row],[Task Name]]&lt;&gt;"",Tasks[[#This Row],[_NextLevel]]&gt;Tasks[[#This Row],[_Level]])</f>
        <v>0</v>
      </c>
      <c r="BZ133" s="42" t="n">
        <f aca="false">IF(Tasks[[#This Row],[_IsSummary]],COUNTIF(Tasks[WBS],Tasks[[#This Row],[WBS]]&amp;".*"),0)</f>
        <v>0</v>
      </c>
      <c r="CA133" s="42" t="n">
        <f aca="false">IF(AND(Tasks[[#This Row],[Task Name]]&lt;&gt;"",NOT(Tasks[[#This Row],[_IsSummary]])),1,0)</f>
        <v>0</v>
      </c>
      <c r="CB133" s="42" t="n">
        <f aca="false">IF(N(Tasks[[#This Row],[_Pred1UID]])=0,0,IFERROR(MATCH(Tasks[[#This Row],[_Pred1UID]],Tasks[UID],0),-1))</f>
        <v>0</v>
      </c>
      <c r="CC133" s="42" t="n">
        <f aca="false">IF(N(Tasks[[#This Row],[_Pred2UID]])=0,0,IFERROR(MATCH(Tasks[[#This Row],[_Pred2UID]],Tasks[UID],0),-1))</f>
        <v>0</v>
      </c>
      <c r="CD133" s="42" t="n">
        <f aca="false">IF(N(Tasks[[#This Row],[_Pred3UID]])=0,0,IFERROR(MATCH(Tasks[[#This Row],[_Pred3UID]],Tasks[UID],0),-1))</f>
        <v>0</v>
      </c>
      <c r="CE133" s="42" t="n">
        <f aca="false">IF(N(Tasks[[#This Row],[_Pred4UID]])=0,0,IFERROR(MATCH(Tasks[[#This Row],[_Pred4UID]],Tasks[UID],0),-1))</f>
        <v>0</v>
      </c>
      <c r="CF13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3" s="89" t="n">
        <f aca="false">IF(OR(Tasks[[#This Row],[_ConstraintCode]]=2,Tasks[[#This Row],[_ConstraintCode]]=3,Tasks[[#This Row],[_ConstraintCode]]=4,Tasks[[#This Row],[_ConstraintCode]]=6),Tasks[[#This Row],[_ConstraintStart]],0)</f>
        <v>0</v>
      </c>
      <c r="CI133" s="89" t="n">
        <f aca="false">IF(OR(Tasks[[#This Row],[_ConstraintCode]]=2,Tasks[[#This Row],[_ConstraintCode]]=3,Tasks[[#This Row],[_ConstraintCode]]=5,Tasks[[#This Row],[_ConstraintCode]]=7),Tasks[[#This Row],[_ConstraintStart]],2958465)</f>
        <v>2958465</v>
      </c>
      <c r="CJ13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3" s="89" t="str">
        <f aca="false">IF(NOT(Tasks[[#This Row],[_IsLeaf]]=1),"",IF(N(Tasks[[#This Row],[_Days]])&lt;=0,Tasks[[#This Row],[_LeafCalcStart]],WORKDAY.INTL(Tasks[[#This Row],[_LeafCalcStart]],Tasks[[#This Row],[_Days]]-1,WorkWeek,Holidays)))</f>
        <v/>
      </c>
      <c r="CL13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3" s="42" t="str">
        <f aca="false">IF(Tasks[[#This Row],[_Predecessors]]="","",TRIM(MID(SUBSTITUTE(SUBSTITUTE(SUBSTITUTE(UPPER(Tasks[[#This Row],[_Predecessors]]),";",",")," ",""),",",REPT(" ",99)),1,99)))</f>
        <v/>
      </c>
      <c r="CO133" s="42" t="str">
        <f aca="false">IF(Tasks[[#This Row],[_Pred1Text]]="","",IFERROR(VALUE(LEFT(Tasks[[#This Row],[_Pred1Text]],MIN(FIND("F",Tasks[[#This Row],[_Pred1Text]]&amp;"F"),FIND("S",Tasks[[#This Row],[_Pred1Text]]&amp;"S"),FIND("+",Tasks[[#This Row],[_Pred1Text]]&amp;"+"),FIND("-",Tasks[[#This Row],[_Pred1Text]]&amp;"-"))-1)),""))</f>
        <v/>
      </c>
      <c r="CP13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3" s="42" t="str">
        <f aca="false">IF(Tasks[[#This Row],[_Pred1Text]]="","",TRIM(MID(SUBSTITUTE(SUBSTITUTE(SUBSTITUTE(UPPER(Tasks[[#This Row],[_Predecessors]]),";",",")," ",""),",",REPT(" ",99)),100,99)))</f>
        <v/>
      </c>
      <c r="CS133" s="42" t="str">
        <f aca="false">IF(Tasks[[#This Row],[_Pred2Text]]="","",IFERROR(VALUE(LEFT(Tasks[[#This Row],[_Pred2Text]],MIN(FIND("F",Tasks[[#This Row],[_Pred2Text]]&amp;"F"),FIND("S",Tasks[[#This Row],[_Pred2Text]]&amp;"S"),FIND("+",Tasks[[#This Row],[_Pred2Text]]&amp;"+"),FIND("-",Tasks[[#This Row],[_Pred2Text]]&amp;"-"))-1)),""))</f>
        <v/>
      </c>
      <c r="CT13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3" s="42" t="str">
        <f aca="false">IF(Tasks[[#This Row],[_Pred2Text]]="","",TRIM(MID(SUBSTITUTE(SUBSTITUTE(SUBSTITUTE(UPPER(Tasks[[#This Row],[_Predecessors]]),";",",")," ",""),",",REPT(" ",99)),199,99)))</f>
        <v/>
      </c>
      <c r="CW133" s="42" t="str">
        <f aca="false">IF(Tasks[[#This Row],[_Pred3Text]]="","",IFERROR(VALUE(LEFT(Tasks[[#This Row],[_Pred3Text]],MIN(FIND("F",Tasks[[#This Row],[_Pred3Text]]&amp;"F"),FIND("S",Tasks[[#This Row],[_Pred3Text]]&amp;"S"),FIND("+",Tasks[[#This Row],[_Pred3Text]]&amp;"+"),FIND("-",Tasks[[#This Row],[_Pred3Text]]&amp;"-"))-1)),""))</f>
        <v/>
      </c>
      <c r="CX13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3" s="42" t="str">
        <f aca="false">IF(Tasks[[#This Row],[_Pred3Text]]="","",TRIM(MID(SUBSTITUTE(SUBSTITUTE(SUBSTITUTE(UPPER(Tasks[[#This Row],[_Predecessors]]),";",",")," ",""),",",REPT(" ",99)),298,99)))</f>
        <v/>
      </c>
      <c r="DA133" s="42" t="str">
        <f aca="false">IF(Tasks[[#This Row],[_Pred4Text]]="","",IFERROR(VALUE(LEFT(Tasks[[#This Row],[_Pred4Text]],MIN(FIND("F",Tasks[[#This Row],[_Pred4Text]]&amp;"F"),FIND("S",Tasks[[#This Row],[_Pred4Text]]&amp;"S"),FIND("+",Tasks[[#This Row],[_Pred4Text]]&amp;"+"),FIND("-",Tasks[[#This Row],[_Pred4Text]]&amp;"-"))-1)),""))</f>
        <v/>
      </c>
      <c r="DB13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3" s="42" t="str">
        <f aca="false">IF(OR(Tasks[[#This Row],[Task Name]]="",Tasks[[#This Row],[_Resources]]=""),"",TRIM(MID(SUBSTITUTE(Tasks[[#This Row],[_Resources]],",",REPT(" ",99)),1,99)))</f>
        <v/>
      </c>
      <c r="DE133" s="42" t="str">
        <f aca="false">IF(Tasks[[#This Row],[_Res1Text]]="","",TRIM(MID(SUBSTITUTE(Tasks[[#This Row],[_Resources]],",",REPT(" ",99)),100,99)))</f>
        <v/>
      </c>
      <c r="DF133" s="42" t="str">
        <f aca="false">IF(Tasks[[#This Row],[_Res2Text]]="","",TRIM(MID(SUBSTITUTE(Tasks[[#This Row],[_Resources]],",",REPT(" ",99)),199,99)))</f>
        <v/>
      </c>
      <c r="DG133" s="42" t="str">
        <f aca="false">IF(Tasks[[#This Row],[_Res3Text]]="","",TRIM(MID(SUBSTITUTE(Tasks[[#This Row],[_Resources]],",",REPT(" ",99)),298,99)))</f>
        <v/>
      </c>
      <c r="DH133" s="42" t="n">
        <f aca="false">IF(Tasks[[#This Row],[_Res1Text]]="",0,IFERROR(MATCH(TRIM(LEFT(Tasks[[#This Row],[_Res1Text]],FIND("[",Tasks[[#This Row],[_Res1Text]]&amp;"[")-1)),res_Name,0),IFERROR(MATCH(TRIM(LEFT(Tasks[[#This Row],[_Res1Text]],FIND("[",Tasks[[#This Row],[_Res1Text]]&amp;"[")-1)),res_Initials,0),0)))</f>
        <v>0</v>
      </c>
      <c r="DI133" s="42" t="n">
        <f aca="false">IF(Tasks[[#This Row],[_Res2Text]]="",0,IFERROR(MATCH(TRIM(LEFT(Tasks[[#This Row],[_Res2Text]],FIND("[",Tasks[[#This Row],[_Res2Text]]&amp;"[")-1)),res_Name,0),IFERROR(MATCH(TRIM(LEFT(Tasks[[#This Row],[_Res2Text]],FIND("[",Tasks[[#This Row],[_Res2Text]]&amp;"[")-1)),res_Initials,0),0)))</f>
        <v>0</v>
      </c>
      <c r="DJ133" s="42" t="n">
        <f aca="false">IF(Tasks[[#This Row],[_Res3Text]]="",0,IFERROR(MATCH(TRIM(LEFT(Tasks[[#This Row],[_Res3Text]],FIND("[",Tasks[[#This Row],[_Res3Text]]&amp;"[")-1)),res_Name,0),IFERROR(MATCH(TRIM(LEFT(Tasks[[#This Row],[_Res3Text]],FIND("[",Tasks[[#This Row],[_Res3Text]]&amp;"[")-1)),res_Initials,0),0)))</f>
        <v>0</v>
      </c>
      <c r="DK133" s="42" t="n">
        <f aca="false">IF(Tasks[[#This Row],[_Res4Text]]="",0,IFERROR(MATCH(TRIM(LEFT(Tasks[[#This Row],[_Res4Text]],FIND("[",Tasks[[#This Row],[_Res4Text]]&amp;"[")-1)),res_Name,0),IFERROR(MATCH(TRIM(LEFT(Tasks[[#This Row],[_Res4Text]],FIND("[",Tasks[[#This Row],[_Res4Text]]&amp;"[")-1)),res_Initials,0),0)))</f>
        <v>0</v>
      </c>
      <c r="DL133" s="42" t="str">
        <f aca="false">IF(Tasks[[#This Row],[_Res1Text]]="","",IF(Tasks[[#This Row],[_Res1Row]]&gt;0,INDEX(res_Name,Tasks[[#This Row],[_Res1Row]]),TRIM(LEFT(Tasks[[#This Row],[_Res1Text]],FIND("[",Tasks[[#This Row],[_Res1Text]]&amp;"[")-1))))</f>
        <v/>
      </c>
      <c r="DM13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3" s="42" t="n">
        <f aca="false">IF(NOT(Tasks[[#This Row],[_IsLeaf]]=1),0,(Tasks[[#This Row],[_Resource1]]&lt;&gt;"")+(Tasks[[#This Row],[_Res2]]&lt;&gt;"")+(Tasks[[#This Row],[_Res3]]&lt;&gt;"")+(Tasks[[#This Row],[_Res4]]&lt;&gt;""))</f>
        <v>0</v>
      </c>
      <c r="DO133" s="42" t="str">
        <f aca="false">IF(Tasks[[#This Row],[_Res2Text]]="","",IF(Tasks[[#This Row],[_Res2Row]]&gt;0,INDEX(res_Name,Tasks[[#This Row],[_Res2Row]]),TRIM(LEFT(Tasks[[#This Row],[_Res2Text]],FIND("[",Tasks[[#This Row],[_Res2Text]]&amp;"[")-1))))</f>
        <v/>
      </c>
      <c r="DP13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3" s="42" t="n">
        <f aca="false">IF(OR(NOT(Tasks[[#This Row],[_IsLeaf]]=1),Tasks[[#This Row],[_Res2Row]]=0),0,N(Tasks[[#This Row],[_Days]])*HoursPerDay*IF(Tasks[[#This Row],[_Res2Units]]="",DefaultUnits,Tasks[[#This Row],[_Res2Units]]))</f>
        <v>0</v>
      </c>
      <c r="DR133" s="42" t="n">
        <f aca="false">IF(AND(AND(Tasks[[#This Row],[_IsLeaf]]=1,Tasks[[#This Row],[_LeafTotalWork]]&gt;0),Tasks[[#This Row],[_Res2Work]]&gt;0),Tasks[[#This Row],[_Res2Work]]/(Tasks[[#This Row],[_FinishWorkday]]-Tasks[[#This Row],[_StartWorkday]]+1),0)</f>
        <v>0</v>
      </c>
      <c r="DS133" s="42" t="n">
        <f aca="false">Tasks[[#This Row],[_Res2WorkPerWD]]*MAX(0,Tasks[[#This Row],[_StartWorkday]]-1)</f>
        <v>0</v>
      </c>
      <c r="DT133" s="42" t="n">
        <f aca="false">Tasks[[#This Row],[_Res2Work]]*Tasks[[#This Row],[_LeafProgress]]</f>
        <v>0</v>
      </c>
      <c r="DU133" s="42" t="str">
        <f aca="false">IF(Tasks[[#This Row],[_Res3Text]]="","",IF(Tasks[[#This Row],[_Res3Row]]&gt;0,INDEX(res_Name,Tasks[[#This Row],[_Res3Row]]),TRIM(LEFT(Tasks[[#This Row],[_Res3Text]],FIND("[",Tasks[[#This Row],[_Res3Text]]&amp;"[")-1))))</f>
        <v/>
      </c>
      <c r="DV13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3" s="42" t="n">
        <f aca="false">IF(OR(NOT(Tasks[[#This Row],[_IsLeaf]]=1),Tasks[[#This Row],[_Res3Row]]=0),0,N(Tasks[[#This Row],[_Days]])*HoursPerDay*IF(Tasks[[#This Row],[_Res3Units]]="",DefaultUnits,Tasks[[#This Row],[_Res3Units]]))</f>
        <v>0</v>
      </c>
      <c r="DX133" s="42" t="n">
        <f aca="false">IF(AND(AND(Tasks[[#This Row],[_IsLeaf]]=1,Tasks[[#This Row],[_LeafTotalWork]]&gt;0),Tasks[[#This Row],[_Res3Work]]&gt;0),Tasks[[#This Row],[_Res3Work]]/(Tasks[[#This Row],[_FinishWorkday]]-Tasks[[#This Row],[_StartWorkday]]+1),0)</f>
        <v>0</v>
      </c>
      <c r="DY133" s="42" t="n">
        <f aca="false">Tasks[[#This Row],[_Res3WorkPerWD]]*MAX(0,Tasks[[#This Row],[_StartWorkday]]-1)</f>
        <v>0</v>
      </c>
      <c r="DZ133" s="42" t="n">
        <f aca="false">Tasks[[#This Row],[_Res3Work]]*Tasks[[#This Row],[_LeafProgress]]</f>
        <v>0</v>
      </c>
      <c r="EA133" s="42" t="str">
        <f aca="false">IF(Tasks[[#This Row],[_Res4Text]]="","",IF(Tasks[[#This Row],[_Res4Row]]&gt;0,INDEX(res_Name,Tasks[[#This Row],[_Res4Row]]),TRIM(LEFT(Tasks[[#This Row],[_Res4Text]],FIND("[",Tasks[[#This Row],[_Res4Text]]&amp;"[")-1))))</f>
        <v/>
      </c>
      <c r="EB13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3" s="42" t="n">
        <f aca="false">IF(OR(NOT(Tasks[[#This Row],[_IsLeaf]]=1),Tasks[[#This Row],[_Res4Row]]=0),0,N(Tasks[[#This Row],[_Days]])*HoursPerDay*IF(Tasks[[#This Row],[_Res4Units]]="",DefaultUnits,Tasks[[#This Row],[_Res4Units]]))</f>
        <v>0</v>
      </c>
      <c r="ED133" s="42" t="n">
        <f aca="false">IF(AND(AND(Tasks[[#This Row],[_IsLeaf]]=1,Tasks[[#This Row],[_LeafTotalWork]]&gt;0),Tasks[[#This Row],[_Res4Work]]&gt;0),Tasks[[#This Row],[_Res4Work]]/(Tasks[[#This Row],[_FinishWorkday]]-Tasks[[#This Row],[_StartWorkday]]+1),0)</f>
        <v>0</v>
      </c>
      <c r="EE133" s="42" t="n">
        <f aca="false">Tasks[[#This Row],[_Res4WorkPerWD]]*MAX(0,Tasks[[#This Row],[_StartWorkday]]-1)</f>
        <v>0</v>
      </c>
      <c r="EF133" s="42" t="n">
        <f aca="false">Tasks[[#This Row],[_Res4Work]]*Tasks[[#This Row],[_LeafProgress]]</f>
        <v>0</v>
      </c>
      <c r="EG133" s="42" t="n">
        <f aca="false">IF(ISNUMBER(Tasks[[#This Row],[% Complete]]),Tasks[[#This Row],[% Complete]],IF(Tasks[[#This Row],[Stage]]="",0,IFERROR(INDEX(stg_Pct,MATCH(Tasks[[#This Row],[Stage]],stg_Name,0)),0)))</f>
        <v>0</v>
      </c>
      <c r="EH133" s="42" t="n">
        <f aca="false">IF(NOT(Tasks[[#This Row],[_IsLeaf]]=1),0,IF(N(Tasks[[#This Row],[Actual Finish]])&gt;0,1,MIN(1,Tasks[[#This Row],[_Pct]])))</f>
        <v>0</v>
      </c>
      <c r="EI133" s="42" t="n">
        <f aca="false">IF(OR(NOT(Tasks[[#This Row],[_IsLeaf]]=1),Tasks[[#This Row],[_Res1Row]]=0),0,N(Tasks[[#This Row],[_Days]])*HoursPerDay*IF(Tasks[[#This Row],[_Units1]]="",DefaultUnits,Tasks[[#This Row],[_Units1]]))</f>
        <v>0</v>
      </c>
      <c r="EJ133" s="42" t="n">
        <f aca="false">Tasks[[#This Row],[_LeafWork]]+Tasks[[#This Row],[_Res2Work]]+Tasks[[#This Row],[_Res3Work]]+Tasks[[#This Row],[_Res4Work]]</f>
        <v>0</v>
      </c>
      <c r="EK13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3" s="42" t="n">
        <f aca="false">IF(NOT(Tasks[[#This Row],[_IsLeaf]]=1),0,MAX(_xlfn.MAXIFS(Tasks[_Row],Tasks[_Pred1UID],Tasks[[#This Row],[UID]]),_xlfn.MAXIFS(Tasks[_Row],Tasks[_Pred2UID],Tasks[[#This Row],[UID]]),_xlfn.MAXIFS(Tasks[_Row],Tasks[_Pred3UID],Tasks[[#This Row],[UID]]),_xlfn.MAXIFS(Tasks[_Row],Tasks[_Pred4UID],Tasks[[#This Row],[UID]])))</f>
        <v>0</v>
      </c>
      <c r="ET13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3" s="89" t="str">
        <f aca="false">IF(NOT(Tasks[[#This Row],[_IsLeaf]]=1),"",IF(N(Tasks[[#This Row],[_Days]])&lt;=0,Tasks[[#This Row],[_LeafLateFinish]],WORKDAY.INTL(Tasks[[#This Row],[_LeafLateFinish]],-(Tasks[[#This Row],[_Days]]-1),WorkWeek,Holidays)))</f>
        <v/>
      </c>
      <c r="EW13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3" s="88" t="b">
        <f aca="false">AND(Tasks[[#This Row],[_IsLeaf]]=1,Tasks[[#This Row],[_LeafProgress]]&lt;1,N(Tasks[[#This Row],[_LeafTotalSlack]])&lt;=CriticalSlackDays)</f>
        <v>0</v>
      </c>
      <c r="EY133" s="42" t="n">
        <f aca="false">IF(AND(Tasks[[#This Row],[_IsLeaf]]=1,Tasks[[#This Row],[_ConstraintCode]]=1,Tasks[[#This Row],[Mode]]&lt;&gt;"Manual",N(Tasks[[#This Row],[Actual Start]])=0),MAX(0,N(Tasks[[#This Row],[Free Slack]])),0)</f>
        <v>0</v>
      </c>
      <c r="EZ133" s="89" t="str">
        <f aca="false">IF(NOT(Tasks[[#This Row],[_IsLeaf]]=1),"",IF(Tasks[[#This Row],[_AlapShift]]=0,Tasks[[#This Row],[_LeafCalcStart]],WORKDAY.INTL(Tasks[[#This Row],[_LeafCalcStart]],Tasks[[#This Row],[_AlapShift]],WorkWeek,Holidays)))</f>
        <v/>
      </c>
      <c r="FA133" s="89" t="str">
        <f aca="false">IF(NOT(Tasks[[#This Row],[_IsLeaf]]=1),"",IF(Tasks[[#This Row],[_AlapShift]]=0,Tasks[[#This Row],[_LeafCalcFinish]],WORKDAY.INTL(Tasks[[#This Row],[_LeafCalcFinish]],Tasks[[#This Row],[_AlapShift]],WorkWeek,Holidays)))</f>
        <v/>
      </c>
      <c r="FB133" s="89" t="str">
        <f aca="false">IF(NOT(Tasks[[#This Row],[_IsLeaf]]=1),"",IF(Tasks[[#This Row],[_AlapShift]]=0,Tasks[[#This Row],[_LeafFcstStart]],WORKDAY.INTL(Tasks[[#This Row],[_LeafFcstStart]],Tasks[[#This Row],[_AlapShift]],WorkWeek,Holidays)))</f>
        <v/>
      </c>
      <c r="FC133" s="89" t="str">
        <f aca="false">IF(NOT(Tasks[[#This Row],[_IsLeaf]]=1),"",IF(Tasks[[#This Row],[_AlapShift]]=0,Tasks[[#This Row],[_LeafFcstFinish]],WORKDAY.INTL(Tasks[[#This Row],[_LeafFcstFinish]],Tasks[[#This Row],[_AlapShift]],WorkWeek,Holidays)))</f>
        <v/>
      </c>
      <c r="FD133" s="89" t="str">
        <f aca="false">IF(Tasks[[#This Row],[Task Name]]="","",IF(Tasks[[#This Row],[_IsSummary]],MIN(INDEX(Tasks[_ShownCalcStart],Tasks[[#This Row],[_Row]]+1):INDEX(Tasks[_ShownCalcStart],Tasks[[#This Row],[_Row]]+Tasks[[#This Row],[_Descendants]])),Tasks[[#This Row],[_ShownCalcStart]]))</f>
        <v/>
      </c>
      <c r="FE133" s="89" t="str">
        <f aca="false">IF(Tasks[[#This Row],[Task Name]]="","",IF(Tasks[[#This Row],[_IsSummary]],MAX(INDEX(Tasks[_ShownCalcFinish],Tasks[[#This Row],[_Row]]+1):INDEX(Tasks[_ShownCalcFinish],Tasks[[#This Row],[_Row]]+Tasks[[#This Row],[_Descendants]])),Tasks[[#This Row],[_ShownCalcFinish]]))</f>
        <v/>
      </c>
      <c r="FF13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3" s="42" t="n">
        <f aca="false">IF(AND(Tasks[[#This Row],[_IsLeaf]]=1,Tasks[[#This Row],[_LeafTotalWork]]&gt;0),NETWORKDAYS.INTL(ProjectStart,Tasks[[#This Row],[_ShownFcstStart]],WorkWeek,Holidays),0)</f>
        <v>0</v>
      </c>
      <c r="FS133" s="42" t="n">
        <f aca="false">IF(AND(Tasks[[#This Row],[_IsLeaf]]=1,Tasks[[#This Row],[_LeafTotalWork]]&gt;0),MAX(Tasks[[#This Row],[_StartWorkday]],NETWORKDAYS.INTL(ProjectStart,Tasks[[#This Row],[_ShownFcstFinish]],WorkWeek,Holidays)),0)</f>
        <v>0</v>
      </c>
      <c r="FT133" s="42" t="n">
        <f aca="false">IF(AND(Tasks[[#This Row],[_IsLeaf]]=1,Tasks[[#This Row],[_LeafTotalWork]]&gt;0),Tasks[[#This Row],[_LeafWork]]/(Tasks[[#This Row],[_FinishWorkday]]-Tasks[[#This Row],[_StartWorkday]]+1),0)</f>
        <v>0</v>
      </c>
      <c r="FU133" s="42" t="n">
        <f aca="false">Tasks[[#This Row],[_WorkPerWorkday]]*(Tasks[[#This Row],[_StartWorkday]]-1)</f>
        <v>-0</v>
      </c>
      <c r="FV133" s="42" t="n">
        <f aca="false">IF(Tasks[[#This Row],[_IsLeaf]]=1,MAX(N(Tasks[[#This Row],[_Days]]),0.1),0)</f>
        <v>0</v>
      </c>
      <c r="FW133" s="42" t="n">
        <f aca="false">Tasks[[#This Row],[_WeightDur]]*Tasks[[#This Row],[_LeafProgress]]</f>
        <v>0</v>
      </c>
      <c r="FX133" s="42" t="n">
        <f aca="false">Tasks[[#This Row],[_WeightDur]]*Tasks[[#This Row],[_PlannedPct]]</f>
        <v>0</v>
      </c>
      <c r="FY13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3" s="42" t="str">
        <f aca="false">IF(AND(Tasks[[#This Row],[_IsLeaf]]=1,N(Tasks[[#This Row],[_Days]])=0,Tasks[[#This Row],[_LeafProgress]]&lt;1),Tasks[[#This Row],[_ShownFcstFinish]]+Tasks[[#This Row],[_Row]]/100000,"")</f>
        <v/>
      </c>
      <c r="GA13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3" s="42" t="str">
        <f aca="false">IF(Tasks[[#This Row],[Task Name]]="","",LEFT(Tasks[[#This Row],[WBS]],FIND(".",Tasks[[#This Row],[WBS]]&amp;".")-1))</f>
        <v/>
      </c>
      <c r="GC133" s="42" t="str">
        <f aca="false">IF(AND(Tasks[[#This Row],[Task Name]]&lt;&gt;"",Tasks[[#This Row],[_Level]]=1),Tasks[[#This Row],[_Row]],"")</f>
        <v/>
      </c>
      <c r="GD133" s="42" t="str">
        <f aca="false">IF(AND(Tasks[[#This Row],[_IsLeaf]]=1,N(Tasks[[#This Row],[_Days]])=0),Tasks[[#This Row],[Planned Finish]]+Tasks[[#This Row],[_Row]]/100000,"")</f>
        <v/>
      </c>
      <c r="GE133" s="42" t="str">
        <f aca="false">IF(AND(Tasks[[#This Row],[_IsLeaf]]=1,Tasks[[#This Row],[_LeafProgress]]&lt;1,OR(N(Tasks[[#This Row],[Finish Var]])&gt;0,Tasks[[#This Row],[Status]]="Late Start")),MAX(0,Tasks[[#This Row],[Finish Var]])+1-Tasks[[#This Row],[_Row]]/1000000,"")</f>
        <v/>
      </c>
      <c r="GF133" s="42" t="str">
        <f aca="false">IF(AND(Tasks[[#This Row],[_IsLeaf]]=1,N(Tasks[[#This Row],[Actual Start]])=0,Tasks[[#This Row],[_ShownFcstStart]]&gt;=StatusDate,Tasks[[#This Row],[_ShownFcstStart]]&lt;=LookaheadEnd),Tasks[[#This Row],[_ShownFcstStart]]+Tasks[[#This Row],[_Row]]/100000,"")</f>
        <v/>
      </c>
      <c r="GG133" s="42" t="str">
        <f aca="false">IF(AND(Tasks[[#This Row],[_IsLeaf]]=1,Tasks[[#This Row],[_LeafProgress]]&lt;1,Tasks[[#This Row],[_ShownFcstFinish]]&gt;=StatusDate,Tasks[[#This Row],[_ShownFcstFinish]]&lt;=LookaheadEnd),Tasks[[#This Row],[_ShownFcstFinish]]+Tasks[[#This Row],[_Row]]/100000,"")</f>
        <v/>
      </c>
      <c r="GH133" s="42" t="str">
        <f aca="false">IF(Tasks[[#This Row],[_LeafCritical]],Tasks[[#This Row],[_ShownFcstStart]]+Tasks[[#This Row],[_Row]]/100000,"")</f>
        <v/>
      </c>
      <c r="GI133" s="42" t="n">
        <f aca="false">Tasks[[#This Row],[_LeafWork]]*Tasks[[#This Row],[_LeafProgress]]</f>
        <v>0</v>
      </c>
      <c r="GJ133" s="89" t="str">
        <f aca="false">IF(AND(Tasks[[#This Row],[_IsLeaf]]=1,Tasks[[#This Row],[_LeafProgress]]&gt;=1),IF(N(Tasks[[#This Row],[Actual Finish]])&gt;0,Tasks[[#This Row],[Actual Finish]],Tasks[[#This Row],[_ShownFcstFinish]]),"")</f>
        <v/>
      </c>
      <c r="GK133" s="42" t="n">
        <f aca="false">IF(Tasks[[#This Row],[_IsLeaf]]=1,N(Tasks[[#This Row],[Story Points]]),0)</f>
        <v>0</v>
      </c>
      <c r="GL133" s="42" t="str">
        <f aca="false">""</f>
        <v/>
      </c>
      <c r="GM133" s="88" t="b">
        <f aca="false">IF(Tasks[[#This Row],[Task Name]]="",FALSE(),AND(Tasks[[#This Row],[_IsLeaf]]=1,N(Tasks[[#This Row],[_Days]])=0))</f>
        <v>0</v>
      </c>
      <c r="GN133" s="89" t="n">
        <f aca="false">IF(Tasks[[#This Row],[Task Name]]="",0,IF(AND(Tasks[[#This Row],[_IsLeaf]]=1,NOT(Tasks[[#This Row],[_IsMilestone]]),N(Tasks[[#This Row],[Progress]])&gt;0),Tasks[[#This Row],[Start]],0))</f>
        <v>0</v>
      </c>
      <c r="GO133" s="89" t="n">
        <f aca="false">IF(Tasks[[#This Row],[_DoneFrom]]=0,0,IF(Tasks[[#This Row],[Progress]]&gt;=1,Tasks[[#This Row],[Finish]],MAX(Tasks[[#This Row],[_DoneFrom]],Tasks[[#This Row],[Start]]+ROUND((Tasks[[#This Row],[Finish]]-Tasks[[#This Row],[Start]]+1)*Tasks[[#This Row],[Progress]],0)-1)))</f>
        <v>0</v>
      </c>
      <c r="GP133" s="89" t="n">
        <f aca="false">IF(Tasks[[#This Row],[Task Name]]="",0,IF(OR(NOT(Tasks[[#This Row],[_IsLeaf]]=1),Tasks[[#This Row],[_IsMilestone]],N(Tasks[[#This Row],[Progress]])&gt;=1),0,IF(Tasks[[#This Row],[_DoneTo]]&gt;0,Tasks[[#This Row],[_DoneTo]]+1,Tasks[[#This Row],[Start]])))</f>
        <v>0</v>
      </c>
      <c r="GQ133" s="89" t="n">
        <f aca="false">IF(Tasks[[#This Row],[_RemFrom]]=0,0,Tasks[[#This Row],[Finish]])</f>
        <v>0</v>
      </c>
      <c r="GR133" s="88" t="b">
        <f aca="false">IF(Tasks[[#This Row],[Task Name]]="",FALSE(),OR(NOT(BaselineSet),N(Tasks[[#This Row],[Baseline Start]])&gt;0))</f>
        <v>0</v>
      </c>
      <c r="GS13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3" s="90" t="str">
        <f aca="false">IF(Tasks[[#This Row],[_IsLeaf]]=1,Tasks[[#This Row],[_Row]],"")</f>
        <v/>
      </c>
      <c r="GW133" s="90" t="str">
        <f aca="false">IFERROR(INDEX(Tasks[UID],SMALL(Tasks[_PickKey],Tasks[[#This Row],[_Row]]))&amp;" "&amp;INDEX(Tasks[Task Name],SMALL(Tasks[_PickKey],Tasks[[#This Row],[_Row]])),"")</f>
        <v/>
      </c>
      <c r="GX133" s="42" t="str">
        <f aca="false">IF(Tasks[[#This Row],[Task Name]]="","",IF(Tasks[[#This Row],[_IsSummary]],NETWORKDAYS.INTL(Tasks[[#This Row],[Start]],Tasks[[#This Row],[Finish]],WorkWeek,Holidays),N(Tasks[[#This Row],[_Days]])))</f>
        <v/>
      </c>
    </row>
    <row r="134" customFormat="false" ht="15" hidden="false" customHeight="false" outlineLevel="0" collapsed="false">
      <c r="A134" s="21" t="str">
        <f aca="false">IF(Tasks[[#This Row],[Task Name]]="","",COUNTA(Tasks[[#Headers],[Task Name]]:Tasks[[#This Row],[Task Name]])-1)</f>
        <v/>
      </c>
      <c r="B134" s="22" t="n">
        <v>142</v>
      </c>
      <c r="C134" s="22"/>
      <c r="D134" s="23"/>
      <c r="E134" s="22"/>
      <c r="F134" s="23"/>
      <c r="G134" s="22"/>
      <c r="H134" s="22"/>
      <c r="I134" s="23"/>
      <c r="J134" s="22"/>
      <c r="K134" s="22"/>
      <c r="L134" s="23"/>
      <c r="M134" s="22"/>
      <c r="N134" s="22"/>
      <c r="O134" s="23"/>
      <c r="P134" s="22"/>
      <c r="Q134" s="22"/>
      <c r="R134" s="23"/>
      <c r="S134" s="23"/>
      <c r="T134" s="83"/>
      <c r="U134" s="23"/>
      <c r="V134" s="83"/>
      <c r="W134" s="23"/>
      <c r="X134" s="83"/>
      <c r="Y134" s="23"/>
      <c r="Z134" s="83"/>
      <c r="AA134" s="23"/>
      <c r="AB134" s="23"/>
      <c r="AC134" s="7"/>
      <c r="AD134" s="7"/>
      <c r="AE134" s="62" t="str">
        <f aca="false">IF(Tasks[[#This Row],[Task Name]]="","",IF(Tasks[[#This Row],[_IsSummary]],MIN(INDEX(Tasks[_ShownFcstStart],Tasks[[#This Row],[_Row]]+1):INDEX(Tasks[_ShownFcstStart],Tasks[[#This Row],[_Row]]+Tasks[[#This Row],[_Descendants]])),Tasks[[#This Row],[_ShownFcstStart]]))</f>
        <v/>
      </c>
      <c r="AF134" s="62" t="str">
        <f aca="false">IF(Tasks[[#This Row],[Task Name]]="","",IF(Tasks[[#This Row],[_IsSummary]],MAX(INDEX(Tasks[_ShownFcstFinish],Tasks[[#This Row],[_Row]]+1):INDEX(Tasks[_ShownFcstFinish],Tasks[[#This Row],[_Row]]+Tasks[[#This Row],[_Descendants]])),Tasks[[#This Row],[_ShownFcstFinish]]))</f>
        <v/>
      </c>
      <c r="AG134" s="21" t="str">
        <f aca="false">""</f>
        <v/>
      </c>
      <c r="AH134" s="23"/>
      <c r="AI13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4" s="7"/>
      <c r="AK134" s="22"/>
      <c r="AL134" s="23"/>
      <c r="AM134" s="7"/>
      <c r="AN134" s="46" t="str">
        <f aca="false">IF(Tasks[[#This Row],[Task Name]]="","",IF(Tasks[[#This Row],[Finish]]&gt;=Tasks[[#This Row],[Planned Finish]],NETWORKDAYS.INTL(Tasks[[#This Row],[Planned Finish]],Tasks[[#This Row],[Finish]],WorkWeek,Holidays)-1,1-NETWORKDAYS.INTL(Tasks[[#This Row],[Finish]],Tasks[[#This Row],[Planned Finish]],WorkWeek,Holidays)))</f>
        <v/>
      </c>
      <c r="AO134" s="21" t="str">
        <f aca="false">IF(Tasks[[#This Row],[Task Name]]="","",IF(Tasks[[#This Row],[Progress]]&gt;=1,"Complete",IF(OR(N(Tasks[[#This Row],[Actual Start]])&gt;0,Tasks[[#This Row],[Progress]]&gt;0),IF(Tasks[[#This Row],[Finish Var]]&gt;0,"Behind","In Progress"),IF(Tasks[[#This Row],[Planned Start]]&lt;StatusDate,"Late Start","Not Started"))))</f>
        <v/>
      </c>
      <c r="AP134" s="21" t="str">
        <f aca="false">IF(Tasks[[#This Row],[Task Name]]="","",IF(IF(Tasks[[#This Row],[_IsSummary]],COUNTIF(INDEX(Tasks[_LeafCritical],Tasks[[#This Row],[_Row]]+1):INDEX(Tasks[_LeafCritical],Tasks[[#This Row],[_Row]]+Tasks[[#This Row],[_Descendants]]),TRUE())&gt;0,Tasks[[#This Row],[_LeafCritical]]),"Yes",""))</f>
        <v/>
      </c>
      <c r="AQ134" s="62" t="str">
        <f aca="false">IF(Tasks[[#This Row],[Task Name]]="","",IF(N(Tasks[[#This Row],[Baseline Start]])&gt;0,Tasks[[#This Row],[Baseline Start]],Tasks[[#This Row],[_CalcStart]]))</f>
        <v/>
      </c>
      <c r="AR134" s="62" t="str">
        <f aca="false">IF(Tasks[[#This Row],[Task Name]]="","",IF(N(Tasks[[#This Row],[Baseline Finish]])&gt;0,Tasks[[#This Row],[Baseline Finish]],Tasks[[#This Row],[_CalcFinish]]))</f>
        <v/>
      </c>
      <c r="AS134" s="46" t="str">
        <f aca="false">IF(Tasks[[#This Row],[Task Name]]="","",IF(Tasks[[#This Row],[Start]]&gt;=Tasks[[#This Row],[Planned Start]],NETWORKDAYS.INTL(Tasks[[#This Row],[Planned Start]],Tasks[[#This Row],[Start]],WorkWeek,Holidays)-1,1-NETWORKDAYS.INTL(Tasks[[#This Row],[Start]],Tasks[[#This Row],[Planned Start]],WorkWeek,Holidays)))</f>
        <v/>
      </c>
      <c r="AT134" s="62" t="str">
        <f aca="false">IF(Tasks[[#This Row],[Task Name]]="","",IF(Tasks[[#This Row],[_IsSummary]],MIN(INDEX(Tasks[_LeafLateStart],Tasks[[#This Row],[_Row]]+1):INDEX(Tasks[_LeafLateStart],Tasks[[#This Row],[_Row]]+Tasks[[#This Row],[_Descendants]])),Tasks[[#This Row],[_LeafLateStart]]))</f>
        <v/>
      </c>
      <c r="AU134" s="62" t="str">
        <f aca="false">IF(Tasks[[#This Row],[Task Name]]="","",IF(Tasks[[#This Row],[_IsSummary]],MAX(INDEX(Tasks[_LeafLateFinish],Tasks[[#This Row],[_Row]]+1):INDEX(Tasks[_LeafLateFinish],Tasks[[#This Row],[_Row]]+Tasks[[#This Row],[_Descendants]])),Tasks[[#This Row],[_LeafLateFinish]]))</f>
        <v/>
      </c>
      <c r="AV134" s="46" t="str">
        <f aca="false">IF(Tasks[[#This Row],[Task Name]]="","",IF(Tasks[[#This Row],[_IsSummary]],MIN(INDEX(Tasks[_LeafTotalSlack],Tasks[[#This Row],[_Row]]+1):INDEX(Tasks[_LeafTotalSlack],Tasks[[#This Row],[_Row]]+Tasks[[#This Row],[_Descendants]])),Tasks[[#This Row],[_LeafTotalSlack]]))</f>
        <v/>
      </c>
      <c r="AW13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4"/>
      <c r="BA13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t="str">
        <f aca="false">IF(Tasks[[#This Row],[Task Name]]="","",IF(Tasks[[#This Row],[_Level]]&lt;=OutlineShowLevel,"Yes","No"))</f>
        <v/>
      </c>
      <c r="BE134" s="85" t="str">
        <f aca="false">IF(Tasks[[#This Row],[Task Name]]="","",IF(Tasks[[#This Row],[_IsSummary]],SUM(INDEX(Tasks[_LeafTotalWork],Tasks[[#This Row],[_Row]]+1):INDEX(Tasks[_LeafTotalWork],Tasks[[#This Row],[_Row]]+Tasks[[#This Row],[_Descendants]])),Tasks[[#This Row],[_LeafTotalWork]]))</f>
        <v/>
      </c>
      <c r="BF134" s="23"/>
      <c r="BG13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t="str">
        <f aca="false">""</f>
        <v/>
      </c>
      <c r="BI134" s="86"/>
      <c r="BJ134" s="22"/>
      <c r="BK134" s="46" t="str">
        <f aca="false">IF(OR(Tasks[[#This Row],[Task Name]]="",Tasks[[#This Row],[Baseline Duration]]=""),"",Tasks[[#This Row],[_SpanDays]]-N(Tasks[[#This Row],[Baseline Duration]]))</f>
        <v/>
      </c>
      <c r="BL134" s="85" t="str">
        <f aca="false">IF(OR(Tasks[[#This Row],[Task Name]]="",Tasks[[#This Row],[Baseline Work]]=""),"",Tasks[[#This Row],[Work]]-N(Tasks[[#This Row],[Baseline Work]]))</f>
        <v/>
      </c>
      <c r="BM134" s="62" t="str">
        <f aca="false">IF(Tasks[[#This Row],[Task Name]]="","",IF(OR(TakeBaseline="Yes",N(Tasks[[#This Row],[Baseline Start]])=0),Tasks[[#This Row],[Start]],Tasks[[#This Row],[Baseline Start]]))</f>
        <v/>
      </c>
      <c r="BN134" s="62" t="str">
        <f aca="false">IF(Tasks[[#This Row],[Task Name]]="","",IF(OR(TakeBaseline="Yes",N(Tasks[[#This Row],[Baseline Finish]])=0),Tasks[[#This Row],[Finish]],Tasks[[#This Row],[Baseline Finish]]))</f>
        <v/>
      </c>
      <c r="BO134" s="21" t="str">
        <f aca="false">IF(Tasks[[#This Row],[Task Name]]="","",IF(OR(TakeBaseline="Yes",N(Tasks[[#This Row],[Baseline Duration]])=0),Tasks[[#This Row],[_SpanDays]],Tasks[[#This Row],[Baseline Duration]]))</f>
        <v/>
      </c>
      <c r="BP134" s="85" t="str">
        <f aca="false">IF(Tasks[[#This Row],[Task Name]]="","",IF(OR(TakeBaseline="Yes",N(Tasks[[#This Row],[Baseline Work]])=0),Tasks[[#This Row],[Work]],Tasks[[#This Row],[Baseline Work]]))</f>
        <v/>
      </c>
      <c r="BQ134" s="7"/>
      <c r="BR134" s="7"/>
      <c r="BS134" s="22"/>
      <c r="BT134" s="87"/>
      <c r="BU134" s="42" t="str">
        <f aca="false">IF(Tasks[[#This Row],[Task Name]]="","",MAX(1,N(Tasks[[#This Row],[Level]])))</f>
        <v/>
      </c>
      <c r="BV134" s="42" t="n">
        <f aca="false">ROW()-ROW(Tasks[[#Headers],[ID]])</f>
        <v>129</v>
      </c>
      <c r="BW134" s="42" t="n">
        <f aca="false">IF(OR(Tasks[[#This Row],[Task Name]]="",Tasks[[#This Row],[_Level]]&lt;=1),0,IFERROR(LOOKUP(2,1/(Tasks[[#Headers],[_Level]]:Tasks[[#This Row],[_Level]]=Tasks[[#This Row],[_Level]]-1),ROW(Tasks[[#Headers],[_Level]]:Tasks[[#This Row],[_Level]])),0))</f>
        <v>0</v>
      </c>
      <c r="BX134" s="42" t="n">
        <f aca="false">IFERROR(N(INDEX(Tasks[_Level],Tasks[[#This Row],[_Row]]+1)),0)</f>
        <v>0</v>
      </c>
      <c r="BY134" s="88" t="b">
        <f aca="false">AND(Tasks[[#This Row],[Task Name]]&lt;&gt;"",Tasks[[#This Row],[_NextLevel]]&gt;Tasks[[#This Row],[_Level]])</f>
        <v>0</v>
      </c>
      <c r="BZ134" s="42" t="n">
        <f aca="false">IF(Tasks[[#This Row],[_IsSummary]],COUNTIF(Tasks[WBS],Tasks[[#This Row],[WBS]]&amp;".*"),0)</f>
        <v>0</v>
      </c>
      <c r="CA134" s="42" t="n">
        <f aca="false">IF(AND(Tasks[[#This Row],[Task Name]]&lt;&gt;"",NOT(Tasks[[#This Row],[_IsSummary]])),1,0)</f>
        <v>0</v>
      </c>
      <c r="CB134" s="42" t="n">
        <f aca="false">IF(N(Tasks[[#This Row],[_Pred1UID]])=0,0,IFERROR(MATCH(Tasks[[#This Row],[_Pred1UID]],Tasks[UID],0),-1))</f>
        <v>0</v>
      </c>
      <c r="CC134" s="42" t="n">
        <f aca="false">IF(N(Tasks[[#This Row],[_Pred2UID]])=0,0,IFERROR(MATCH(Tasks[[#This Row],[_Pred2UID]],Tasks[UID],0),-1))</f>
        <v>0</v>
      </c>
      <c r="CD134" s="42" t="n">
        <f aca="false">IF(N(Tasks[[#This Row],[_Pred3UID]])=0,0,IFERROR(MATCH(Tasks[[#This Row],[_Pred3UID]],Tasks[UID],0),-1))</f>
        <v>0</v>
      </c>
      <c r="CE134" s="42" t="n">
        <f aca="false">IF(N(Tasks[[#This Row],[_Pred4UID]])=0,0,IFERROR(MATCH(Tasks[[#This Row],[_Pred4UID]],Tasks[UID],0),-1))</f>
        <v>0</v>
      </c>
      <c r="CF13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4" s="89" t="n">
        <f aca="false">IF(OR(Tasks[[#This Row],[_ConstraintCode]]=2,Tasks[[#This Row],[_ConstraintCode]]=3,Tasks[[#This Row],[_ConstraintCode]]=4,Tasks[[#This Row],[_ConstraintCode]]=6),Tasks[[#This Row],[_ConstraintStart]],0)</f>
        <v>0</v>
      </c>
      <c r="CI134" s="89" t="n">
        <f aca="false">IF(OR(Tasks[[#This Row],[_ConstraintCode]]=2,Tasks[[#This Row],[_ConstraintCode]]=3,Tasks[[#This Row],[_ConstraintCode]]=5,Tasks[[#This Row],[_ConstraintCode]]=7),Tasks[[#This Row],[_ConstraintStart]],2958465)</f>
        <v>2958465</v>
      </c>
      <c r="CJ13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4" s="89" t="str">
        <f aca="false">IF(NOT(Tasks[[#This Row],[_IsLeaf]]=1),"",IF(N(Tasks[[#This Row],[_Days]])&lt;=0,Tasks[[#This Row],[_LeafCalcStart]],WORKDAY.INTL(Tasks[[#This Row],[_LeafCalcStart]],Tasks[[#This Row],[_Days]]-1,WorkWeek,Holidays)))</f>
        <v/>
      </c>
      <c r="CL13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4" s="42" t="str">
        <f aca="false">IF(Tasks[[#This Row],[_Predecessors]]="","",TRIM(MID(SUBSTITUTE(SUBSTITUTE(SUBSTITUTE(UPPER(Tasks[[#This Row],[_Predecessors]]),";",",")," ",""),",",REPT(" ",99)),1,99)))</f>
        <v/>
      </c>
      <c r="CO134" s="42" t="str">
        <f aca="false">IF(Tasks[[#This Row],[_Pred1Text]]="","",IFERROR(VALUE(LEFT(Tasks[[#This Row],[_Pred1Text]],MIN(FIND("F",Tasks[[#This Row],[_Pred1Text]]&amp;"F"),FIND("S",Tasks[[#This Row],[_Pred1Text]]&amp;"S"),FIND("+",Tasks[[#This Row],[_Pred1Text]]&amp;"+"),FIND("-",Tasks[[#This Row],[_Pred1Text]]&amp;"-"))-1)),""))</f>
        <v/>
      </c>
      <c r="CP13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4" s="42" t="str">
        <f aca="false">IF(Tasks[[#This Row],[_Pred1Text]]="","",TRIM(MID(SUBSTITUTE(SUBSTITUTE(SUBSTITUTE(UPPER(Tasks[[#This Row],[_Predecessors]]),";",",")," ",""),",",REPT(" ",99)),100,99)))</f>
        <v/>
      </c>
      <c r="CS134" s="42" t="str">
        <f aca="false">IF(Tasks[[#This Row],[_Pred2Text]]="","",IFERROR(VALUE(LEFT(Tasks[[#This Row],[_Pred2Text]],MIN(FIND("F",Tasks[[#This Row],[_Pred2Text]]&amp;"F"),FIND("S",Tasks[[#This Row],[_Pred2Text]]&amp;"S"),FIND("+",Tasks[[#This Row],[_Pred2Text]]&amp;"+"),FIND("-",Tasks[[#This Row],[_Pred2Text]]&amp;"-"))-1)),""))</f>
        <v/>
      </c>
      <c r="CT13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4" s="42" t="str">
        <f aca="false">IF(Tasks[[#This Row],[_Pred2Text]]="","",TRIM(MID(SUBSTITUTE(SUBSTITUTE(SUBSTITUTE(UPPER(Tasks[[#This Row],[_Predecessors]]),";",",")," ",""),",",REPT(" ",99)),199,99)))</f>
        <v/>
      </c>
      <c r="CW134" s="42" t="str">
        <f aca="false">IF(Tasks[[#This Row],[_Pred3Text]]="","",IFERROR(VALUE(LEFT(Tasks[[#This Row],[_Pred3Text]],MIN(FIND("F",Tasks[[#This Row],[_Pred3Text]]&amp;"F"),FIND("S",Tasks[[#This Row],[_Pred3Text]]&amp;"S"),FIND("+",Tasks[[#This Row],[_Pred3Text]]&amp;"+"),FIND("-",Tasks[[#This Row],[_Pred3Text]]&amp;"-"))-1)),""))</f>
        <v/>
      </c>
      <c r="CX13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4" s="42" t="str">
        <f aca="false">IF(Tasks[[#This Row],[_Pred3Text]]="","",TRIM(MID(SUBSTITUTE(SUBSTITUTE(SUBSTITUTE(UPPER(Tasks[[#This Row],[_Predecessors]]),";",",")," ",""),",",REPT(" ",99)),298,99)))</f>
        <v/>
      </c>
      <c r="DA134" s="42" t="str">
        <f aca="false">IF(Tasks[[#This Row],[_Pred4Text]]="","",IFERROR(VALUE(LEFT(Tasks[[#This Row],[_Pred4Text]],MIN(FIND("F",Tasks[[#This Row],[_Pred4Text]]&amp;"F"),FIND("S",Tasks[[#This Row],[_Pred4Text]]&amp;"S"),FIND("+",Tasks[[#This Row],[_Pred4Text]]&amp;"+"),FIND("-",Tasks[[#This Row],[_Pred4Text]]&amp;"-"))-1)),""))</f>
        <v/>
      </c>
      <c r="DB13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4" s="42" t="str">
        <f aca="false">IF(OR(Tasks[[#This Row],[Task Name]]="",Tasks[[#This Row],[_Resources]]=""),"",TRIM(MID(SUBSTITUTE(Tasks[[#This Row],[_Resources]],",",REPT(" ",99)),1,99)))</f>
        <v/>
      </c>
      <c r="DE134" s="42" t="str">
        <f aca="false">IF(Tasks[[#This Row],[_Res1Text]]="","",TRIM(MID(SUBSTITUTE(Tasks[[#This Row],[_Resources]],",",REPT(" ",99)),100,99)))</f>
        <v/>
      </c>
      <c r="DF134" s="42" t="str">
        <f aca="false">IF(Tasks[[#This Row],[_Res2Text]]="","",TRIM(MID(SUBSTITUTE(Tasks[[#This Row],[_Resources]],",",REPT(" ",99)),199,99)))</f>
        <v/>
      </c>
      <c r="DG134" s="42" t="str">
        <f aca="false">IF(Tasks[[#This Row],[_Res3Text]]="","",TRIM(MID(SUBSTITUTE(Tasks[[#This Row],[_Resources]],",",REPT(" ",99)),298,99)))</f>
        <v/>
      </c>
      <c r="DH134" s="42" t="n">
        <f aca="false">IF(Tasks[[#This Row],[_Res1Text]]="",0,IFERROR(MATCH(TRIM(LEFT(Tasks[[#This Row],[_Res1Text]],FIND("[",Tasks[[#This Row],[_Res1Text]]&amp;"[")-1)),res_Name,0),IFERROR(MATCH(TRIM(LEFT(Tasks[[#This Row],[_Res1Text]],FIND("[",Tasks[[#This Row],[_Res1Text]]&amp;"[")-1)),res_Initials,0),0)))</f>
        <v>0</v>
      </c>
      <c r="DI134" s="42" t="n">
        <f aca="false">IF(Tasks[[#This Row],[_Res2Text]]="",0,IFERROR(MATCH(TRIM(LEFT(Tasks[[#This Row],[_Res2Text]],FIND("[",Tasks[[#This Row],[_Res2Text]]&amp;"[")-1)),res_Name,0),IFERROR(MATCH(TRIM(LEFT(Tasks[[#This Row],[_Res2Text]],FIND("[",Tasks[[#This Row],[_Res2Text]]&amp;"[")-1)),res_Initials,0),0)))</f>
        <v>0</v>
      </c>
      <c r="DJ134" s="42" t="n">
        <f aca="false">IF(Tasks[[#This Row],[_Res3Text]]="",0,IFERROR(MATCH(TRIM(LEFT(Tasks[[#This Row],[_Res3Text]],FIND("[",Tasks[[#This Row],[_Res3Text]]&amp;"[")-1)),res_Name,0),IFERROR(MATCH(TRIM(LEFT(Tasks[[#This Row],[_Res3Text]],FIND("[",Tasks[[#This Row],[_Res3Text]]&amp;"[")-1)),res_Initials,0),0)))</f>
        <v>0</v>
      </c>
      <c r="DK134" s="42" t="n">
        <f aca="false">IF(Tasks[[#This Row],[_Res4Text]]="",0,IFERROR(MATCH(TRIM(LEFT(Tasks[[#This Row],[_Res4Text]],FIND("[",Tasks[[#This Row],[_Res4Text]]&amp;"[")-1)),res_Name,0),IFERROR(MATCH(TRIM(LEFT(Tasks[[#This Row],[_Res4Text]],FIND("[",Tasks[[#This Row],[_Res4Text]]&amp;"[")-1)),res_Initials,0),0)))</f>
        <v>0</v>
      </c>
      <c r="DL134" s="42" t="str">
        <f aca="false">IF(Tasks[[#This Row],[_Res1Text]]="","",IF(Tasks[[#This Row],[_Res1Row]]&gt;0,INDEX(res_Name,Tasks[[#This Row],[_Res1Row]]),TRIM(LEFT(Tasks[[#This Row],[_Res1Text]],FIND("[",Tasks[[#This Row],[_Res1Text]]&amp;"[")-1))))</f>
        <v/>
      </c>
      <c r="DM13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4" s="42" t="n">
        <f aca="false">IF(NOT(Tasks[[#This Row],[_IsLeaf]]=1),0,(Tasks[[#This Row],[_Resource1]]&lt;&gt;"")+(Tasks[[#This Row],[_Res2]]&lt;&gt;"")+(Tasks[[#This Row],[_Res3]]&lt;&gt;"")+(Tasks[[#This Row],[_Res4]]&lt;&gt;""))</f>
        <v>0</v>
      </c>
      <c r="DO134" s="42" t="str">
        <f aca="false">IF(Tasks[[#This Row],[_Res2Text]]="","",IF(Tasks[[#This Row],[_Res2Row]]&gt;0,INDEX(res_Name,Tasks[[#This Row],[_Res2Row]]),TRIM(LEFT(Tasks[[#This Row],[_Res2Text]],FIND("[",Tasks[[#This Row],[_Res2Text]]&amp;"[")-1))))</f>
        <v/>
      </c>
      <c r="DP13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4" s="42" t="n">
        <f aca="false">IF(OR(NOT(Tasks[[#This Row],[_IsLeaf]]=1),Tasks[[#This Row],[_Res2Row]]=0),0,N(Tasks[[#This Row],[_Days]])*HoursPerDay*IF(Tasks[[#This Row],[_Res2Units]]="",DefaultUnits,Tasks[[#This Row],[_Res2Units]]))</f>
        <v>0</v>
      </c>
      <c r="DR134" s="42" t="n">
        <f aca="false">IF(AND(AND(Tasks[[#This Row],[_IsLeaf]]=1,Tasks[[#This Row],[_LeafTotalWork]]&gt;0),Tasks[[#This Row],[_Res2Work]]&gt;0),Tasks[[#This Row],[_Res2Work]]/(Tasks[[#This Row],[_FinishWorkday]]-Tasks[[#This Row],[_StartWorkday]]+1),0)</f>
        <v>0</v>
      </c>
      <c r="DS134" s="42" t="n">
        <f aca="false">Tasks[[#This Row],[_Res2WorkPerWD]]*MAX(0,Tasks[[#This Row],[_StartWorkday]]-1)</f>
        <v>0</v>
      </c>
      <c r="DT134" s="42" t="n">
        <f aca="false">Tasks[[#This Row],[_Res2Work]]*Tasks[[#This Row],[_LeafProgress]]</f>
        <v>0</v>
      </c>
      <c r="DU134" s="42" t="str">
        <f aca="false">IF(Tasks[[#This Row],[_Res3Text]]="","",IF(Tasks[[#This Row],[_Res3Row]]&gt;0,INDEX(res_Name,Tasks[[#This Row],[_Res3Row]]),TRIM(LEFT(Tasks[[#This Row],[_Res3Text]],FIND("[",Tasks[[#This Row],[_Res3Text]]&amp;"[")-1))))</f>
        <v/>
      </c>
      <c r="DV13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4" s="42" t="n">
        <f aca="false">IF(OR(NOT(Tasks[[#This Row],[_IsLeaf]]=1),Tasks[[#This Row],[_Res3Row]]=0),0,N(Tasks[[#This Row],[_Days]])*HoursPerDay*IF(Tasks[[#This Row],[_Res3Units]]="",DefaultUnits,Tasks[[#This Row],[_Res3Units]]))</f>
        <v>0</v>
      </c>
      <c r="DX134" s="42" t="n">
        <f aca="false">IF(AND(AND(Tasks[[#This Row],[_IsLeaf]]=1,Tasks[[#This Row],[_LeafTotalWork]]&gt;0),Tasks[[#This Row],[_Res3Work]]&gt;0),Tasks[[#This Row],[_Res3Work]]/(Tasks[[#This Row],[_FinishWorkday]]-Tasks[[#This Row],[_StartWorkday]]+1),0)</f>
        <v>0</v>
      </c>
      <c r="DY134" s="42" t="n">
        <f aca="false">Tasks[[#This Row],[_Res3WorkPerWD]]*MAX(0,Tasks[[#This Row],[_StartWorkday]]-1)</f>
        <v>0</v>
      </c>
      <c r="DZ134" s="42" t="n">
        <f aca="false">Tasks[[#This Row],[_Res3Work]]*Tasks[[#This Row],[_LeafProgress]]</f>
        <v>0</v>
      </c>
      <c r="EA134" s="42" t="str">
        <f aca="false">IF(Tasks[[#This Row],[_Res4Text]]="","",IF(Tasks[[#This Row],[_Res4Row]]&gt;0,INDEX(res_Name,Tasks[[#This Row],[_Res4Row]]),TRIM(LEFT(Tasks[[#This Row],[_Res4Text]],FIND("[",Tasks[[#This Row],[_Res4Text]]&amp;"[")-1))))</f>
        <v/>
      </c>
      <c r="EB13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4" s="42" t="n">
        <f aca="false">IF(OR(NOT(Tasks[[#This Row],[_IsLeaf]]=1),Tasks[[#This Row],[_Res4Row]]=0),0,N(Tasks[[#This Row],[_Days]])*HoursPerDay*IF(Tasks[[#This Row],[_Res4Units]]="",DefaultUnits,Tasks[[#This Row],[_Res4Units]]))</f>
        <v>0</v>
      </c>
      <c r="ED134" s="42" t="n">
        <f aca="false">IF(AND(AND(Tasks[[#This Row],[_IsLeaf]]=1,Tasks[[#This Row],[_LeafTotalWork]]&gt;0),Tasks[[#This Row],[_Res4Work]]&gt;0),Tasks[[#This Row],[_Res4Work]]/(Tasks[[#This Row],[_FinishWorkday]]-Tasks[[#This Row],[_StartWorkday]]+1),0)</f>
        <v>0</v>
      </c>
      <c r="EE134" s="42" t="n">
        <f aca="false">Tasks[[#This Row],[_Res4WorkPerWD]]*MAX(0,Tasks[[#This Row],[_StartWorkday]]-1)</f>
        <v>0</v>
      </c>
      <c r="EF134" s="42" t="n">
        <f aca="false">Tasks[[#This Row],[_Res4Work]]*Tasks[[#This Row],[_LeafProgress]]</f>
        <v>0</v>
      </c>
      <c r="EG134" s="42" t="n">
        <f aca="false">IF(ISNUMBER(Tasks[[#This Row],[% Complete]]),Tasks[[#This Row],[% Complete]],IF(Tasks[[#This Row],[Stage]]="",0,IFERROR(INDEX(stg_Pct,MATCH(Tasks[[#This Row],[Stage]],stg_Name,0)),0)))</f>
        <v>0</v>
      </c>
      <c r="EH134" s="42" t="n">
        <f aca="false">IF(NOT(Tasks[[#This Row],[_IsLeaf]]=1),0,IF(N(Tasks[[#This Row],[Actual Finish]])&gt;0,1,MIN(1,Tasks[[#This Row],[_Pct]])))</f>
        <v>0</v>
      </c>
      <c r="EI134" s="42" t="n">
        <f aca="false">IF(OR(NOT(Tasks[[#This Row],[_IsLeaf]]=1),Tasks[[#This Row],[_Res1Row]]=0),0,N(Tasks[[#This Row],[_Days]])*HoursPerDay*IF(Tasks[[#This Row],[_Units1]]="",DefaultUnits,Tasks[[#This Row],[_Units1]]))</f>
        <v>0</v>
      </c>
      <c r="EJ134" s="42" t="n">
        <f aca="false">Tasks[[#This Row],[_LeafWork]]+Tasks[[#This Row],[_Res2Work]]+Tasks[[#This Row],[_Res3Work]]+Tasks[[#This Row],[_Res4Work]]</f>
        <v>0</v>
      </c>
      <c r="EK13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4" s="42" t="n">
        <f aca="false">IF(NOT(Tasks[[#This Row],[_IsLeaf]]=1),0,MAX(_xlfn.MAXIFS(Tasks[_Row],Tasks[_Pred1UID],Tasks[[#This Row],[UID]]),_xlfn.MAXIFS(Tasks[_Row],Tasks[_Pred2UID],Tasks[[#This Row],[UID]]),_xlfn.MAXIFS(Tasks[_Row],Tasks[_Pred3UID],Tasks[[#This Row],[UID]]),_xlfn.MAXIFS(Tasks[_Row],Tasks[_Pred4UID],Tasks[[#This Row],[UID]])))</f>
        <v>0</v>
      </c>
      <c r="ET13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4" s="89" t="str">
        <f aca="false">IF(NOT(Tasks[[#This Row],[_IsLeaf]]=1),"",IF(N(Tasks[[#This Row],[_Days]])&lt;=0,Tasks[[#This Row],[_LeafLateFinish]],WORKDAY.INTL(Tasks[[#This Row],[_LeafLateFinish]],-(Tasks[[#This Row],[_Days]]-1),WorkWeek,Holidays)))</f>
        <v/>
      </c>
      <c r="EW13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4" s="88" t="b">
        <f aca="false">AND(Tasks[[#This Row],[_IsLeaf]]=1,Tasks[[#This Row],[_LeafProgress]]&lt;1,N(Tasks[[#This Row],[_LeafTotalSlack]])&lt;=CriticalSlackDays)</f>
        <v>0</v>
      </c>
      <c r="EY134" s="42" t="n">
        <f aca="false">IF(AND(Tasks[[#This Row],[_IsLeaf]]=1,Tasks[[#This Row],[_ConstraintCode]]=1,Tasks[[#This Row],[Mode]]&lt;&gt;"Manual",N(Tasks[[#This Row],[Actual Start]])=0),MAX(0,N(Tasks[[#This Row],[Free Slack]])),0)</f>
        <v>0</v>
      </c>
      <c r="EZ134" s="89" t="str">
        <f aca="false">IF(NOT(Tasks[[#This Row],[_IsLeaf]]=1),"",IF(Tasks[[#This Row],[_AlapShift]]=0,Tasks[[#This Row],[_LeafCalcStart]],WORKDAY.INTL(Tasks[[#This Row],[_LeafCalcStart]],Tasks[[#This Row],[_AlapShift]],WorkWeek,Holidays)))</f>
        <v/>
      </c>
      <c r="FA134" s="89" t="str">
        <f aca="false">IF(NOT(Tasks[[#This Row],[_IsLeaf]]=1),"",IF(Tasks[[#This Row],[_AlapShift]]=0,Tasks[[#This Row],[_LeafCalcFinish]],WORKDAY.INTL(Tasks[[#This Row],[_LeafCalcFinish]],Tasks[[#This Row],[_AlapShift]],WorkWeek,Holidays)))</f>
        <v/>
      </c>
      <c r="FB134" s="89" t="str">
        <f aca="false">IF(NOT(Tasks[[#This Row],[_IsLeaf]]=1),"",IF(Tasks[[#This Row],[_AlapShift]]=0,Tasks[[#This Row],[_LeafFcstStart]],WORKDAY.INTL(Tasks[[#This Row],[_LeafFcstStart]],Tasks[[#This Row],[_AlapShift]],WorkWeek,Holidays)))</f>
        <v/>
      </c>
      <c r="FC134" s="89" t="str">
        <f aca="false">IF(NOT(Tasks[[#This Row],[_IsLeaf]]=1),"",IF(Tasks[[#This Row],[_AlapShift]]=0,Tasks[[#This Row],[_LeafFcstFinish]],WORKDAY.INTL(Tasks[[#This Row],[_LeafFcstFinish]],Tasks[[#This Row],[_AlapShift]],WorkWeek,Holidays)))</f>
        <v/>
      </c>
      <c r="FD134" s="89" t="str">
        <f aca="false">IF(Tasks[[#This Row],[Task Name]]="","",IF(Tasks[[#This Row],[_IsSummary]],MIN(INDEX(Tasks[_ShownCalcStart],Tasks[[#This Row],[_Row]]+1):INDEX(Tasks[_ShownCalcStart],Tasks[[#This Row],[_Row]]+Tasks[[#This Row],[_Descendants]])),Tasks[[#This Row],[_ShownCalcStart]]))</f>
        <v/>
      </c>
      <c r="FE134" s="89" t="str">
        <f aca="false">IF(Tasks[[#This Row],[Task Name]]="","",IF(Tasks[[#This Row],[_IsSummary]],MAX(INDEX(Tasks[_ShownCalcFinish],Tasks[[#This Row],[_Row]]+1):INDEX(Tasks[_ShownCalcFinish],Tasks[[#This Row],[_Row]]+Tasks[[#This Row],[_Descendants]])),Tasks[[#This Row],[_ShownCalcFinish]]))</f>
        <v/>
      </c>
      <c r="FF13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4" s="42" t="n">
        <f aca="false">IF(AND(Tasks[[#This Row],[_IsLeaf]]=1,Tasks[[#This Row],[_LeafTotalWork]]&gt;0),NETWORKDAYS.INTL(ProjectStart,Tasks[[#This Row],[_ShownFcstStart]],WorkWeek,Holidays),0)</f>
        <v>0</v>
      </c>
      <c r="FS134" s="42" t="n">
        <f aca="false">IF(AND(Tasks[[#This Row],[_IsLeaf]]=1,Tasks[[#This Row],[_LeafTotalWork]]&gt;0),MAX(Tasks[[#This Row],[_StartWorkday]],NETWORKDAYS.INTL(ProjectStart,Tasks[[#This Row],[_ShownFcstFinish]],WorkWeek,Holidays)),0)</f>
        <v>0</v>
      </c>
      <c r="FT134" s="42" t="n">
        <f aca="false">IF(AND(Tasks[[#This Row],[_IsLeaf]]=1,Tasks[[#This Row],[_LeafTotalWork]]&gt;0),Tasks[[#This Row],[_LeafWork]]/(Tasks[[#This Row],[_FinishWorkday]]-Tasks[[#This Row],[_StartWorkday]]+1),0)</f>
        <v>0</v>
      </c>
      <c r="FU134" s="42" t="n">
        <f aca="false">Tasks[[#This Row],[_WorkPerWorkday]]*(Tasks[[#This Row],[_StartWorkday]]-1)</f>
        <v>-0</v>
      </c>
      <c r="FV134" s="42" t="n">
        <f aca="false">IF(Tasks[[#This Row],[_IsLeaf]]=1,MAX(N(Tasks[[#This Row],[_Days]]),0.1),0)</f>
        <v>0</v>
      </c>
      <c r="FW134" s="42" t="n">
        <f aca="false">Tasks[[#This Row],[_WeightDur]]*Tasks[[#This Row],[_LeafProgress]]</f>
        <v>0</v>
      </c>
      <c r="FX134" s="42" t="n">
        <f aca="false">Tasks[[#This Row],[_WeightDur]]*Tasks[[#This Row],[_PlannedPct]]</f>
        <v>0</v>
      </c>
      <c r="FY13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4" s="42" t="str">
        <f aca="false">IF(AND(Tasks[[#This Row],[_IsLeaf]]=1,N(Tasks[[#This Row],[_Days]])=0,Tasks[[#This Row],[_LeafProgress]]&lt;1),Tasks[[#This Row],[_ShownFcstFinish]]+Tasks[[#This Row],[_Row]]/100000,"")</f>
        <v/>
      </c>
      <c r="GA13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4" s="42" t="str">
        <f aca="false">IF(Tasks[[#This Row],[Task Name]]="","",LEFT(Tasks[[#This Row],[WBS]],FIND(".",Tasks[[#This Row],[WBS]]&amp;".")-1))</f>
        <v/>
      </c>
      <c r="GC134" s="42" t="str">
        <f aca="false">IF(AND(Tasks[[#This Row],[Task Name]]&lt;&gt;"",Tasks[[#This Row],[_Level]]=1),Tasks[[#This Row],[_Row]],"")</f>
        <v/>
      </c>
      <c r="GD134" s="42" t="str">
        <f aca="false">IF(AND(Tasks[[#This Row],[_IsLeaf]]=1,N(Tasks[[#This Row],[_Days]])=0),Tasks[[#This Row],[Planned Finish]]+Tasks[[#This Row],[_Row]]/100000,"")</f>
        <v/>
      </c>
      <c r="GE134" s="42" t="str">
        <f aca="false">IF(AND(Tasks[[#This Row],[_IsLeaf]]=1,Tasks[[#This Row],[_LeafProgress]]&lt;1,OR(N(Tasks[[#This Row],[Finish Var]])&gt;0,Tasks[[#This Row],[Status]]="Late Start")),MAX(0,Tasks[[#This Row],[Finish Var]])+1-Tasks[[#This Row],[_Row]]/1000000,"")</f>
        <v/>
      </c>
      <c r="GF134" s="42" t="str">
        <f aca="false">IF(AND(Tasks[[#This Row],[_IsLeaf]]=1,N(Tasks[[#This Row],[Actual Start]])=0,Tasks[[#This Row],[_ShownFcstStart]]&gt;=StatusDate,Tasks[[#This Row],[_ShownFcstStart]]&lt;=LookaheadEnd),Tasks[[#This Row],[_ShownFcstStart]]+Tasks[[#This Row],[_Row]]/100000,"")</f>
        <v/>
      </c>
      <c r="GG134" s="42" t="str">
        <f aca="false">IF(AND(Tasks[[#This Row],[_IsLeaf]]=1,Tasks[[#This Row],[_LeafProgress]]&lt;1,Tasks[[#This Row],[_ShownFcstFinish]]&gt;=StatusDate,Tasks[[#This Row],[_ShownFcstFinish]]&lt;=LookaheadEnd),Tasks[[#This Row],[_ShownFcstFinish]]+Tasks[[#This Row],[_Row]]/100000,"")</f>
        <v/>
      </c>
      <c r="GH134" s="42" t="str">
        <f aca="false">IF(Tasks[[#This Row],[_LeafCritical]],Tasks[[#This Row],[_ShownFcstStart]]+Tasks[[#This Row],[_Row]]/100000,"")</f>
        <v/>
      </c>
      <c r="GI134" s="42" t="n">
        <f aca="false">Tasks[[#This Row],[_LeafWork]]*Tasks[[#This Row],[_LeafProgress]]</f>
        <v>0</v>
      </c>
      <c r="GJ134" s="89" t="str">
        <f aca="false">IF(AND(Tasks[[#This Row],[_IsLeaf]]=1,Tasks[[#This Row],[_LeafProgress]]&gt;=1),IF(N(Tasks[[#This Row],[Actual Finish]])&gt;0,Tasks[[#This Row],[Actual Finish]],Tasks[[#This Row],[_ShownFcstFinish]]),"")</f>
        <v/>
      </c>
      <c r="GK134" s="42" t="n">
        <f aca="false">IF(Tasks[[#This Row],[_IsLeaf]]=1,N(Tasks[[#This Row],[Story Points]]),0)</f>
        <v>0</v>
      </c>
      <c r="GL134" s="42" t="str">
        <f aca="false">""</f>
        <v/>
      </c>
      <c r="GM134" s="88" t="b">
        <f aca="false">IF(Tasks[[#This Row],[Task Name]]="",FALSE(),AND(Tasks[[#This Row],[_IsLeaf]]=1,N(Tasks[[#This Row],[_Days]])=0))</f>
        <v>0</v>
      </c>
      <c r="GN134" s="89" t="n">
        <f aca="false">IF(Tasks[[#This Row],[Task Name]]="",0,IF(AND(Tasks[[#This Row],[_IsLeaf]]=1,NOT(Tasks[[#This Row],[_IsMilestone]]),N(Tasks[[#This Row],[Progress]])&gt;0),Tasks[[#This Row],[Start]],0))</f>
        <v>0</v>
      </c>
      <c r="GO134" s="89" t="n">
        <f aca="false">IF(Tasks[[#This Row],[_DoneFrom]]=0,0,IF(Tasks[[#This Row],[Progress]]&gt;=1,Tasks[[#This Row],[Finish]],MAX(Tasks[[#This Row],[_DoneFrom]],Tasks[[#This Row],[Start]]+ROUND((Tasks[[#This Row],[Finish]]-Tasks[[#This Row],[Start]]+1)*Tasks[[#This Row],[Progress]],0)-1)))</f>
        <v>0</v>
      </c>
      <c r="GP134" s="89" t="n">
        <f aca="false">IF(Tasks[[#This Row],[Task Name]]="",0,IF(OR(NOT(Tasks[[#This Row],[_IsLeaf]]=1),Tasks[[#This Row],[_IsMilestone]],N(Tasks[[#This Row],[Progress]])&gt;=1),0,IF(Tasks[[#This Row],[_DoneTo]]&gt;0,Tasks[[#This Row],[_DoneTo]]+1,Tasks[[#This Row],[Start]])))</f>
        <v>0</v>
      </c>
      <c r="GQ134" s="89" t="n">
        <f aca="false">IF(Tasks[[#This Row],[_RemFrom]]=0,0,Tasks[[#This Row],[Finish]])</f>
        <v>0</v>
      </c>
      <c r="GR134" s="88" t="b">
        <f aca="false">IF(Tasks[[#This Row],[Task Name]]="",FALSE(),OR(NOT(BaselineSet),N(Tasks[[#This Row],[Baseline Start]])&gt;0))</f>
        <v>0</v>
      </c>
      <c r="GS13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4" s="90" t="str">
        <f aca="false">IF(Tasks[[#This Row],[_IsLeaf]]=1,Tasks[[#This Row],[_Row]],"")</f>
        <v/>
      </c>
      <c r="GW134" s="90" t="str">
        <f aca="false">IFERROR(INDEX(Tasks[UID],SMALL(Tasks[_PickKey],Tasks[[#This Row],[_Row]]))&amp;" "&amp;INDEX(Tasks[Task Name],SMALL(Tasks[_PickKey],Tasks[[#This Row],[_Row]])),"")</f>
        <v/>
      </c>
      <c r="GX134" s="42" t="str">
        <f aca="false">IF(Tasks[[#This Row],[Task Name]]="","",IF(Tasks[[#This Row],[_IsSummary]],NETWORKDAYS.INTL(Tasks[[#This Row],[Start]],Tasks[[#This Row],[Finish]],WorkWeek,Holidays),N(Tasks[[#This Row],[_Days]])))</f>
        <v/>
      </c>
    </row>
    <row r="135" customFormat="false" ht="15" hidden="false" customHeight="false" outlineLevel="0" collapsed="false">
      <c r="A135" s="21" t="str">
        <f aca="false">IF(Tasks[[#This Row],[Task Name]]="","",COUNTA(Tasks[[#Headers],[Task Name]]:Tasks[[#This Row],[Task Name]])-1)</f>
        <v/>
      </c>
      <c r="B135" s="22" t="n">
        <v>143</v>
      </c>
      <c r="C135" s="22"/>
      <c r="D135" s="23"/>
      <c r="E135" s="22"/>
      <c r="F135" s="23"/>
      <c r="G135" s="22"/>
      <c r="H135" s="22"/>
      <c r="I135" s="23"/>
      <c r="J135" s="22"/>
      <c r="K135" s="22"/>
      <c r="L135" s="23"/>
      <c r="M135" s="22"/>
      <c r="N135" s="22"/>
      <c r="O135" s="23"/>
      <c r="P135" s="22"/>
      <c r="Q135" s="22"/>
      <c r="R135" s="23"/>
      <c r="S135" s="23"/>
      <c r="T135" s="83"/>
      <c r="U135" s="23"/>
      <c r="V135" s="83"/>
      <c r="W135" s="23"/>
      <c r="X135" s="83"/>
      <c r="Y135" s="23"/>
      <c r="Z135" s="83"/>
      <c r="AA135" s="23"/>
      <c r="AB135" s="23"/>
      <c r="AC135" s="7"/>
      <c r="AD135" s="7"/>
      <c r="AE135" s="62" t="str">
        <f aca="false">IF(Tasks[[#This Row],[Task Name]]="","",IF(Tasks[[#This Row],[_IsSummary]],MIN(INDEX(Tasks[_ShownFcstStart],Tasks[[#This Row],[_Row]]+1):INDEX(Tasks[_ShownFcstStart],Tasks[[#This Row],[_Row]]+Tasks[[#This Row],[_Descendants]])),Tasks[[#This Row],[_ShownFcstStart]]))</f>
        <v/>
      </c>
      <c r="AF135" s="62" t="str">
        <f aca="false">IF(Tasks[[#This Row],[Task Name]]="","",IF(Tasks[[#This Row],[_IsSummary]],MAX(INDEX(Tasks[_ShownFcstFinish],Tasks[[#This Row],[_Row]]+1):INDEX(Tasks[_ShownFcstFinish],Tasks[[#This Row],[_Row]]+Tasks[[#This Row],[_Descendants]])),Tasks[[#This Row],[_ShownFcstFinish]]))</f>
        <v/>
      </c>
      <c r="AG135" s="21" t="str">
        <f aca="false">""</f>
        <v/>
      </c>
      <c r="AH135" s="23"/>
      <c r="AI13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5" s="7"/>
      <c r="AK135" s="22"/>
      <c r="AL135" s="23"/>
      <c r="AM135" s="7"/>
      <c r="AN135" s="46" t="str">
        <f aca="false">IF(Tasks[[#This Row],[Task Name]]="","",IF(Tasks[[#This Row],[Finish]]&gt;=Tasks[[#This Row],[Planned Finish]],NETWORKDAYS.INTL(Tasks[[#This Row],[Planned Finish]],Tasks[[#This Row],[Finish]],WorkWeek,Holidays)-1,1-NETWORKDAYS.INTL(Tasks[[#This Row],[Finish]],Tasks[[#This Row],[Planned Finish]],WorkWeek,Holidays)))</f>
        <v/>
      </c>
      <c r="AO135" s="21" t="str">
        <f aca="false">IF(Tasks[[#This Row],[Task Name]]="","",IF(Tasks[[#This Row],[Progress]]&gt;=1,"Complete",IF(OR(N(Tasks[[#This Row],[Actual Start]])&gt;0,Tasks[[#This Row],[Progress]]&gt;0),IF(Tasks[[#This Row],[Finish Var]]&gt;0,"Behind","In Progress"),IF(Tasks[[#This Row],[Planned Start]]&lt;StatusDate,"Late Start","Not Started"))))</f>
        <v/>
      </c>
      <c r="AP135" s="21" t="str">
        <f aca="false">IF(Tasks[[#This Row],[Task Name]]="","",IF(IF(Tasks[[#This Row],[_IsSummary]],COUNTIF(INDEX(Tasks[_LeafCritical],Tasks[[#This Row],[_Row]]+1):INDEX(Tasks[_LeafCritical],Tasks[[#This Row],[_Row]]+Tasks[[#This Row],[_Descendants]]),TRUE())&gt;0,Tasks[[#This Row],[_LeafCritical]]),"Yes",""))</f>
        <v/>
      </c>
      <c r="AQ135" s="62" t="str">
        <f aca="false">IF(Tasks[[#This Row],[Task Name]]="","",IF(N(Tasks[[#This Row],[Baseline Start]])&gt;0,Tasks[[#This Row],[Baseline Start]],Tasks[[#This Row],[_CalcStart]]))</f>
        <v/>
      </c>
      <c r="AR135" s="62" t="str">
        <f aca="false">IF(Tasks[[#This Row],[Task Name]]="","",IF(N(Tasks[[#This Row],[Baseline Finish]])&gt;0,Tasks[[#This Row],[Baseline Finish]],Tasks[[#This Row],[_CalcFinish]]))</f>
        <v/>
      </c>
      <c r="AS135" s="46" t="str">
        <f aca="false">IF(Tasks[[#This Row],[Task Name]]="","",IF(Tasks[[#This Row],[Start]]&gt;=Tasks[[#This Row],[Planned Start]],NETWORKDAYS.INTL(Tasks[[#This Row],[Planned Start]],Tasks[[#This Row],[Start]],WorkWeek,Holidays)-1,1-NETWORKDAYS.INTL(Tasks[[#This Row],[Start]],Tasks[[#This Row],[Planned Start]],WorkWeek,Holidays)))</f>
        <v/>
      </c>
      <c r="AT135" s="62" t="str">
        <f aca="false">IF(Tasks[[#This Row],[Task Name]]="","",IF(Tasks[[#This Row],[_IsSummary]],MIN(INDEX(Tasks[_LeafLateStart],Tasks[[#This Row],[_Row]]+1):INDEX(Tasks[_LeafLateStart],Tasks[[#This Row],[_Row]]+Tasks[[#This Row],[_Descendants]])),Tasks[[#This Row],[_LeafLateStart]]))</f>
        <v/>
      </c>
      <c r="AU135" s="62" t="str">
        <f aca="false">IF(Tasks[[#This Row],[Task Name]]="","",IF(Tasks[[#This Row],[_IsSummary]],MAX(INDEX(Tasks[_LeafLateFinish],Tasks[[#This Row],[_Row]]+1):INDEX(Tasks[_LeafLateFinish],Tasks[[#This Row],[_Row]]+Tasks[[#This Row],[_Descendants]])),Tasks[[#This Row],[_LeafLateFinish]]))</f>
        <v/>
      </c>
      <c r="AV135" s="46" t="str">
        <f aca="false">IF(Tasks[[#This Row],[Task Name]]="","",IF(Tasks[[#This Row],[_IsSummary]],MIN(INDEX(Tasks[_LeafTotalSlack],Tasks[[#This Row],[_Row]]+1):INDEX(Tasks[_LeafTotalSlack],Tasks[[#This Row],[_Row]]+Tasks[[#This Row],[_Descendants]])),Tasks[[#This Row],[_LeafTotalSlack]]))</f>
        <v/>
      </c>
      <c r="AW13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4"/>
      <c r="BA13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t="str">
        <f aca="false">IF(Tasks[[#This Row],[Task Name]]="","",IF(Tasks[[#This Row],[_Level]]&lt;=OutlineShowLevel,"Yes","No"))</f>
        <v/>
      </c>
      <c r="BE135" s="85" t="str">
        <f aca="false">IF(Tasks[[#This Row],[Task Name]]="","",IF(Tasks[[#This Row],[_IsSummary]],SUM(INDEX(Tasks[_LeafTotalWork],Tasks[[#This Row],[_Row]]+1):INDEX(Tasks[_LeafTotalWork],Tasks[[#This Row],[_Row]]+Tasks[[#This Row],[_Descendants]])),Tasks[[#This Row],[_LeafTotalWork]]))</f>
        <v/>
      </c>
      <c r="BF135" s="23"/>
      <c r="BG13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t="str">
        <f aca="false">""</f>
        <v/>
      </c>
      <c r="BI135" s="86"/>
      <c r="BJ135" s="22"/>
      <c r="BK135" s="46" t="str">
        <f aca="false">IF(OR(Tasks[[#This Row],[Task Name]]="",Tasks[[#This Row],[Baseline Duration]]=""),"",Tasks[[#This Row],[_SpanDays]]-N(Tasks[[#This Row],[Baseline Duration]]))</f>
        <v/>
      </c>
      <c r="BL135" s="85" t="str">
        <f aca="false">IF(OR(Tasks[[#This Row],[Task Name]]="",Tasks[[#This Row],[Baseline Work]]=""),"",Tasks[[#This Row],[Work]]-N(Tasks[[#This Row],[Baseline Work]]))</f>
        <v/>
      </c>
      <c r="BM135" s="62" t="str">
        <f aca="false">IF(Tasks[[#This Row],[Task Name]]="","",IF(OR(TakeBaseline="Yes",N(Tasks[[#This Row],[Baseline Start]])=0),Tasks[[#This Row],[Start]],Tasks[[#This Row],[Baseline Start]]))</f>
        <v/>
      </c>
      <c r="BN135" s="62" t="str">
        <f aca="false">IF(Tasks[[#This Row],[Task Name]]="","",IF(OR(TakeBaseline="Yes",N(Tasks[[#This Row],[Baseline Finish]])=0),Tasks[[#This Row],[Finish]],Tasks[[#This Row],[Baseline Finish]]))</f>
        <v/>
      </c>
      <c r="BO135" s="21" t="str">
        <f aca="false">IF(Tasks[[#This Row],[Task Name]]="","",IF(OR(TakeBaseline="Yes",N(Tasks[[#This Row],[Baseline Duration]])=0),Tasks[[#This Row],[_SpanDays]],Tasks[[#This Row],[Baseline Duration]]))</f>
        <v/>
      </c>
      <c r="BP135" s="85" t="str">
        <f aca="false">IF(Tasks[[#This Row],[Task Name]]="","",IF(OR(TakeBaseline="Yes",N(Tasks[[#This Row],[Baseline Work]])=0),Tasks[[#This Row],[Work]],Tasks[[#This Row],[Baseline Work]]))</f>
        <v/>
      </c>
      <c r="BQ135" s="7"/>
      <c r="BR135" s="7"/>
      <c r="BS135" s="22"/>
      <c r="BT135" s="87"/>
      <c r="BU135" s="42" t="str">
        <f aca="false">IF(Tasks[[#This Row],[Task Name]]="","",MAX(1,N(Tasks[[#This Row],[Level]])))</f>
        <v/>
      </c>
      <c r="BV135" s="42" t="n">
        <f aca="false">ROW()-ROW(Tasks[[#Headers],[ID]])</f>
        <v>130</v>
      </c>
      <c r="BW135" s="42" t="n">
        <f aca="false">IF(OR(Tasks[[#This Row],[Task Name]]="",Tasks[[#This Row],[_Level]]&lt;=1),0,IFERROR(LOOKUP(2,1/(Tasks[[#Headers],[_Level]]:Tasks[[#This Row],[_Level]]=Tasks[[#This Row],[_Level]]-1),ROW(Tasks[[#Headers],[_Level]]:Tasks[[#This Row],[_Level]])),0))</f>
        <v>0</v>
      </c>
      <c r="BX135" s="42" t="n">
        <f aca="false">IFERROR(N(INDEX(Tasks[_Level],Tasks[[#This Row],[_Row]]+1)),0)</f>
        <v>0</v>
      </c>
      <c r="BY135" s="88" t="b">
        <f aca="false">AND(Tasks[[#This Row],[Task Name]]&lt;&gt;"",Tasks[[#This Row],[_NextLevel]]&gt;Tasks[[#This Row],[_Level]])</f>
        <v>0</v>
      </c>
      <c r="BZ135" s="42" t="n">
        <f aca="false">IF(Tasks[[#This Row],[_IsSummary]],COUNTIF(Tasks[WBS],Tasks[[#This Row],[WBS]]&amp;".*"),0)</f>
        <v>0</v>
      </c>
      <c r="CA135" s="42" t="n">
        <f aca="false">IF(AND(Tasks[[#This Row],[Task Name]]&lt;&gt;"",NOT(Tasks[[#This Row],[_IsSummary]])),1,0)</f>
        <v>0</v>
      </c>
      <c r="CB135" s="42" t="n">
        <f aca="false">IF(N(Tasks[[#This Row],[_Pred1UID]])=0,0,IFERROR(MATCH(Tasks[[#This Row],[_Pred1UID]],Tasks[UID],0),-1))</f>
        <v>0</v>
      </c>
      <c r="CC135" s="42" t="n">
        <f aca="false">IF(N(Tasks[[#This Row],[_Pred2UID]])=0,0,IFERROR(MATCH(Tasks[[#This Row],[_Pred2UID]],Tasks[UID],0),-1))</f>
        <v>0</v>
      </c>
      <c r="CD135" s="42" t="n">
        <f aca="false">IF(N(Tasks[[#This Row],[_Pred3UID]])=0,0,IFERROR(MATCH(Tasks[[#This Row],[_Pred3UID]],Tasks[UID],0),-1))</f>
        <v>0</v>
      </c>
      <c r="CE135" s="42" t="n">
        <f aca="false">IF(N(Tasks[[#This Row],[_Pred4UID]])=0,0,IFERROR(MATCH(Tasks[[#This Row],[_Pred4UID]],Tasks[UID],0),-1))</f>
        <v>0</v>
      </c>
      <c r="CF13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5" s="89" t="n">
        <f aca="false">IF(OR(Tasks[[#This Row],[_ConstraintCode]]=2,Tasks[[#This Row],[_ConstraintCode]]=3,Tasks[[#This Row],[_ConstraintCode]]=4,Tasks[[#This Row],[_ConstraintCode]]=6),Tasks[[#This Row],[_ConstraintStart]],0)</f>
        <v>0</v>
      </c>
      <c r="CI135" s="89" t="n">
        <f aca="false">IF(OR(Tasks[[#This Row],[_ConstraintCode]]=2,Tasks[[#This Row],[_ConstraintCode]]=3,Tasks[[#This Row],[_ConstraintCode]]=5,Tasks[[#This Row],[_ConstraintCode]]=7),Tasks[[#This Row],[_ConstraintStart]],2958465)</f>
        <v>2958465</v>
      </c>
      <c r="CJ13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5" s="89" t="str">
        <f aca="false">IF(NOT(Tasks[[#This Row],[_IsLeaf]]=1),"",IF(N(Tasks[[#This Row],[_Days]])&lt;=0,Tasks[[#This Row],[_LeafCalcStart]],WORKDAY.INTL(Tasks[[#This Row],[_LeafCalcStart]],Tasks[[#This Row],[_Days]]-1,WorkWeek,Holidays)))</f>
        <v/>
      </c>
      <c r="CL13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5" s="42" t="str">
        <f aca="false">IF(Tasks[[#This Row],[_Predecessors]]="","",TRIM(MID(SUBSTITUTE(SUBSTITUTE(SUBSTITUTE(UPPER(Tasks[[#This Row],[_Predecessors]]),";",",")," ",""),",",REPT(" ",99)),1,99)))</f>
        <v/>
      </c>
      <c r="CO135" s="42" t="str">
        <f aca="false">IF(Tasks[[#This Row],[_Pred1Text]]="","",IFERROR(VALUE(LEFT(Tasks[[#This Row],[_Pred1Text]],MIN(FIND("F",Tasks[[#This Row],[_Pred1Text]]&amp;"F"),FIND("S",Tasks[[#This Row],[_Pred1Text]]&amp;"S"),FIND("+",Tasks[[#This Row],[_Pred1Text]]&amp;"+"),FIND("-",Tasks[[#This Row],[_Pred1Text]]&amp;"-"))-1)),""))</f>
        <v/>
      </c>
      <c r="CP13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5" s="42" t="str">
        <f aca="false">IF(Tasks[[#This Row],[_Pred1Text]]="","",TRIM(MID(SUBSTITUTE(SUBSTITUTE(SUBSTITUTE(UPPER(Tasks[[#This Row],[_Predecessors]]),";",",")," ",""),",",REPT(" ",99)),100,99)))</f>
        <v/>
      </c>
      <c r="CS135" s="42" t="str">
        <f aca="false">IF(Tasks[[#This Row],[_Pred2Text]]="","",IFERROR(VALUE(LEFT(Tasks[[#This Row],[_Pred2Text]],MIN(FIND("F",Tasks[[#This Row],[_Pred2Text]]&amp;"F"),FIND("S",Tasks[[#This Row],[_Pred2Text]]&amp;"S"),FIND("+",Tasks[[#This Row],[_Pred2Text]]&amp;"+"),FIND("-",Tasks[[#This Row],[_Pred2Text]]&amp;"-"))-1)),""))</f>
        <v/>
      </c>
      <c r="CT13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5" s="42" t="str">
        <f aca="false">IF(Tasks[[#This Row],[_Pred2Text]]="","",TRIM(MID(SUBSTITUTE(SUBSTITUTE(SUBSTITUTE(UPPER(Tasks[[#This Row],[_Predecessors]]),";",",")," ",""),",",REPT(" ",99)),199,99)))</f>
        <v/>
      </c>
      <c r="CW135" s="42" t="str">
        <f aca="false">IF(Tasks[[#This Row],[_Pred3Text]]="","",IFERROR(VALUE(LEFT(Tasks[[#This Row],[_Pred3Text]],MIN(FIND("F",Tasks[[#This Row],[_Pred3Text]]&amp;"F"),FIND("S",Tasks[[#This Row],[_Pred3Text]]&amp;"S"),FIND("+",Tasks[[#This Row],[_Pred3Text]]&amp;"+"),FIND("-",Tasks[[#This Row],[_Pred3Text]]&amp;"-"))-1)),""))</f>
        <v/>
      </c>
      <c r="CX13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5" s="42" t="str">
        <f aca="false">IF(Tasks[[#This Row],[_Pred3Text]]="","",TRIM(MID(SUBSTITUTE(SUBSTITUTE(SUBSTITUTE(UPPER(Tasks[[#This Row],[_Predecessors]]),";",",")," ",""),",",REPT(" ",99)),298,99)))</f>
        <v/>
      </c>
      <c r="DA135" s="42" t="str">
        <f aca="false">IF(Tasks[[#This Row],[_Pred4Text]]="","",IFERROR(VALUE(LEFT(Tasks[[#This Row],[_Pred4Text]],MIN(FIND("F",Tasks[[#This Row],[_Pred4Text]]&amp;"F"),FIND("S",Tasks[[#This Row],[_Pred4Text]]&amp;"S"),FIND("+",Tasks[[#This Row],[_Pred4Text]]&amp;"+"),FIND("-",Tasks[[#This Row],[_Pred4Text]]&amp;"-"))-1)),""))</f>
        <v/>
      </c>
      <c r="DB13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5" s="42" t="str">
        <f aca="false">IF(OR(Tasks[[#This Row],[Task Name]]="",Tasks[[#This Row],[_Resources]]=""),"",TRIM(MID(SUBSTITUTE(Tasks[[#This Row],[_Resources]],",",REPT(" ",99)),1,99)))</f>
        <v/>
      </c>
      <c r="DE135" s="42" t="str">
        <f aca="false">IF(Tasks[[#This Row],[_Res1Text]]="","",TRIM(MID(SUBSTITUTE(Tasks[[#This Row],[_Resources]],",",REPT(" ",99)),100,99)))</f>
        <v/>
      </c>
      <c r="DF135" s="42" t="str">
        <f aca="false">IF(Tasks[[#This Row],[_Res2Text]]="","",TRIM(MID(SUBSTITUTE(Tasks[[#This Row],[_Resources]],",",REPT(" ",99)),199,99)))</f>
        <v/>
      </c>
      <c r="DG135" s="42" t="str">
        <f aca="false">IF(Tasks[[#This Row],[_Res3Text]]="","",TRIM(MID(SUBSTITUTE(Tasks[[#This Row],[_Resources]],",",REPT(" ",99)),298,99)))</f>
        <v/>
      </c>
      <c r="DH135" s="42" t="n">
        <f aca="false">IF(Tasks[[#This Row],[_Res1Text]]="",0,IFERROR(MATCH(TRIM(LEFT(Tasks[[#This Row],[_Res1Text]],FIND("[",Tasks[[#This Row],[_Res1Text]]&amp;"[")-1)),res_Name,0),IFERROR(MATCH(TRIM(LEFT(Tasks[[#This Row],[_Res1Text]],FIND("[",Tasks[[#This Row],[_Res1Text]]&amp;"[")-1)),res_Initials,0),0)))</f>
        <v>0</v>
      </c>
      <c r="DI135" s="42" t="n">
        <f aca="false">IF(Tasks[[#This Row],[_Res2Text]]="",0,IFERROR(MATCH(TRIM(LEFT(Tasks[[#This Row],[_Res2Text]],FIND("[",Tasks[[#This Row],[_Res2Text]]&amp;"[")-1)),res_Name,0),IFERROR(MATCH(TRIM(LEFT(Tasks[[#This Row],[_Res2Text]],FIND("[",Tasks[[#This Row],[_Res2Text]]&amp;"[")-1)),res_Initials,0),0)))</f>
        <v>0</v>
      </c>
      <c r="DJ135" s="42" t="n">
        <f aca="false">IF(Tasks[[#This Row],[_Res3Text]]="",0,IFERROR(MATCH(TRIM(LEFT(Tasks[[#This Row],[_Res3Text]],FIND("[",Tasks[[#This Row],[_Res3Text]]&amp;"[")-1)),res_Name,0),IFERROR(MATCH(TRIM(LEFT(Tasks[[#This Row],[_Res3Text]],FIND("[",Tasks[[#This Row],[_Res3Text]]&amp;"[")-1)),res_Initials,0),0)))</f>
        <v>0</v>
      </c>
      <c r="DK135" s="42" t="n">
        <f aca="false">IF(Tasks[[#This Row],[_Res4Text]]="",0,IFERROR(MATCH(TRIM(LEFT(Tasks[[#This Row],[_Res4Text]],FIND("[",Tasks[[#This Row],[_Res4Text]]&amp;"[")-1)),res_Name,0),IFERROR(MATCH(TRIM(LEFT(Tasks[[#This Row],[_Res4Text]],FIND("[",Tasks[[#This Row],[_Res4Text]]&amp;"[")-1)),res_Initials,0),0)))</f>
        <v>0</v>
      </c>
      <c r="DL135" s="42" t="str">
        <f aca="false">IF(Tasks[[#This Row],[_Res1Text]]="","",IF(Tasks[[#This Row],[_Res1Row]]&gt;0,INDEX(res_Name,Tasks[[#This Row],[_Res1Row]]),TRIM(LEFT(Tasks[[#This Row],[_Res1Text]],FIND("[",Tasks[[#This Row],[_Res1Text]]&amp;"[")-1))))</f>
        <v/>
      </c>
      <c r="DM13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5" s="42" t="n">
        <f aca="false">IF(NOT(Tasks[[#This Row],[_IsLeaf]]=1),0,(Tasks[[#This Row],[_Resource1]]&lt;&gt;"")+(Tasks[[#This Row],[_Res2]]&lt;&gt;"")+(Tasks[[#This Row],[_Res3]]&lt;&gt;"")+(Tasks[[#This Row],[_Res4]]&lt;&gt;""))</f>
        <v>0</v>
      </c>
      <c r="DO135" s="42" t="str">
        <f aca="false">IF(Tasks[[#This Row],[_Res2Text]]="","",IF(Tasks[[#This Row],[_Res2Row]]&gt;0,INDEX(res_Name,Tasks[[#This Row],[_Res2Row]]),TRIM(LEFT(Tasks[[#This Row],[_Res2Text]],FIND("[",Tasks[[#This Row],[_Res2Text]]&amp;"[")-1))))</f>
        <v/>
      </c>
      <c r="DP13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5" s="42" t="n">
        <f aca="false">IF(OR(NOT(Tasks[[#This Row],[_IsLeaf]]=1),Tasks[[#This Row],[_Res2Row]]=0),0,N(Tasks[[#This Row],[_Days]])*HoursPerDay*IF(Tasks[[#This Row],[_Res2Units]]="",DefaultUnits,Tasks[[#This Row],[_Res2Units]]))</f>
        <v>0</v>
      </c>
      <c r="DR135" s="42" t="n">
        <f aca="false">IF(AND(AND(Tasks[[#This Row],[_IsLeaf]]=1,Tasks[[#This Row],[_LeafTotalWork]]&gt;0),Tasks[[#This Row],[_Res2Work]]&gt;0),Tasks[[#This Row],[_Res2Work]]/(Tasks[[#This Row],[_FinishWorkday]]-Tasks[[#This Row],[_StartWorkday]]+1),0)</f>
        <v>0</v>
      </c>
      <c r="DS135" s="42" t="n">
        <f aca="false">Tasks[[#This Row],[_Res2WorkPerWD]]*MAX(0,Tasks[[#This Row],[_StartWorkday]]-1)</f>
        <v>0</v>
      </c>
      <c r="DT135" s="42" t="n">
        <f aca="false">Tasks[[#This Row],[_Res2Work]]*Tasks[[#This Row],[_LeafProgress]]</f>
        <v>0</v>
      </c>
      <c r="DU135" s="42" t="str">
        <f aca="false">IF(Tasks[[#This Row],[_Res3Text]]="","",IF(Tasks[[#This Row],[_Res3Row]]&gt;0,INDEX(res_Name,Tasks[[#This Row],[_Res3Row]]),TRIM(LEFT(Tasks[[#This Row],[_Res3Text]],FIND("[",Tasks[[#This Row],[_Res3Text]]&amp;"[")-1))))</f>
        <v/>
      </c>
      <c r="DV13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5" s="42" t="n">
        <f aca="false">IF(OR(NOT(Tasks[[#This Row],[_IsLeaf]]=1),Tasks[[#This Row],[_Res3Row]]=0),0,N(Tasks[[#This Row],[_Days]])*HoursPerDay*IF(Tasks[[#This Row],[_Res3Units]]="",DefaultUnits,Tasks[[#This Row],[_Res3Units]]))</f>
        <v>0</v>
      </c>
      <c r="DX135" s="42" t="n">
        <f aca="false">IF(AND(AND(Tasks[[#This Row],[_IsLeaf]]=1,Tasks[[#This Row],[_LeafTotalWork]]&gt;0),Tasks[[#This Row],[_Res3Work]]&gt;0),Tasks[[#This Row],[_Res3Work]]/(Tasks[[#This Row],[_FinishWorkday]]-Tasks[[#This Row],[_StartWorkday]]+1),0)</f>
        <v>0</v>
      </c>
      <c r="DY135" s="42" t="n">
        <f aca="false">Tasks[[#This Row],[_Res3WorkPerWD]]*MAX(0,Tasks[[#This Row],[_StartWorkday]]-1)</f>
        <v>0</v>
      </c>
      <c r="DZ135" s="42" t="n">
        <f aca="false">Tasks[[#This Row],[_Res3Work]]*Tasks[[#This Row],[_LeafProgress]]</f>
        <v>0</v>
      </c>
      <c r="EA135" s="42" t="str">
        <f aca="false">IF(Tasks[[#This Row],[_Res4Text]]="","",IF(Tasks[[#This Row],[_Res4Row]]&gt;0,INDEX(res_Name,Tasks[[#This Row],[_Res4Row]]),TRIM(LEFT(Tasks[[#This Row],[_Res4Text]],FIND("[",Tasks[[#This Row],[_Res4Text]]&amp;"[")-1))))</f>
        <v/>
      </c>
      <c r="EB13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5" s="42" t="n">
        <f aca="false">IF(OR(NOT(Tasks[[#This Row],[_IsLeaf]]=1),Tasks[[#This Row],[_Res4Row]]=0),0,N(Tasks[[#This Row],[_Days]])*HoursPerDay*IF(Tasks[[#This Row],[_Res4Units]]="",DefaultUnits,Tasks[[#This Row],[_Res4Units]]))</f>
        <v>0</v>
      </c>
      <c r="ED135" s="42" t="n">
        <f aca="false">IF(AND(AND(Tasks[[#This Row],[_IsLeaf]]=1,Tasks[[#This Row],[_LeafTotalWork]]&gt;0),Tasks[[#This Row],[_Res4Work]]&gt;0),Tasks[[#This Row],[_Res4Work]]/(Tasks[[#This Row],[_FinishWorkday]]-Tasks[[#This Row],[_StartWorkday]]+1),0)</f>
        <v>0</v>
      </c>
      <c r="EE135" s="42" t="n">
        <f aca="false">Tasks[[#This Row],[_Res4WorkPerWD]]*MAX(0,Tasks[[#This Row],[_StartWorkday]]-1)</f>
        <v>0</v>
      </c>
      <c r="EF135" s="42" t="n">
        <f aca="false">Tasks[[#This Row],[_Res4Work]]*Tasks[[#This Row],[_LeafProgress]]</f>
        <v>0</v>
      </c>
      <c r="EG135" s="42" t="n">
        <f aca="false">IF(ISNUMBER(Tasks[[#This Row],[% Complete]]),Tasks[[#This Row],[% Complete]],IF(Tasks[[#This Row],[Stage]]="",0,IFERROR(INDEX(stg_Pct,MATCH(Tasks[[#This Row],[Stage]],stg_Name,0)),0)))</f>
        <v>0</v>
      </c>
      <c r="EH135" s="42" t="n">
        <f aca="false">IF(NOT(Tasks[[#This Row],[_IsLeaf]]=1),0,IF(N(Tasks[[#This Row],[Actual Finish]])&gt;0,1,MIN(1,Tasks[[#This Row],[_Pct]])))</f>
        <v>0</v>
      </c>
      <c r="EI135" s="42" t="n">
        <f aca="false">IF(OR(NOT(Tasks[[#This Row],[_IsLeaf]]=1),Tasks[[#This Row],[_Res1Row]]=0),0,N(Tasks[[#This Row],[_Days]])*HoursPerDay*IF(Tasks[[#This Row],[_Units1]]="",DefaultUnits,Tasks[[#This Row],[_Units1]]))</f>
        <v>0</v>
      </c>
      <c r="EJ135" s="42" t="n">
        <f aca="false">Tasks[[#This Row],[_LeafWork]]+Tasks[[#This Row],[_Res2Work]]+Tasks[[#This Row],[_Res3Work]]+Tasks[[#This Row],[_Res4Work]]</f>
        <v>0</v>
      </c>
      <c r="EK13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5" s="42" t="n">
        <f aca="false">IF(NOT(Tasks[[#This Row],[_IsLeaf]]=1),0,MAX(_xlfn.MAXIFS(Tasks[_Row],Tasks[_Pred1UID],Tasks[[#This Row],[UID]]),_xlfn.MAXIFS(Tasks[_Row],Tasks[_Pred2UID],Tasks[[#This Row],[UID]]),_xlfn.MAXIFS(Tasks[_Row],Tasks[_Pred3UID],Tasks[[#This Row],[UID]]),_xlfn.MAXIFS(Tasks[_Row],Tasks[_Pred4UID],Tasks[[#This Row],[UID]])))</f>
        <v>0</v>
      </c>
      <c r="ET13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5" s="89" t="str">
        <f aca="false">IF(NOT(Tasks[[#This Row],[_IsLeaf]]=1),"",IF(N(Tasks[[#This Row],[_Days]])&lt;=0,Tasks[[#This Row],[_LeafLateFinish]],WORKDAY.INTL(Tasks[[#This Row],[_LeafLateFinish]],-(Tasks[[#This Row],[_Days]]-1),WorkWeek,Holidays)))</f>
        <v/>
      </c>
      <c r="EW13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5" s="88" t="b">
        <f aca="false">AND(Tasks[[#This Row],[_IsLeaf]]=1,Tasks[[#This Row],[_LeafProgress]]&lt;1,N(Tasks[[#This Row],[_LeafTotalSlack]])&lt;=CriticalSlackDays)</f>
        <v>0</v>
      </c>
      <c r="EY135" s="42" t="n">
        <f aca="false">IF(AND(Tasks[[#This Row],[_IsLeaf]]=1,Tasks[[#This Row],[_ConstraintCode]]=1,Tasks[[#This Row],[Mode]]&lt;&gt;"Manual",N(Tasks[[#This Row],[Actual Start]])=0),MAX(0,N(Tasks[[#This Row],[Free Slack]])),0)</f>
        <v>0</v>
      </c>
      <c r="EZ135" s="89" t="str">
        <f aca="false">IF(NOT(Tasks[[#This Row],[_IsLeaf]]=1),"",IF(Tasks[[#This Row],[_AlapShift]]=0,Tasks[[#This Row],[_LeafCalcStart]],WORKDAY.INTL(Tasks[[#This Row],[_LeafCalcStart]],Tasks[[#This Row],[_AlapShift]],WorkWeek,Holidays)))</f>
        <v/>
      </c>
      <c r="FA135" s="89" t="str">
        <f aca="false">IF(NOT(Tasks[[#This Row],[_IsLeaf]]=1),"",IF(Tasks[[#This Row],[_AlapShift]]=0,Tasks[[#This Row],[_LeafCalcFinish]],WORKDAY.INTL(Tasks[[#This Row],[_LeafCalcFinish]],Tasks[[#This Row],[_AlapShift]],WorkWeek,Holidays)))</f>
        <v/>
      </c>
      <c r="FB135" s="89" t="str">
        <f aca="false">IF(NOT(Tasks[[#This Row],[_IsLeaf]]=1),"",IF(Tasks[[#This Row],[_AlapShift]]=0,Tasks[[#This Row],[_LeafFcstStart]],WORKDAY.INTL(Tasks[[#This Row],[_LeafFcstStart]],Tasks[[#This Row],[_AlapShift]],WorkWeek,Holidays)))</f>
        <v/>
      </c>
      <c r="FC135" s="89" t="str">
        <f aca="false">IF(NOT(Tasks[[#This Row],[_IsLeaf]]=1),"",IF(Tasks[[#This Row],[_AlapShift]]=0,Tasks[[#This Row],[_LeafFcstFinish]],WORKDAY.INTL(Tasks[[#This Row],[_LeafFcstFinish]],Tasks[[#This Row],[_AlapShift]],WorkWeek,Holidays)))</f>
        <v/>
      </c>
      <c r="FD135" s="89" t="str">
        <f aca="false">IF(Tasks[[#This Row],[Task Name]]="","",IF(Tasks[[#This Row],[_IsSummary]],MIN(INDEX(Tasks[_ShownCalcStart],Tasks[[#This Row],[_Row]]+1):INDEX(Tasks[_ShownCalcStart],Tasks[[#This Row],[_Row]]+Tasks[[#This Row],[_Descendants]])),Tasks[[#This Row],[_ShownCalcStart]]))</f>
        <v/>
      </c>
      <c r="FE135" s="89" t="str">
        <f aca="false">IF(Tasks[[#This Row],[Task Name]]="","",IF(Tasks[[#This Row],[_IsSummary]],MAX(INDEX(Tasks[_ShownCalcFinish],Tasks[[#This Row],[_Row]]+1):INDEX(Tasks[_ShownCalcFinish],Tasks[[#This Row],[_Row]]+Tasks[[#This Row],[_Descendants]])),Tasks[[#This Row],[_ShownCalcFinish]]))</f>
        <v/>
      </c>
      <c r="FF13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5" s="42" t="n">
        <f aca="false">IF(AND(Tasks[[#This Row],[_IsLeaf]]=1,Tasks[[#This Row],[_LeafTotalWork]]&gt;0),NETWORKDAYS.INTL(ProjectStart,Tasks[[#This Row],[_ShownFcstStart]],WorkWeek,Holidays),0)</f>
        <v>0</v>
      </c>
      <c r="FS135" s="42" t="n">
        <f aca="false">IF(AND(Tasks[[#This Row],[_IsLeaf]]=1,Tasks[[#This Row],[_LeafTotalWork]]&gt;0),MAX(Tasks[[#This Row],[_StartWorkday]],NETWORKDAYS.INTL(ProjectStart,Tasks[[#This Row],[_ShownFcstFinish]],WorkWeek,Holidays)),0)</f>
        <v>0</v>
      </c>
      <c r="FT135" s="42" t="n">
        <f aca="false">IF(AND(Tasks[[#This Row],[_IsLeaf]]=1,Tasks[[#This Row],[_LeafTotalWork]]&gt;0),Tasks[[#This Row],[_LeafWork]]/(Tasks[[#This Row],[_FinishWorkday]]-Tasks[[#This Row],[_StartWorkday]]+1),0)</f>
        <v>0</v>
      </c>
      <c r="FU135" s="42" t="n">
        <f aca="false">Tasks[[#This Row],[_WorkPerWorkday]]*(Tasks[[#This Row],[_StartWorkday]]-1)</f>
        <v>-0</v>
      </c>
      <c r="FV135" s="42" t="n">
        <f aca="false">IF(Tasks[[#This Row],[_IsLeaf]]=1,MAX(N(Tasks[[#This Row],[_Days]]),0.1),0)</f>
        <v>0</v>
      </c>
      <c r="FW135" s="42" t="n">
        <f aca="false">Tasks[[#This Row],[_WeightDur]]*Tasks[[#This Row],[_LeafProgress]]</f>
        <v>0</v>
      </c>
      <c r="FX135" s="42" t="n">
        <f aca="false">Tasks[[#This Row],[_WeightDur]]*Tasks[[#This Row],[_PlannedPct]]</f>
        <v>0</v>
      </c>
      <c r="FY13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5" s="42" t="str">
        <f aca="false">IF(AND(Tasks[[#This Row],[_IsLeaf]]=1,N(Tasks[[#This Row],[_Days]])=0,Tasks[[#This Row],[_LeafProgress]]&lt;1),Tasks[[#This Row],[_ShownFcstFinish]]+Tasks[[#This Row],[_Row]]/100000,"")</f>
        <v/>
      </c>
      <c r="GA13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5" s="42" t="str">
        <f aca="false">IF(Tasks[[#This Row],[Task Name]]="","",LEFT(Tasks[[#This Row],[WBS]],FIND(".",Tasks[[#This Row],[WBS]]&amp;".")-1))</f>
        <v/>
      </c>
      <c r="GC135" s="42" t="str">
        <f aca="false">IF(AND(Tasks[[#This Row],[Task Name]]&lt;&gt;"",Tasks[[#This Row],[_Level]]=1),Tasks[[#This Row],[_Row]],"")</f>
        <v/>
      </c>
      <c r="GD135" s="42" t="str">
        <f aca="false">IF(AND(Tasks[[#This Row],[_IsLeaf]]=1,N(Tasks[[#This Row],[_Days]])=0),Tasks[[#This Row],[Planned Finish]]+Tasks[[#This Row],[_Row]]/100000,"")</f>
        <v/>
      </c>
      <c r="GE135" s="42" t="str">
        <f aca="false">IF(AND(Tasks[[#This Row],[_IsLeaf]]=1,Tasks[[#This Row],[_LeafProgress]]&lt;1,OR(N(Tasks[[#This Row],[Finish Var]])&gt;0,Tasks[[#This Row],[Status]]="Late Start")),MAX(0,Tasks[[#This Row],[Finish Var]])+1-Tasks[[#This Row],[_Row]]/1000000,"")</f>
        <v/>
      </c>
      <c r="GF135" s="42" t="str">
        <f aca="false">IF(AND(Tasks[[#This Row],[_IsLeaf]]=1,N(Tasks[[#This Row],[Actual Start]])=0,Tasks[[#This Row],[_ShownFcstStart]]&gt;=StatusDate,Tasks[[#This Row],[_ShownFcstStart]]&lt;=LookaheadEnd),Tasks[[#This Row],[_ShownFcstStart]]+Tasks[[#This Row],[_Row]]/100000,"")</f>
        <v/>
      </c>
      <c r="GG135" s="42" t="str">
        <f aca="false">IF(AND(Tasks[[#This Row],[_IsLeaf]]=1,Tasks[[#This Row],[_LeafProgress]]&lt;1,Tasks[[#This Row],[_ShownFcstFinish]]&gt;=StatusDate,Tasks[[#This Row],[_ShownFcstFinish]]&lt;=LookaheadEnd),Tasks[[#This Row],[_ShownFcstFinish]]+Tasks[[#This Row],[_Row]]/100000,"")</f>
        <v/>
      </c>
      <c r="GH135" s="42" t="str">
        <f aca="false">IF(Tasks[[#This Row],[_LeafCritical]],Tasks[[#This Row],[_ShownFcstStart]]+Tasks[[#This Row],[_Row]]/100000,"")</f>
        <v/>
      </c>
      <c r="GI135" s="42" t="n">
        <f aca="false">Tasks[[#This Row],[_LeafWork]]*Tasks[[#This Row],[_LeafProgress]]</f>
        <v>0</v>
      </c>
      <c r="GJ135" s="89" t="str">
        <f aca="false">IF(AND(Tasks[[#This Row],[_IsLeaf]]=1,Tasks[[#This Row],[_LeafProgress]]&gt;=1),IF(N(Tasks[[#This Row],[Actual Finish]])&gt;0,Tasks[[#This Row],[Actual Finish]],Tasks[[#This Row],[_ShownFcstFinish]]),"")</f>
        <v/>
      </c>
      <c r="GK135" s="42" t="n">
        <f aca="false">IF(Tasks[[#This Row],[_IsLeaf]]=1,N(Tasks[[#This Row],[Story Points]]),0)</f>
        <v>0</v>
      </c>
      <c r="GL135" s="42" t="str">
        <f aca="false">""</f>
        <v/>
      </c>
      <c r="GM135" s="88" t="b">
        <f aca="false">IF(Tasks[[#This Row],[Task Name]]="",FALSE(),AND(Tasks[[#This Row],[_IsLeaf]]=1,N(Tasks[[#This Row],[_Days]])=0))</f>
        <v>0</v>
      </c>
      <c r="GN135" s="89" t="n">
        <f aca="false">IF(Tasks[[#This Row],[Task Name]]="",0,IF(AND(Tasks[[#This Row],[_IsLeaf]]=1,NOT(Tasks[[#This Row],[_IsMilestone]]),N(Tasks[[#This Row],[Progress]])&gt;0),Tasks[[#This Row],[Start]],0))</f>
        <v>0</v>
      </c>
      <c r="GO135" s="89" t="n">
        <f aca="false">IF(Tasks[[#This Row],[_DoneFrom]]=0,0,IF(Tasks[[#This Row],[Progress]]&gt;=1,Tasks[[#This Row],[Finish]],MAX(Tasks[[#This Row],[_DoneFrom]],Tasks[[#This Row],[Start]]+ROUND((Tasks[[#This Row],[Finish]]-Tasks[[#This Row],[Start]]+1)*Tasks[[#This Row],[Progress]],0)-1)))</f>
        <v>0</v>
      </c>
      <c r="GP135" s="89" t="n">
        <f aca="false">IF(Tasks[[#This Row],[Task Name]]="",0,IF(OR(NOT(Tasks[[#This Row],[_IsLeaf]]=1),Tasks[[#This Row],[_IsMilestone]],N(Tasks[[#This Row],[Progress]])&gt;=1),0,IF(Tasks[[#This Row],[_DoneTo]]&gt;0,Tasks[[#This Row],[_DoneTo]]+1,Tasks[[#This Row],[Start]])))</f>
        <v>0</v>
      </c>
      <c r="GQ135" s="89" t="n">
        <f aca="false">IF(Tasks[[#This Row],[_RemFrom]]=0,0,Tasks[[#This Row],[Finish]])</f>
        <v>0</v>
      </c>
      <c r="GR135" s="88" t="b">
        <f aca="false">IF(Tasks[[#This Row],[Task Name]]="",FALSE(),OR(NOT(BaselineSet),N(Tasks[[#This Row],[Baseline Start]])&gt;0))</f>
        <v>0</v>
      </c>
      <c r="GS13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5" s="90" t="str">
        <f aca="false">IF(Tasks[[#This Row],[_IsLeaf]]=1,Tasks[[#This Row],[_Row]],"")</f>
        <v/>
      </c>
      <c r="GW135" s="90" t="str">
        <f aca="false">IFERROR(INDEX(Tasks[UID],SMALL(Tasks[_PickKey],Tasks[[#This Row],[_Row]]))&amp;" "&amp;INDEX(Tasks[Task Name],SMALL(Tasks[_PickKey],Tasks[[#This Row],[_Row]])),"")</f>
        <v/>
      </c>
      <c r="GX135" s="42" t="str">
        <f aca="false">IF(Tasks[[#This Row],[Task Name]]="","",IF(Tasks[[#This Row],[_IsSummary]],NETWORKDAYS.INTL(Tasks[[#This Row],[Start]],Tasks[[#This Row],[Finish]],WorkWeek,Holidays),N(Tasks[[#This Row],[_Days]])))</f>
        <v/>
      </c>
    </row>
    <row r="136" customFormat="false" ht="15" hidden="false" customHeight="false" outlineLevel="0" collapsed="false">
      <c r="A136" s="21" t="str">
        <f aca="false">IF(Tasks[[#This Row],[Task Name]]="","",COUNTA(Tasks[[#Headers],[Task Name]]:Tasks[[#This Row],[Task Name]])-1)</f>
        <v/>
      </c>
      <c r="B136" s="22" t="n">
        <v>144</v>
      </c>
      <c r="C136" s="22"/>
      <c r="D136" s="23"/>
      <c r="E136" s="22"/>
      <c r="F136" s="23"/>
      <c r="G136" s="22"/>
      <c r="H136" s="22"/>
      <c r="I136" s="23"/>
      <c r="J136" s="22"/>
      <c r="K136" s="22"/>
      <c r="L136" s="23"/>
      <c r="M136" s="22"/>
      <c r="N136" s="22"/>
      <c r="O136" s="23"/>
      <c r="P136" s="22"/>
      <c r="Q136" s="22"/>
      <c r="R136" s="23"/>
      <c r="S136" s="23"/>
      <c r="T136" s="83"/>
      <c r="U136" s="23"/>
      <c r="V136" s="83"/>
      <c r="W136" s="23"/>
      <c r="X136" s="83"/>
      <c r="Y136" s="23"/>
      <c r="Z136" s="83"/>
      <c r="AA136" s="23"/>
      <c r="AB136" s="23"/>
      <c r="AC136" s="7"/>
      <c r="AD136" s="7"/>
      <c r="AE136" s="62" t="str">
        <f aca="false">IF(Tasks[[#This Row],[Task Name]]="","",IF(Tasks[[#This Row],[_IsSummary]],MIN(INDEX(Tasks[_ShownFcstStart],Tasks[[#This Row],[_Row]]+1):INDEX(Tasks[_ShownFcstStart],Tasks[[#This Row],[_Row]]+Tasks[[#This Row],[_Descendants]])),Tasks[[#This Row],[_ShownFcstStart]]))</f>
        <v/>
      </c>
      <c r="AF136" s="62" t="str">
        <f aca="false">IF(Tasks[[#This Row],[Task Name]]="","",IF(Tasks[[#This Row],[_IsSummary]],MAX(INDEX(Tasks[_ShownFcstFinish],Tasks[[#This Row],[_Row]]+1):INDEX(Tasks[_ShownFcstFinish],Tasks[[#This Row],[_Row]]+Tasks[[#This Row],[_Descendants]])),Tasks[[#This Row],[_ShownFcstFinish]]))</f>
        <v/>
      </c>
      <c r="AG136" s="21" t="str">
        <f aca="false">""</f>
        <v/>
      </c>
      <c r="AH136" s="23"/>
      <c r="AI13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6" s="7"/>
      <c r="AK136" s="22"/>
      <c r="AL136" s="23"/>
      <c r="AM136" s="7"/>
      <c r="AN136" s="46" t="str">
        <f aca="false">IF(Tasks[[#This Row],[Task Name]]="","",IF(Tasks[[#This Row],[Finish]]&gt;=Tasks[[#This Row],[Planned Finish]],NETWORKDAYS.INTL(Tasks[[#This Row],[Planned Finish]],Tasks[[#This Row],[Finish]],WorkWeek,Holidays)-1,1-NETWORKDAYS.INTL(Tasks[[#This Row],[Finish]],Tasks[[#This Row],[Planned Finish]],WorkWeek,Holidays)))</f>
        <v/>
      </c>
      <c r="AO136" s="21" t="str">
        <f aca="false">IF(Tasks[[#This Row],[Task Name]]="","",IF(Tasks[[#This Row],[Progress]]&gt;=1,"Complete",IF(OR(N(Tasks[[#This Row],[Actual Start]])&gt;0,Tasks[[#This Row],[Progress]]&gt;0),IF(Tasks[[#This Row],[Finish Var]]&gt;0,"Behind","In Progress"),IF(Tasks[[#This Row],[Planned Start]]&lt;StatusDate,"Late Start","Not Started"))))</f>
        <v/>
      </c>
      <c r="AP136" s="21" t="str">
        <f aca="false">IF(Tasks[[#This Row],[Task Name]]="","",IF(IF(Tasks[[#This Row],[_IsSummary]],COUNTIF(INDEX(Tasks[_LeafCritical],Tasks[[#This Row],[_Row]]+1):INDEX(Tasks[_LeafCritical],Tasks[[#This Row],[_Row]]+Tasks[[#This Row],[_Descendants]]),TRUE())&gt;0,Tasks[[#This Row],[_LeafCritical]]),"Yes",""))</f>
        <v/>
      </c>
      <c r="AQ136" s="62" t="str">
        <f aca="false">IF(Tasks[[#This Row],[Task Name]]="","",IF(N(Tasks[[#This Row],[Baseline Start]])&gt;0,Tasks[[#This Row],[Baseline Start]],Tasks[[#This Row],[_CalcStart]]))</f>
        <v/>
      </c>
      <c r="AR136" s="62" t="str">
        <f aca="false">IF(Tasks[[#This Row],[Task Name]]="","",IF(N(Tasks[[#This Row],[Baseline Finish]])&gt;0,Tasks[[#This Row],[Baseline Finish]],Tasks[[#This Row],[_CalcFinish]]))</f>
        <v/>
      </c>
      <c r="AS136" s="46" t="str">
        <f aca="false">IF(Tasks[[#This Row],[Task Name]]="","",IF(Tasks[[#This Row],[Start]]&gt;=Tasks[[#This Row],[Planned Start]],NETWORKDAYS.INTL(Tasks[[#This Row],[Planned Start]],Tasks[[#This Row],[Start]],WorkWeek,Holidays)-1,1-NETWORKDAYS.INTL(Tasks[[#This Row],[Start]],Tasks[[#This Row],[Planned Start]],WorkWeek,Holidays)))</f>
        <v/>
      </c>
      <c r="AT136" s="62" t="str">
        <f aca="false">IF(Tasks[[#This Row],[Task Name]]="","",IF(Tasks[[#This Row],[_IsSummary]],MIN(INDEX(Tasks[_LeafLateStart],Tasks[[#This Row],[_Row]]+1):INDEX(Tasks[_LeafLateStart],Tasks[[#This Row],[_Row]]+Tasks[[#This Row],[_Descendants]])),Tasks[[#This Row],[_LeafLateStart]]))</f>
        <v/>
      </c>
      <c r="AU136" s="62" t="str">
        <f aca="false">IF(Tasks[[#This Row],[Task Name]]="","",IF(Tasks[[#This Row],[_IsSummary]],MAX(INDEX(Tasks[_LeafLateFinish],Tasks[[#This Row],[_Row]]+1):INDEX(Tasks[_LeafLateFinish],Tasks[[#This Row],[_Row]]+Tasks[[#This Row],[_Descendants]])),Tasks[[#This Row],[_LeafLateFinish]]))</f>
        <v/>
      </c>
      <c r="AV136" s="46" t="str">
        <f aca="false">IF(Tasks[[#This Row],[Task Name]]="","",IF(Tasks[[#This Row],[_IsSummary]],MIN(INDEX(Tasks[_LeafTotalSlack],Tasks[[#This Row],[_Row]]+1):INDEX(Tasks[_LeafTotalSlack],Tasks[[#This Row],[_Row]]+Tasks[[#This Row],[_Descendants]])),Tasks[[#This Row],[_LeafTotalSlack]]))</f>
        <v/>
      </c>
      <c r="AW13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4"/>
      <c r="BA13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t="str">
        <f aca="false">IF(Tasks[[#This Row],[Task Name]]="","",IF(Tasks[[#This Row],[_Level]]&lt;=OutlineShowLevel,"Yes","No"))</f>
        <v/>
      </c>
      <c r="BE136" s="85" t="str">
        <f aca="false">IF(Tasks[[#This Row],[Task Name]]="","",IF(Tasks[[#This Row],[_IsSummary]],SUM(INDEX(Tasks[_LeafTotalWork],Tasks[[#This Row],[_Row]]+1):INDEX(Tasks[_LeafTotalWork],Tasks[[#This Row],[_Row]]+Tasks[[#This Row],[_Descendants]])),Tasks[[#This Row],[_LeafTotalWork]]))</f>
        <v/>
      </c>
      <c r="BF136" s="23"/>
      <c r="BG13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t="str">
        <f aca="false">""</f>
        <v/>
      </c>
      <c r="BI136" s="86"/>
      <c r="BJ136" s="22"/>
      <c r="BK136" s="46" t="str">
        <f aca="false">IF(OR(Tasks[[#This Row],[Task Name]]="",Tasks[[#This Row],[Baseline Duration]]=""),"",Tasks[[#This Row],[_SpanDays]]-N(Tasks[[#This Row],[Baseline Duration]]))</f>
        <v/>
      </c>
      <c r="BL136" s="85" t="str">
        <f aca="false">IF(OR(Tasks[[#This Row],[Task Name]]="",Tasks[[#This Row],[Baseline Work]]=""),"",Tasks[[#This Row],[Work]]-N(Tasks[[#This Row],[Baseline Work]]))</f>
        <v/>
      </c>
      <c r="BM136" s="62" t="str">
        <f aca="false">IF(Tasks[[#This Row],[Task Name]]="","",IF(OR(TakeBaseline="Yes",N(Tasks[[#This Row],[Baseline Start]])=0),Tasks[[#This Row],[Start]],Tasks[[#This Row],[Baseline Start]]))</f>
        <v/>
      </c>
      <c r="BN136" s="62" t="str">
        <f aca="false">IF(Tasks[[#This Row],[Task Name]]="","",IF(OR(TakeBaseline="Yes",N(Tasks[[#This Row],[Baseline Finish]])=0),Tasks[[#This Row],[Finish]],Tasks[[#This Row],[Baseline Finish]]))</f>
        <v/>
      </c>
      <c r="BO136" s="21" t="str">
        <f aca="false">IF(Tasks[[#This Row],[Task Name]]="","",IF(OR(TakeBaseline="Yes",N(Tasks[[#This Row],[Baseline Duration]])=0),Tasks[[#This Row],[_SpanDays]],Tasks[[#This Row],[Baseline Duration]]))</f>
        <v/>
      </c>
      <c r="BP136" s="85" t="str">
        <f aca="false">IF(Tasks[[#This Row],[Task Name]]="","",IF(OR(TakeBaseline="Yes",N(Tasks[[#This Row],[Baseline Work]])=0),Tasks[[#This Row],[Work]],Tasks[[#This Row],[Baseline Work]]))</f>
        <v/>
      </c>
      <c r="BQ136" s="7"/>
      <c r="BR136" s="7"/>
      <c r="BS136" s="22"/>
      <c r="BT136" s="87"/>
      <c r="BU136" s="42" t="str">
        <f aca="false">IF(Tasks[[#This Row],[Task Name]]="","",MAX(1,N(Tasks[[#This Row],[Level]])))</f>
        <v/>
      </c>
      <c r="BV136" s="42" t="n">
        <f aca="false">ROW()-ROW(Tasks[[#Headers],[ID]])</f>
        <v>131</v>
      </c>
      <c r="BW136" s="42" t="n">
        <f aca="false">IF(OR(Tasks[[#This Row],[Task Name]]="",Tasks[[#This Row],[_Level]]&lt;=1),0,IFERROR(LOOKUP(2,1/(Tasks[[#Headers],[_Level]]:Tasks[[#This Row],[_Level]]=Tasks[[#This Row],[_Level]]-1),ROW(Tasks[[#Headers],[_Level]]:Tasks[[#This Row],[_Level]])),0))</f>
        <v>0</v>
      </c>
      <c r="BX136" s="42" t="n">
        <f aca="false">IFERROR(N(INDEX(Tasks[_Level],Tasks[[#This Row],[_Row]]+1)),0)</f>
        <v>0</v>
      </c>
      <c r="BY136" s="88" t="b">
        <f aca="false">AND(Tasks[[#This Row],[Task Name]]&lt;&gt;"",Tasks[[#This Row],[_NextLevel]]&gt;Tasks[[#This Row],[_Level]])</f>
        <v>0</v>
      </c>
      <c r="BZ136" s="42" t="n">
        <f aca="false">IF(Tasks[[#This Row],[_IsSummary]],COUNTIF(Tasks[WBS],Tasks[[#This Row],[WBS]]&amp;".*"),0)</f>
        <v>0</v>
      </c>
      <c r="CA136" s="42" t="n">
        <f aca="false">IF(AND(Tasks[[#This Row],[Task Name]]&lt;&gt;"",NOT(Tasks[[#This Row],[_IsSummary]])),1,0)</f>
        <v>0</v>
      </c>
      <c r="CB136" s="42" t="n">
        <f aca="false">IF(N(Tasks[[#This Row],[_Pred1UID]])=0,0,IFERROR(MATCH(Tasks[[#This Row],[_Pred1UID]],Tasks[UID],0),-1))</f>
        <v>0</v>
      </c>
      <c r="CC136" s="42" t="n">
        <f aca="false">IF(N(Tasks[[#This Row],[_Pred2UID]])=0,0,IFERROR(MATCH(Tasks[[#This Row],[_Pred2UID]],Tasks[UID],0),-1))</f>
        <v>0</v>
      </c>
      <c r="CD136" s="42" t="n">
        <f aca="false">IF(N(Tasks[[#This Row],[_Pred3UID]])=0,0,IFERROR(MATCH(Tasks[[#This Row],[_Pred3UID]],Tasks[UID],0),-1))</f>
        <v>0</v>
      </c>
      <c r="CE136" s="42" t="n">
        <f aca="false">IF(N(Tasks[[#This Row],[_Pred4UID]])=0,0,IFERROR(MATCH(Tasks[[#This Row],[_Pred4UID]],Tasks[UID],0),-1))</f>
        <v>0</v>
      </c>
      <c r="CF13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6" s="89" t="n">
        <f aca="false">IF(OR(Tasks[[#This Row],[_ConstraintCode]]=2,Tasks[[#This Row],[_ConstraintCode]]=3,Tasks[[#This Row],[_ConstraintCode]]=4,Tasks[[#This Row],[_ConstraintCode]]=6),Tasks[[#This Row],[_ConstraintStart]],0)</f>
        <v>0</v>
      </c>
      <c r="CI136" s="89" t="n">
        <f aca="false">IF(OR(Tasks[[#This Row],[_ConstraintCode]]=2,Tasks[[#This Row],[_ConstraintCode]]=3,Tasks[[#This Row],[_ConstraintCode]]=5,Tasks[[#This Row],[_ConstraintCode]]=7),Tasks[[#This Row],[_ConstraintStart]],2958465)</f>
        <v>2958465</v>
      </c>
      <c r="CJ13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6" s="89" t="str">
        <f aca="false">IF(NOT(Tasks[[#This Row],[_IsLeaf]]=1),"",IF(N(Tasks[[#This Row],[_Days]])&lt;=0,Tasks[[#This Row],[_LeafCalcStart]],WORKDAY.INTL(Tasks[[#This Row],[_LeafCalcStart]],Tasks[[#This Row],[_Days]]-1,WorkWeek,Holidays)))</f>
        <v/>
      </c>
      <c r="CL13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6" s="42" t="str">
        <f aca="false">IF(Tasks[[#This Row],[_Predecessors]]="","",TRIM(MID(SUBSTITUTE(SUBSTITUTE(SUBSTITUTE(UPPER(Tasks[[#This Row],[_Predecessors]]),";",",")," ",""),",",REPT(" ",99)),1,99)))</f>
        <v/>
      </c>
      <c r="CO136" s="42" t="str">
        <f aca="false">IF(Tasks[[#This Row],[_Pred1Text]]="","",IFERROR(VALUE(LEFT(Tasks[[#This Row],[_Pred1Text]],MIN(FIND("F",Tasks[[#This Row],[_Pred1Text]]&amp;"F"),FIND("S",Tasks[[#This Row],[_Pred1Text]]&amp;"S"),FIND("+",Tasks[[#This Row],[_Pred1Text]]&amp;"+"),FIND("-",Tasks[[#This Row],[_Pred1Text]]&amp;"-"))-1)),""))</f>
        <v/>
      </c>
      <c r="CP13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6" s="42" t="str">
        <f aca="false">IF(Tasks[[#This Row],[_Pred1Text]]="","",TRIM(MID(SUBSTITUTE(SUBSTITUTE(SUBSTITUTE(UPPER(Tasks[[#This Row],[_Predecessors]]),";",",")," ",""),",",REPT(" ",99)),100,99)))</f>
        <v/>
      </c>
      <c r="CS136" s="42" t="str">
        <f aca="false">IF(Tasks[[#This Row],[_Pred2Text]]="","",IFERROR(VALUE(LEFT(Tasks[[#This Row],[_Pred2Text]],MIN(FIND("F",Tasks[[#This Row],[_Pred2Text]]&amp;"F"),FIND("S",Tasks[[#This Row],[_Pred2Text]]&amp;"S"),FIND("+",Tasks[[#This Row],[_Pred2Text]]&amp;"+"),FIND("-",Tasks[[#This Row],[_Pred2Text]]&amp;"-"))-1)),""))</f>
        <v/>
      </c>
      <c r="CT13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6" s="42" t="str">
        <f aca="false">IF(Tasks[[#This Row],[_Pred2Text]]="","",TRIM(MID(SUBSTITUTE(SUBSTITUTE(SUBSTITUTE(UPPER(Tasks[[#This Row],[_Predecessors]]),";",",")," ",""),",",REPT(" ",99)),199,99)))</f>
        <v/>
      </c>
      <c r="CW136" s="42" t="str">
        <f aca="false">IF(Tasks[[#This Row],[_Pred3Text]]="","",IFERROR(VALUE(LEFT(Tasks[[#This Row],[_Pred3Text]],MIN(FIND("F",Tasks[[#This Row],[_Pred3Text]]&amp;"F"),FIND("S",Tasks[[#This Row],[_Pred3Text]]&amp;"S"),FIND("+",Tasks[[#This Row],[_Pred3Text]]&amp;"+"),FIND("-",Tasks[[#This Row],[_Pred3Text]]&amp;"-"))-1)),""))</f>
        <v/>
      </c>
      <c r="CX13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6" s="42" t="str">
        <f aca="false">IF(Tasks[[#This Row],[_Pred3Text]]="","",TRIM(MID(SUBSTITUTE(SUBSTITUTE(SUBSTITUTE(UPPER(Tasks[[#This Row],[_Predecessors]]),";",",")," ",""),",",REPT(" ",99)),298,99)))</f>
        <v/>
      </c>
      <c r="DA136" s="42" t="str">
        <f aca="false">IF(Tasks[[#This Row],[_Pred4Text]]="","",IFERROR(VALUE(LEFT(Tasks[[#This Row],[_Pred4Text]],MIN(FIND("F",Tasks[[#This Row],[_Pred4Text]]&amp;"F"),FIND("S",Tasks[[#This Row],[_Pred4Text]]&amp;"S"),FIND("+",Tasks[[#This Row],[_Pred4Text]]&amp;"+"),FIND("-",Tasks[[#This Row],[_Pred4Text]]&amp;"-"))-1)),""))</f>
        <v/>
      </c>
      <c r="DB13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6" s="42" t="str">
        <f aca="false">IF(OR(Tasks[[#This Row],[Task Name]]="",Tasks[[#This Row],[_Resources]]=""),"",TRIM(MID(SUBSTITUTE(Tasks[[#This Row],[_Resources]],",",REPT(" ",99)),1,99)))</f>
        <v/>
      </c>
      <c r="DE136" s="42" t="str">
        <f aca="false">IF(Tasks[[#This Row],[_Res1Text]]="","",TRIM(MID(SUBSTITUTE(Tasks[[#This Row],[_Resources]],",",REPT(" ",99)),100,99)))</f>
        <v/>
      </c>
      <c r="DF136" s="42" t="str">
        <f aca="false">IF(Tasks[[#This Row],[_Res2Text]]="","",TRIM(MID(SUBSTITUTE(Tasks[[#This Row],[_Resources]],",",REPT(" ",99)),199,99)))</f>
        <v/>
      </c>
      <c r="DG136" s="42" t="str">
        <f aca="false">IF(Tasks[[#This Row],[_Res3Text]]="","",TRIM(MID(SUBSTITUTE(Tasks[[#This Row],[_Resources]],",",REPT(" ",99)),298,99)))</f>
        <v/>
      </c>
      <c r="DH136" s="42" t="n">
        <f aca="false">IF(Tasks[[#This Row],[_Res1Text]]="",0,IFERROR(MATCH(TRIM(LEFT(Tasks[[#This Row],[_Res1Text]],FIND("[",Tasks[[#This Row],[_Res1Text]]&amp;"[")-1)),res_Name,0),IFERROR(MATCH(TRIM(LEFT(Tasks[[#This Row],[_Res1Text]],FIND("[",Tasks[[#This Row],[_Res1Text]]&amp;"[")-1)),res_Initials,0),0)))</f>
        <v>0</v>
      </c>
      <c r="DI136" s="42" t="n">
        <f aca="false">IF(Tasks[[#This Row],[_Res2Text]]="",0,IFERROR(MATCH(TRIM(LEFT(Tasks[[#This Row],[_Res2Text]],FIND("[",Tasks[[#This Row],[_Res2Text]]&amp;"[")-1)),res_Name,0),IFERROR(MATCH(TRIM(LEFT(Tasks[[#This Row],[_Res2Text]],FIND("[",Tasks[[#This Row],[_Res2Text]]&amp;"[")-1)),res_Initials,0),0)))</f>
        <v>0</v>
      </c>
      <c r="DJ136" s="42" t="n">
        <f aca="false">IF(Tasks[[#This Row],[_Res3Text]]="",0,IFERROR(MATCH(TRIM(LEFT(Tasks[[#This Row],[_Res3Text]],FIND("[",Tasks[[#This Row],[_Res3Text]]&amp;"[")-1)),res_Name,0),IFERROR(MATCH(TRIM(LEFT(Tasks[[#This Row],[_Res3Text]],FIND("[",Tasks[[#This Row],[_Res3Text]]&amp;"[")-1)),res_Initials,0),0)))</f>
        <v>0</v>
      </c>
      <c r="DK136" s="42" t="n">
        <f aca="false">IF(Tasks[[#This Row],[_Res4Text]]="",0,IFERROR(MATCH(TRIM(LEFT(Tasks[[#This Row],[_Res4Text]],FIND("[",Tasks[[#This Row],[_Res4Text]]&amp;"[")-1)),res_Name,0),IFERROR(MATCH(TRIM(LEFT(Tasks[[#This Row],[_Res4Text]],FIND("[",Tasks[[#This Row],[_Res4Text]]&amp;"[")-1)),res_Initials,0),0)))</f>
        <v>0</v>
      </c>
      <c r="DL136" s="42" t="str">
        <f aca="false">IF(Tasks[[#This Row],[_Res1Text]]="","",IF(Tasks[[#This Row],[_Res1Row]]&gt;0,INDEX(res_Name,Tasks[[#This Row],[_Res1Row]]),TRIM(LEFT(Tasks[[#This Row],[_Res1Text]],FIND("[",Tasks[[#This Row],[_Res1Text]]&amp;"[")-1))))</f>
        <v/>
      </c>
      <c r="DM13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6" s="42" t="n">
        <f aca="false">IF(NOT(Tasks[[#This Row],[_IsLeaf]]=1),0,(Tasks[[#This Row],[_Resource1]]&lt;&gt;"")+(Tasks[[#This Row],[_Res2]]&lt;&gt;"")+(Tasks[[#This Row],[_Res3]]&lt;&gt;"")+(Tasks[[#This Row],[_Res4]]&lt;&gt;""))</f>
        <v>0</v>
      </c>
      <c r="DO136" s="42" t="str">
        <f aca="false">IF(Tasks[[#This Row],[_Res2Text]]="","",IF(Tasks[[#This Row],[_Res2Row]]&gt;0,INDEX(res_Name,Tasks[[#This Row],[_Res2Row]]),TRIM(LEFT(Tasks[[#This Row],[_Res2Text]],FIND("[",Tasks[[#This Row],[_Res2Text]]&amp;"[")-1))))</f>
        <v/>
      </c>
      <c r="DP13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6" s="42" t="n">
        <f aca="false">IF(OR(NOT(Tasks[[#This Row],[_IsLeaf]]=1),Tasks[[#This Row],[_Res2Row]]=0),0,N(Tasks[[#This Row],[_Days]])*HoursPerDay*IF(Tasks[[#This Row],[_Res2Units]]="",DefaultUnits,Tasks[[#This Row],[_Res2Units]]))</f>
        <v>0</v>
      </c>
      <c r="DR136" s="42" t="n">
        <f aca="false">IF(AND(AND(Tasks[[#This Row],[_IsLeaf]]=1,Tasks[[#This Row],[_LeafTotalWork]]&gt;0),Tasks[[#This Row],[_Res2Work]]&gt;0),Tasks[[#This Row],[_Res2Work]]/(Tasks[[#This Row],[_FinishWorkday]]-Tasks[[#This Row],[_StartWorkday]]+1),0)</f>
        <v>0</v>
      </c>
      <c r="DS136" s="42" t="n">
        <f aca="false">Tasks[[#This Row],[_Res2WorkPerWD]]*MAX(0,Tasks[[#This Row],[_StartWorkday]]-1)</f>
        <v>0</v>
      </c>
      <c r="DT136" s="42" t="n">
        <f aca="false">Tasks[[#This Row],[_Res2Work]]*Tasks[[#This Row],[_LeafProgress]]</f>
        <v>0</v>
      </c>
      <c r="DU136" s="42" t="str">
        <f aca="false">IF(Tasks[[#This Row],[_Res3Text]]="","",IF(Tasks[[#This Row],[_Res3Row]]&gt;0,INDEX(res_Name,Tasks[[#This Row],[_Res3Row]]),TRIM(LEFT(Tasks[[#This Row],[_Res3Text]],FIND("[",Tasks[[#This Row],[_Res3Text]]&amp;"[")-1))))</f>
        <v/>
      </c>
      <c r="DV13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6" s="42" t="n">
        <f aca="false">IF(OR(NOT(Tasks[[#This Row],[_IsLeaf]]=1),Tasks[[#This Row],[_Res3Row]]=0),0,N(Tasks[[#This Row],[_Days]])*HoursPerDay*IF(Tasks[[#This Row],[_Res3Units]]="",DefaultUnits,Tasks[[#This Row],[_Res3Units]]))</f>
        <v>0</v>
      </c>
      <c r="DX136" s="42" t="n">
        <f aca="false">IF(AND(AND(Tasks[[#This Row],[_IsLeaf]]=1,Tasks[[#This Row],[_LeafTotalWork]]&gt;0),Tasks[[#This Row],[_Res3Work]]&gt;0),Tasks[[#This Row],[_Res3Work]]/(Tasks[[#This Row],[_FinishWorkday]]-Tasks[[#This Row],[_StartWorkday]]+1),0)</f>
        <v>0</v>
      </c>
      <c r="DY136" s="42" t="n">
        <f aca="false">Tasks[[#This Row],[_Res3WorkPerWD]]*MAX(0,Tasks[[#This Row],[_StartWorkday]]-1)</f>
        <v>0</v>
      </c>
      <c r="DZ136" s="42" t="n">
        <f aca="false">Tasks[[#This Row],[_Res3Work]]*Tasks[[#This Row],[_LeafProgress]]</f>
        <v>0</v>
      </c>
      <c r="EA136" s="42" t="str">
        <f aca="false">IF(Tasks[[#This Row],[_Res4Text]]="","",IF(Tasks[[#This Row],[_Res4Row]]&gt;0,INDEX(res_Name,Tasks[[#This Row],[_Res4Row]]),TRIM(LEFT(Tasks[[#This Row],[_Res4Text]],FIND("[",Tasks[[#This Row],[_Res4Text]]&amp;"[")-1))))</f>
        <v/>
      </c>
      <c r="EB13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6" s="42" t="n">
        <f aca="false">IF(OR(NOT(Tasks[[#This Row],[_IsLeaf]]=1),Tasks[[#This Row],[_Res4Row]]=0),0,N(Tasks[[#This Row],[_Days]])*HoursPerDay*IF(Tasks[[#This Row],[_Res4Units]]="",DefaultUnits,Tasks[[#This Row],[_Res4Units]]))</f>
        <v>0</v>
      </c>
      <c r="ED136" s="42" t="n">
        <f aca="false">IF(AND(AND(Tasks[[#This Row],[_IsLeaf]]=1,Tasks[[#This Row],[_LeafTotalWork]]&gt;0),Tasks[[#This Row],[_Res4Work]]&gt;0),Tasks[[#This Row],[_Res4Work]]/(Tasks[[#This Row],[_FinishWorkday]]-Tasks[[#This Row],[_StartWorkday]]+1),0)</f>
        <v>0</v>
      </c>
      <c r="EE136" s="42" t="n">
        <f aca="false">Tasks[[#This Row],[_Res4WorkPerWD]]*MAX(0,Tasks[[#This Row],[_StartWorkday]]-1)</f>
        <v>0</v>
      </c>
      <c r="EF136" s="42" t="n">
        <f aca="false">Tasks[[#This Row],[_Res4Work]]*Tasks[[#This Row],[_LeafProgress]]</f>
        <v>0</v>
      </c>
      <c r="EG136" s="42" t="n">
        <f aca="false">IF(ISNUMBER(Tasks[[#This Row],[% Complete]]),Tasks[[#This Row],[% Complete]],IF(Tasks[[#This Row],[Stage]]="",0,IFERROR(INDEX(stg_Pct,MATCH(Tasks[[#This Row],[Stage]],stg_Name,0)),0)))</f>
        <v>0</v>
      </c>
      <c r="EH136" s="42" t="n">
        <f aca="false">IF(NOT(Tasks[[#This Row],[_IsLeaf]]=1),0,IF(N(Tasks[[#This Row],[Actual Finish]])&gt;0,1,MIN(1,Tasks[[#This Row],[_Pct]])))</f>
        <v>0</v>
      </c>
      <c r="EI136" s="42" t="n">
        <f aca="false">IF(OR(NOT(Tasks[[#This Row],[_IsLeaf]]=1),Tasks[[#This Row],[_Res1Row]]=0),0,N(Tasks[[#This Row],[_Days]])*HoursPerDay*IF(Tasks[[#This Row],[_Units1]]="",DefaultUnits,Tasks[[#This Row],[_Units1]]))</f>
        <v>0</v>
      </c>
      <c r="EJ136" s="42" t="n">
        <f aca="false">Tasks[[#This Row],[_LeafWork]]+Tasks[[#This Row],[_Res2Work]]+Tasks[[#This Row],[_Res3Work]]+Tasks[[#This Row],[_Res4Work]]</f>
        <v>0</v>
      </c>
      <c r="EK13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6" s="42" t="n">
        <f aca="false">IF(NOT(Tasks[[#This Row],[_IsLeaf]]=1),0,MAX(_xlfn.MAXIFS(Tasks[_Row],Tasks[_Pred1UID],Tasks[[#This Row],[UID]]),_xlfn.MAXIFS(Tasks[_Row],Tasks[_Pred2UID],Tasks[[#This Row],[UID]]),_xlfn.MAXIFS(Tasks[_Row],Tasks[_Pred3UID],Tasks[[#This Row],[UID]]),_xlfn.MAXIFS(Tasks[_Row],Tasks[_Pred4UID],Tasks[[#This Row],[UID]])))</f>
        <v>0</v>
      </c>
      <c r="ET13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6" s="89" t="str">
        <f aca="false">IF(NOT(Tasks[[#This Row],[_IsLeaf]]=1),"",IF(N(Tasks[[#This Row],[_Days]])&lt;=0,Tasks[[#This Row],[_LeafLateFinish]],WORKDAY.INTL(Tasks[[#This Row],[_LeafLateFinish]],-(Tasks[[#This Row],[_Days]]-1),WorkWeek,Holidays)))</f>
        <v/>
      </c>
      <c r="EW13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6" s="88" t="b">
        <f aca="false">AND(Tasks[[#This Row],[_IsLeaf]]=1,Tasks[[#This Row],[_LeafProgress]]&lt;1,N(Tasks[[#This Row],[_LeafTotalSlack]])&lt;=CriticalSlackDays)</f>
        <v>0</v>
      </c>
      <c r="EY136" s="42" t="n">
        <f aca="false">IF(AND(Tasks[[#This Row],[_IsLeaf]]=1,Tasks[[#This Row],[_ConstraintCode]]=1,Tasks[[#This Row],[Mode]]&lt;&gt;"Manual",N(Tasks[[#This Row],[Actual Start]])=0),MAX(0,N(Tasks[[#This Row],[Free Slack]])),0)</f>
        <v>0</v>
      </c>
      <c r="EZ136" s="89" t="str">
        <f aca="false">IF(NOT(Tasks[[#This Row],[_IsLeaf]]=1),"",IF(Tasks[[#This Row],[_AlapShift]]=0,Tasks[[#This Row],[_LeafCalcStart]],WORKDAY.INTL(Tasks[[#This Row],[_LeafCalcStart]],Tasks[[#This Row],[_AlapShift]],WorkWeek,Holidays)))</f>
        <v/>
      </c>
      <c r="FA136" s="89" t="str">
        <f aca="false">IF(NOT(Tasks[[#This Row],[_IsLeaf]]=1),"",IF(Tasks[[#This Row],[_AlapShift]]=0,Tasks[[#This Row],[_LeafCalcFinish]],WORKDAY.INTL(Tasks[[#This Row],[_LeafCalcFinish]],Tasks[[#This Row],[_AlapShift]],WorkWeek,Holidays)))</f>
        <v/>
      </c>
      <c r="FB136" s="89" t="str">
        <f aca="false">IF(NOT(Tasks[[#This Row],[_IsLeaf]]=1),"",IF(Tasks[[#This Row],[_AlapShift]]=0,Tasks[[#This Row],[_LeafFcstStart]],WORKDAY.INTL(Tasks[[#This Row],[_LeafFcstStart]],Tasks[[#This Row],[_AlapShift]],WorkWeek,Holidays)))</f>
        <v/>
      </c>
      <c r="FC136" s="89" t="str">
        <f aca="false">IF(NOT(Tasks[[#This Row],[_IsLeaf]]=1),"",IF(Tasks[[#This Row],[_AlapShift]]=0,Tasks[[#This Row],[_LeafFcstFinish]],WORKDAY.INTL(Tasks[[#This Row],[_LeafFcstFinish]],Tasks[[#This Row],[_AlapShift]],WorkWeek,Holidays)))</f>
        <v/>
      </c>
      <c r="FD136" s="89" t="str">
        <f aca="false">IF(Tasks[[#This Row],[Task Name]]="","",IF(Tasks[[#This Row],[_IsSummary]],MIN(INDEX(Tasks[_ShownCalcStart],Tasks[[#This Row],[_Row]]+1):INDEX(Tasks[_ShownCalcStart],Tasks[[#This Row],[_Row]]+Tasks[[#This Row],[_Descendants]])),Tasks[[#This Row],[_ShownCalcStart]]))</f>
        <v/>
      </c>
      <c r="FE136" s="89" t="str">
        <f aca="false">IF(Tasks[[#This Row],[Task Name]]="","",IF(Tasks[[#This Row],[_IsSummary]],MAX(INDEX(Tasks[_ShownCalcFinish],Tasks[[#This Row],[_Row]]+1):INDEX(Tasks[_ShownCalcFinish],Tasks[[#This Row],[_Row]]+Tasks[[#This Row],[_Descendants]])),Tasks[[#This Row],[_ShownCalcFinish]]))</f>
        <v/>
      </c>
      <c r="FF13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6" s="42" t="n">
        <f aca="false">IF(AND(Tasks[[#This Row],[_IsLeaf]]=1,Tasks[[#This Row],[_LeafTotalWork]]&gt;0),NETWORKDAYS.INTL(ProjectStart,Tasks[[#This Row],[_ShownFcstStart]],WorkWeek,Holidays),0)</f>
        <v>0</v>
      </c>
      <c r="FS136" s="42" t="n">
        <f aca="false">IF(AND(Tasks[[#This Row],[_IsLeaf]]=1,Tasks[[#This Row],[_LeafTotalWork]]&gt;0),MAX(Tasks[[#This Row],[_StartWorkday]],NETWORKDAYS.INTL(ProjectStart,Tasks[[#This Row],[_ShownFcstFinish]],WorkWeek,Holidays)),0)</f>
        <v>0</v>
      </c>
      <c r="FT136" s="42" t="n">
        <f aca="false">IF(AND(Tasks[[#This Row],[_IsLeaf]]=1,Tasks[[#This Row],[_LeafTotalWork]]&gt;0),Tasks[[#This Row],[_LeafWork]]/(Tasks[[#This Row],[_FinishWorkday]]-Tasks[[#This Row],[_StartWorkday]]+1),0)</f>
        <v>0</v>
      </c>
      <c r="FU136" s="42" t="n">
        <f aca="false">Tasks[[#This Row],[_WorkPerWorkday]]*(Tasks[[#This Row],[_StartWorkday]]-1)</f>
        <v>-0</v>
      </c>
      <c r="FV136" s="42" t="n">
        <f aca="false">IF(Tasks[[#This Row],[_IsLeaf]]=1,MAX(N(Tasks[[#This Row],[_Days]]),0.1),0)</f>
        <v>0</v>
      </c>
      <c r="FW136" s="42" t="n">
        <f aca="false">Tasks[[#This Row],[_WeightDur]]*Tasks[[#This Row],[_LeafProgress]]</f>
        <v>0</v>
      </c>
      <c r="FX136" s="42" t="n">
        <f aca="false">Tasks[[#This Row],[_WeightDur]]*Tasks[[#This Row],[_PlannedPct]]</f>
        <v>0</v>
      </c>
      <c r="FY13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6" s="42" t="str">
        <f aca="false">IF(AND(Tasks[[#This Row],[_IsLeaf]]=1,N(Tasks[[#This Row],[_Days]])=0,Tasks[[#This Row],[_LeafProgress]]&lt;1),Tasks[[#This Row],[_ShownFcstFinish]]+Tasks[[#This Row],[_Row]]/100000,"")</f>
        <v/>
      </c>
      <c r="GA13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6" s="42" t="str">
        <f aca="false">IF(Tasks[[#This Row],[Task Name]]="","",LEFT(Tasks[[#This Row],[WBS]],FIND(".",Tasks[[#This Row],[WBS]]&amp;".")-1))</f>
        <v/>
      </c>
      <c r="GC136" s="42" t="str">
        <f aca="false">IF(AND(Tasks[[#This Row],[Task Name]]&lt;&gt;"",Tasks[[#This Row],[_Level]]=1),Tasks[[#This Row],[_Row]],"")</f>
        <v/>
      </c>
      <c r="GD136" s="42" t="str">
        <f aca="false">IF(AND(Tasks[[#This Row],[_IsLeaf]]=1,N(Tasks[[#This Row],[_Days]])=0),Tasks[[#This Row],[Planned Finish]]+Tasks[[#This Row],[_Row]]/100000,"")</f>
        <v/>
      </c>
      <c r="GE136" s="42" t="str">
        <f aca="false">IF(AND(Tasks[[#This Row],[_IsLeaf]]=1,Tasks[[#This Row],[_LeafProgress]]&lt;1,OR(N(Tasks[[#This Row],[Finish Var]])&gt;0,Tasks[[#This Row],[Status]]="Late Start")),MAX(0,Tasks[[#This Row],[Finish Var]])+1-Tasks[[#This Row],[_Row]]/1000000,"")</f>
        <v/>
      </c>
      <c r="GF136" s="42" t="str">
        <f aca="false">IF(AND(Tasks[[#This Row],[_IsLeaf]]=1,N(Tasks[[#This Row],[Actual Start]])=0,Tasks[[#This Row],[_ShownFcstStart]]&gt;=StatusDate,Tasks[[#This Row],[_ShownFcstStart]]&lt;=LookaheadEnd),Tasks[[#This Row],[_ShownFcstStart]]+Tasks[[#This Row],[_Row]]/100000,"")</f>
        <v/>
      </c>
      <c r="GG136" s="42" t="str">
        <f aca="false">IF(AND(Tasks[[#This Row],[_IsLeaf]]=1,Tasks[[#This Row],[_LeafProgress]]&lt;1,Tasks[[#This Row],[_ShownFcstFinish]]&gt;=StatusDate,Tasks[[#This Row],[_ShownFcstFinish]]&lt;=LookaheadEnd),Tasks[[#This Row],[_ShownFcstFinish]]+Tasks[[#This Row],[_Row]]/100000,"")</f>
        <v/>
      </c>
      <c r="GH136" s="42" t="str">
        <f aca="false">IF(Tasks[[#This Row],[_LeafCritical]],Tasks[[#This Row],[_ShownFcstStart]]+Tasks[[#This Row],[_Row]]/100000,"")</f>
        <v/>
      </c>
      <c r="GI136" s="42" t="n">
        <f aca="false">Tasks[[#This Row],[_LeafWork]]*Tasks[[#This Row],[_LeafProgress]]</f>
        <v>0</v>
      </c>
      <c r="GJ136" s="89" t="str">
        <f aca="false">IF(AND(Tasks[[#This Row],[_IsLeaf]]=1,Tasks[[#This Row],[_LeafProgress]]&gt;=1),IF(N(Tasks[[#This Row],[Actual Finish]])&gt;0,Tasks[[#This Row],[Actual Finish]],Tasks[[#This Row],[_ShownFcstFinish]]),"")</f>
        <v/>
      </c>
      <c r="GK136" s="42" t="n">
        <f aca="false">IF(Tasks[[#This Row],[_IsLeaf]]=1,N(Tasks[[#This Row],[Story Points]]),0)</f>
        <v>0</v>
      </c>
      <c r="GL136" s="42" t="str">
        <f aca="false">""</f>
        <v/>
      </c>
      <c r="GM136" s="88" t="b">
        <f aca="false">IF(Tasks[[#This Row],[Task Name]]="",FALSE(),AND(Tasks[[#This Row],[_IsLeaf]]=1,N(Tasks[[#This Row],[_Days]])=0))</f>
        <v>0</v>
      </c>
      <c r="GN136" s="89" t="n">
        <f aca="false">IF(Tasks[[#This Row],[Task Name]]="",0,IF(AND(Tasks[[#This Row],[_IsLeaf]]=1,NOT(Tasks[[#This Row],[_IsMilestone]]),N(Tasks[[#This Row],[Progress]])&gt;0),Tasks[[#This Row],[Start]],0))</f>
        <v>0</v>
      </c>
      <c r="GO136" s="89" t="n">
        <f aca="false">IF(Tasks[[#This Row],[_DoneFrom]]=0,0,IF(Tasks[[#This Row],[Progress]]&gt;=1,Tasks[[#This Row],[Finish]],MAX(Tasks[[#This Row],[_DoneFrom]],Tasks[[#This Row],[Start]]+ROUND((Tasks[[#This Row],[Finish]]-Tasks[[#This Row],[Start]]+1)*Tasks[[#This Row],[Progress]],0)-1)))</f>
        <v>0</v>
      </c>
      <c r="GP136" s="89" t="n">
        <f aca="false">IF(Tasks[[#This Row],[Task Name]]="",0,IF(OR(NOT(Tasks[[#This Row],[_IsLeaf]]=1),Tasks[[#This Row],[_IsMilestone]],N(Tasks[[#This Row],[Progress]])&gt;=1),0,IF(Tasks[[#This Row],[_DoneTo]]&gt;0,Tasks[[#This Row],[_DoneTo]]+1,Tasks[[#This Row],[Start]])))</f>
        <v>0</v>
      </c>
      <c r="GQ136" s="89" t="n">
        <f aca="false">IF(Tasks[[#This Row],[_RemFrom]]=0,0,Tasks[[#This Row],[Finish]])</f>
        <v>0</v>
      </c>
      <c r="GR136" s="88" t="b">
        <f aca="false">IF(Tasks[[#This Row],[Task Name]]="",FALSE(),OR(NOT(BaselineSet),N(Tasks[[#This Row],[Baseline Start]])&gt;0))</f>
        <v>0</v>
      </c>
      <c r="GS13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6" s="90" t="str">
        <f aca="false">IF(Tasks[[#This Row],[_IsLeaf]]=1,Tasks[[#This Row],[_Row]],"")</f>
        <v/>
      </c>
      <c r="GW136" s="90" t="str">
        <f aca="false">IFERROR(INDEX(Tasks[UID],SMALL(Tasks[_PickKey],Tasks[[#This Row],[_Row]]))&amp;" "&amp;INDEX(Tasks[Task Name],SMALL(Tasks[_PickKey],Tasks[[#This Row],[_Row]])),"")</f>
        <v/>
      </c>
      <c r="GX136" s="42" t="str">
        <f aca="false">IF(Tasks[[#This Row],[Task Name]]="","",IF(Tasks[[#This Row],[_IsSummary]],NETWORKDAYS.INTL(Tasks[[#This Row],[Start]],Tasks[[#This Row],[Finish]],WorkWeek,Holidays),N(Tasks[[#This Row],[_Days]])))</f>
        <v/>
      </c>
    </row>
    <row r="137" customFormat="false" ht="15" hidden="false" customHeight="false" outlineLevel="0" collapsed="false">
      <c r="A137" s="21" t="str">
        <f aca="false">IF(Tasks[[#This Row],[Task Name]]="","",COUNTA(Tasks[[#Headers],[Task Name]]:Tasks[[#This Row],[Task Name]])-1)</f>
        <v/>
      </c>
      <c r="B137" s="22" t="n">
        <v>145</v>
      </c>
      <c r="C137" s="22"/>
      <c r="D137" s="23"/>
      <c r="E137" s="22"/>
      <c r="F137" s="23"/>
      <c r="G137" s="22"/>
      <c r="H137" s="22"/>
      <c r="I137" s="23"/>
      <c r="J137" s="22"/>
      <c r="K137" s="22"/>
      <c r="L137" s="23"/>
      <c r="M137" s="22"/>
      <c r="N137" s="22"/>
      <c r="O137" s="23"/>
      <c r="P137" s="22"/>
      <c r="Q137" s="22"/>
      <c r="R137" s="23"/>
      <c r="S137" s="23"/>
      <c r="T137" s="83"/>
      <c r="U137" s="23"/>
      <c r="V137" s="83"/>
      <c r="W137" s="23"/>
      <c r="X137" s="83"/>
      <c r="Y137" s="23"/>
      <c r="Z137" s="83"/>
      <c r="AA137" s="23"/>
      <c r="AB137" s="23"/>
      <c r="AC137" s="7"/>
      <c r="AD137" s="7"/>
      <c r="AE137" s="62" t="str">
        <f aca="false">IF(Tasks[[#This Row],[Task Name]]="","",IF(Tasks[[#This Row],[_IsSummary]],MIN(INDEX(Tasks[_ShownFcstStart],Tasks[[#This Row],[_Row]]+1):INDEX(Tasks[_ShownFcstStart],Tasks[[#This Row],[_Row]]+Tasks[[#This Row],[_Descendants]])),Tasks[[#This Row],[_ShownFcstStart]]))</f>
        <v/>
      </c>
      <c r="AF137" s="62" t="str">
        <f aca="false">IF(Tasks[[#This Row],[Task Name]]="","",IF(Tasks[[#This Row],[_IsSummary]],MAX(INDEX(Tasks[_ShownFcstFinish],Tasks[[#This Row],[_Row]]+1):INDEX(Tasks[_ShownFcstFinish],Tasks[[#This Row],[_Row]]+Tasks[[#This Row],[_Descendants]])),Tasks[[#This Row],[_ShownFcstFinish]]))</f>
        <v/>
      </c>
      <c r="AG137" s="21" t="str">
        <f aca="false">""</f>
        <v/>
      </c>
      <c r="AH137" s="23"/>
      <c r="AI13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7" s="7"/>
      <c r="AK137" s="22"/>
      <c r="AL137" s="23"/>
      <c r="AM137" s="7"/>
      <c r="AN137" s="46" t="str">
        <f aca="false">IF(Tasks[[#This Row],[Task Name]]="","",IF(Tasks[[#This Row],[Finish]]&gt;=Tasks[[#This Row],[Planned Finish]],NETWORKDAYS.INTL(Tasks[[#This Row],[Planned Finish]],Tasks[[#This Row],[Finish]],WorkWeek,Holidays)-1,1-NETWORKDAYS.INTL(Tasks[[#This Row],[Finish]],Tasks[[#This Row],[Planned Finish]],WorkWeek,Holidays)))</f>
        <v/>
      </c>
      <c r="AO137" s="21" t="str">
        <f aca="false">IF(Tasks[[#This Row],[Task Name]]="","",IF(Tasks[[#This Row],[Progress]]&gt;=1,"Complete",IF(OR(N(Tasks[[#This Row],[Actual Start]])&gt;0,Tasks[[#This Row],[Progress]]&gt;0),IF(Tasks[[#This Row],[Finish Var]]&gt;0,"Behind","In Progress"),IF(Tasks[[#This Row],[Planned Start]]&lt;StatusDate,"Late Start","Not Started"))))</f>
        <v/>
      </c>
      <c r="AP137" s="21" t="str">
        <f aca="false">IF(Tasks[[#This Row],[Task Name]]="","",IF(IF(Tasks[[#This Row],[_IsSummary]],COUNTIF(INDEX(Tasks[_LeafCritical],Tasks[[#This Row],[_Row]]+1):INDEX(Tasks[_LeafCritical],Tasks[[#This Row],[_Row]]+Tasks[[#This Row],[_Descendants]]),TRUE())&gt;0,Tasks[[#This Row],[_LeafCritical]]),"Yes",""))</f>
        <v/>
      </c>
      <c r="AQ137" s="62" t="str">
        <f aca="false">IF(Tasks[[#This Row],[Task Name]]="","",IF(N(Tasks[[#This Row],[Baseline Start]])&gt;0,Tasks[[#This Row],[Baseline Start]],Tasks[[#This Row],[_CalcStart]]))</f>
        <v/>
      </c>
      <c r="AR137" s="62" t="str">
        <f aca="false">IF(Tasks[[#This Row],[Task Name]]="","",IF(N(Tasks[[#This Row],[Baseline Finish]])&gt;0,Tasks[[#This Row],[Baseline Finish]],Tasks[[#This Row],[_CalcFinish]]))</f>
        <v/>
      </c>
      <c r="AS137" s="46" t="str">
        <f aca="false">IF(Tasks[[#This Row],[Task Name]]="","",IF(Tasks[[#This Row],[Start]]&gt;=Tasks[[#This Row],[Planned Start]],NETWORKDAYS.INTL(Tasks[[#This Row],[Planned Start]],Tasks[[#This Row],[Start]],WorkWeek,Holidays)-1,1-NETWORKDAYS.INTL(Tasks[[#This Row],[Start]],Tasks[[#This Row],[Planned Start]],WorkWeek,Holidays)))</f>
        <v/>
      </c>
      <c r="AT137" s="62" t="str">
        <f aca="false">IF(Tasks[[#This Row],[Task Name]]="","",IF(Tasks[[#This Row],[_IsSummary]],MIN(INDEX(Tasks[_LeafLateStart],Tasks[[#This Row],[_Row]]+1):INDEX(Tasks[_LeafLateStart],Tasks[[#This Row],[_Row]]+Tasks[[#This Row],[_Descendants]])),Tasks[[#This Row],[_LeafLateStart]]))</f>
        <v/>
      </c>
      <c r="AU137" s="62" t="str">
        <f aca="false">IF(Tasks[[#This Row],[Task Name]]="","",IF(Tasks[[#This Row],[_IsSummary]],MAX(INDEX(Tasks[_LeafLateFinish],Tasks[[#This Row],[_Row]]+1):INDEX(Tasks[_LeafLateFinish],Tasks[[#This Row],[_Row]]+Tasks[[#This Row],[_Descendants]])),Tasks[[#This Row],[_LeafLateFinish]]))</f>
        <v/>
      </c>
      <c r="AV137" s="46" t="str">
        <f aca="false">IF(Tasks[[#This Row],[Task Name]]="","",IF(Tasks[[#This Row],[_IsSummary]],MIN(INDEX(Tasks[_LeafTotalSlack],Tasks[[#This Row],[_Row]]+1):INDEX(Tasks[_LeafTotalSlack],Tasks[[#This Row],[_Row]]+Tasks[[#This Row],[_Descendants]])),Tasks[[#This Row],[_LeafTotalSlack]]))</f>
        <v/>
      </c>
      <c r="AW13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4"/>
      <c r="BA13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t="str">
        <f aca="false">IF(Tasks[[#This Row],[Task Name]]="","",IF(Tasks[[#This Row],[_Level]]&lt;=OutlineShowLevel,"Yes","No"))</f>
        <v/>
      </c>
      <c r="BE137" s="85" t="str">
        <f aca="false">IF(Tasks[[#This Row],[Task Name]]="","",IF(Tasks[[#This Row],[_IsSummary]],SUM(INDEX(Tasks[_LeafTotalWork],Tasks[[#This Row],[_Row]]+1):INDEX(Tasks[_LeafTotalWork],Tasks[[#This Row],[_Row]]+Tasks[[#This Row],[_Descendants]])),Tasks[[#This Row],[_LeafTotalWork]]))</f>
        <v/>
      </c>
      <c r="BF137" s="23"/>
      <c r="BG13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t="str">
        <f aca="false">""</f>
        <v/>
      </c>
      <c r="BI137" s="86"/>
      <c r="BJ137" s="22"/>
      <c r="BK137" s="46" t="str">
        <f aca="false">IF(OR(Tasks[[#This Row],[Task Name]]="",Tasks[[#This Row],[Baseline Duration]]=""),"",Tasks[[#This Row],[_SpanDays]]-N(Tasks[[#This Row],[Baseline Duration]]))</f>
        <v/>
      </c>
      <c r="BL137" s="85" t="str">
        <f aca="false">IF(OR(Tasks[[#This Row],[Task Name]]="",Tasks[[#This Row],[Baseline Work]]=""),"",Tasks[[#This Row],[Work]]-N(Tasks[[#This Row],[Baseline Work]]))</f>
        <v/>
      </c>
      <c r="BM137" s="62" t="str">
        <f aca="false">IF(Tasks[[#This Row],[Task Name]]="","",IF(OR(TakeBaseline="Yes",N(Tasks[[#This Row],[Baseline Start]])=0),Tasks[[#This Row],[Start]],Tasks[[#This Row],[Baseline Start]]))</f>
        <v/>
      </c>
      <c r="BN137" s="62" t="str">
        <f aca="false">IF(Tasks[[#This Row],[Task Name]]="","",IF(OR(TakeBaseline="Yes",N(Tasks[[#This Row],[Baseline Finish]])=0),Tasks[[#This Row],[Finish]],Tasks[[#This Row],[Baseline Finish]]))</f>
        <v/>
      </c>
      <c r="BO137" s="21" t="str">
        <f aca="false">IF(Tasks[[#This Row],[Task Name]]="","",IF(OR(TakeBaseline="Yes",N(Tasks[[#This Row],[Baseline Duration]])=0),Tasks[[#This Row],[_SpanDays]],Tasks[[#This Row],[Baseline Duration]]))</f>
        <v/>
      </c>
      <c r="BP137" s="85" t="str">
        <f aca="false">IF(Tasks[[#This Row],[Task Name]]="","",IF(OR(TakeBaseline="Yes",N(Tasks[[#This Row],[Baseline Work]])=0),Tasks[[#This Row],[Work]],Tasks[[#This Row],[Baseline Work]]))</f>
        <v/>
      </c>
      <c r="BQ137" s="7"/>
      <c r="BR137" s="7"/>
      <c r="BS137" s="22"/>
      <c r="BT137" s="87"/>
      <c r="BU137" s="42" t="str">
        <f aca="false">IF(Tasks[[#This Row],[Task Name]]="","",MAX(1,N(Tasks[[#This Row],[Level]])))</f>
        <v/>
      </c>
      <c r="BV137" s="42" t="n">
        <f aca="false">ROW()-ROW(Tasks[[#Headers],[ID]])</f>
        <v>132</v>
      </c>
      <c r="BW137" s="42" t="n">
        <f aca="false">IF(OR(Tasks[[#This Row],[Task Name]]="",Tasks[[#This Row],[_Level]]&lt;=1),0,IFERROR(LOOKUP(2,1/(Tasks[[#Headers],[_Level]]:Tasks[[#This Row],[_Level]]=Tasks[[#This Row],[_Level]]-1),ROW(Tasks[[#Headers],[_Level]]:Tasks[[#This Row],[_Level]])),0))</f>
        <v>0</v>
      </c>
      <c r="BX137" s="42" t="n">
        <f aca="false">IFERROR(N(INDEX(Tasks[_Level],Tasks[[#This Row],[_Row]]+1)),0)</f>
        <v>0</v>
      </c>
      <c r="BY137" s="88" t="b">
        <f aca="false">AND(Tasks[[#This Row],[Task Name]]&lt;&gt;"",Tasks[[#This Row],[_NextLevel]]&gt;Tasks[[#This Row],[_Level]])</f>
        <v>0</v>
      </c>
      <c r="BZ137" s="42" t="n">
        <f aca="false">IF(Tasks[[#This Row],[_IsSummary]],COUNTIF(Tasks[WBS],Tasks[[#This Row],[WBS]]&amp;".*"),0)</f>
        <v>0</v>
      </c>
      <c r="CA137" s="42" t="n">
        <f aca="false">IF(AND(Tasks[[#This Row],[Task Name]]&lt;&gt;"",NOT(Tasks[[#This Row],[_IsSummary]])),1,0)</f>
        <v>0</v>
      </c>
      <c r="CB137" s="42" t="n">
        <f aca="false">IF(N(Tasks[[#This Row],[_Pred1UID]])=0,0,IFERROR(MATCH(Tasks[[#This Row],[_Pred1UID]],Tasks[UID],0),-1))</f>
        <v>0</v>
      </c>
      <c r="CC137" s="42" t="n">
        <f aca="false">IF(N(Tasks[[#This Row],[_Pred2UID]])=0,0,IFERROR(MATCH(Tasks[[#This Row],[_Pred2UID]],Tasks[UID],0),-1))</f>
        <v>0</v>
      </c>
      <c r="CD137" s="42" t="n">
        <f aca="false">IF(N(Tasks[[#This Row],[_Pred3UID]])=0,0,IFERROR(MATCH(Tasks[[#This Row],[_Pred3UID]],Tasks[UID],0),-1))</f>
        <v>0</v>
      </c>
      <c r="CE137" s="42" t="n">
        <f aca="false">IF(N(Tasks[[#This Row],[_Pred4UID]])=0,0,IFERROR(MATCH(Tasks[[#This Row],[_Pred4UID]],Tasks[UID],0),-1))</f>
        <v>0</v>
      </c>
      <c r="CF13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7" s="89" t="n">
        <f aca="false">IF(OR(Tasks[[#This Row],[_ConstraintCode]]=2,Tasks[[#This Row],[_ConstraintCode]]=3,Tasks[[#This Row],[_ConstraintCode]]=4,Tasks[[#This Row],[_ConstraintCode]]=6),Tasks[[#This Row],[_ConstraintStart]],0)</f>
        <v>0</v>
      </c>
      <c r="CI137" s="89" t="n">
        <f aca="false">IF(OR(Tasks[[#This Row],[_ConstraintCode]]=2,Tasks[[#This Row],[_ConstraintCode]]=3,Tasks[[#This Row],[_ConstraintCode]]=5,Tasks[[#This Row],[_ConstraintCode]]=7),Tasks[[#This Row],[_ConstraintStart]],2958465)</f>
        <v>2958465</v>
      </c>
      <c r="CJ13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7" s="89" t="str">
        <f aca="false">IF(NOT(Tasks[[#This Row],[_IsLeaf]]=1),"",IF(N(Tasks[[#This Row],[_Days]])&lt;=0,Tasks[[#This Row],[_LeafCalcStart]],WORKDAY.INTL(Tasks[[#This Row],[_LeafCalcStart]],Tasks[[#This Row],[_Days]]-1,WorkWeek,Holidays)))</f>
        <v/>
      </c>
      <c r="CL13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7" s="42" t="str">
        <f aca="false">IF(Tasks[[#This Row],[_Predecessors]]="","",TRIM(MID(SUBSTITUTE(SUBSTITUTE(SUBSTITUTE(UPPER(Tasks[[#This Row],[_Predecessors]]),";",",")," ",""),",",REPT(" ",99)),1,99)))</f>
        <v/>
      </c>
      <c r="CO137" s="42" t="str">
        <f aca="false">IF(Tasks[[#This Row],[_Pred1Text]]="","",IFERROR(VALUE(LEFT(Tasks[[#This Row],[_Pred1Text]],MIN(FIND("F",Tasks[[#This Row],[_Pred1Text]]&amp;"F"),FIND("S",Tasks[[#This Row],[_Pred1Text]]&amp;"S"),FIND("+",Tasks[[#This Row],[_Pred1Text]]&amp;"+"),FIND("-",Tasks[[#This Row],[_Pred1Text]]&amp;"-"))-1)),""))</f>
        <v/>
      </c>
      <c r="CP13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7" s="42" t="str">
        <f aca="false">IF(Tasks[[#This Row],[_Pred1Text]]="","",TRIM(MID(SUBSTITUTE(SUBSTITUTE(SUBSTITUTE(UPPER(Tasks[[#This Row],[_Predecessors]]),";",",")," ",""),",",REPT(" ",99)),100,99)))</f>
        <v/>
      </c>
      <c r="CS137" s="42" t="str">
        <f aca="false">IF(Tasks[[#This Row],[_Pred2Text]]="","",IFERROR(VALUE(LEFT(Tasks[[#This Row],[_Pred2Text]],MIN(FIND("F",Tasks[[#This Row],[_Pred2Text]]&amp;"F"),FIND("S",Tasks[[#This Row],[_Pred2Text]]&amp;"S"),FIND("+",Tasks[[#This Row],[_Pred2Text]]&amp;"+"),FIND("-",Tasks[[#This Row],[_Pred2Text]]&amp;"-"))-1)),""))</f>
        <v/>
      </c>
      <c r="CT13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7" s="42" t="str">
        <f aca="false">IF(Tasks[[#This Row],[_Pred2Text]]="","",TRIM(MID(SUBSTITUTE(SUBSTITUTE(SUBSTITUTE(UPPER(Tasks[[#This Row],[_Predecessors]]),";",",")," ",""),",",REPT(" ",99)),199,99)))</f>
        <v/>
      </c>
      <c r="CW137" s="42" t="str">
        <f aca="false">IF(Tasks[[#This Row],[_Pred3Text]]="","",IFERROR(VALUE(LEFT(Tasks[[#This Row],[_Pred3Text]],MIN(FIND("F",Tasks[[#This Row],[_Pred3Text]]&amp;"F"),FIND("S",Tasks[[#This Row],[_Pred3Text]]&amp;"S"),FIND("+",Tasks[[#This Row],[_Pred3Text]]&amp;"+"),FIND("-",Tasks[[#This Row],[_Pred3Text]]&amp;"-"))-1)),""))</f>
        <v/>
      </c>
      <c r="CX13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7" s="42" t="str">
        <f aca="false">IF(Tasks[[#This Row],[_Pred3Text]]="","",TRIM(MID(SUBSTITUTE(SUBSTITUTE(SUBSTITUTE(UPPER(Tasks[[#This Row],[_Predecessors]]),";",",")," ",""),",",REPT(" ",99)),298,99)))</f>
        <v/>
      </c>
      <c r="DA137" s="42" t="str">
        <f aca="false">IF(Tasks[[#This Row],[_Pred4Text]]="","",IFERROR(VALUE(LEFT(Tasks[[#This Row],[_Pred4Text]],MIN(FIND("F",Tasks[[#This Row],[_Pred4Text]]&amp;"F"),FIND("S",Tasks[[#This Row],[_Pred4Text]]&amp;"S"),FIND("+",Tasks[[#This Row],[_Pred4Text]]&amp;"+"),FIND("-",Tasks[[#This Row],[_Pred4Text]]&amp;"-"))-1)),""))</f>
        <v/>
      </c>
      <c r="DB13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7" s="42" t="str">
        <f aca="false">IF(OR(Tasks[[#This Row],[Task Name]]="",Tasks[[#This Row],[_Resources]]=""),"",TRIM(MID(SUBSTITUTE(Tasks[[#This Row],[_Resources]],",",REPT(" ",99)),1,99)))</f>
        <v/>
      </c>
      <c r="DE137" s="42" t="str">
        <f aca="false">IF(Tasks[[#This Row],[_Res1Text]]="","",TRIM(MID(SUBSTITUTE(Tasks[[#This Row],[_Resources]],",",REPT(" ",99)),100,99)))</f>
        <v/>
      </c>
      <c r="DF137" s="42" t="str">
        <f aca="false">IF(Tasks[[#This Row],[_Res2Text]]="","",TRIM(MID(SUBSTITUTE(Tasks[[#This Row],[_Resources]],",",REPT(" ",99)),199,99)))</f>
        <v/>
      </c>
      <c r="DG137" s="42" t="str">
        <f aca="false">IF(Tasks[[#This Row],[_Res3Text]]="","",TRIM(MID(SUBSTITUTE(Tasks[[#This Row],[_Resources]],",",REPT(" ",99)),298,99)))</f>
        <v/>
      </c>
      <c r="DH137" s="42" t="n">
        <f aca="false">IF(Tasks[[#This Row],[_Res1Text]]="",0,IFERROR(MATCH(TRIM(LEFT(Tasks[[#This Row],[_Res1Text]],FIND("[",Tasks[[#This Row],[_Res1Text]]&amp;"[")-1)),res_Name,0),IFERROR(MATCH(TRIM(LEFT(Tasks[[#This Row],[_Res1Text]],FIND("[",Tasks[[#This Row],[_Res1Text]]&amp;"[")-1)),res_Initials,0),0)))</f>
        <v>0</v>
      </c>
      <c r="DI137" s="42" t="n">
        <f aca="false">IF(Tasks[[#This Row],[_Res2Text]]="",0,IFERROR(MATCH(TRIM(LEFT(Tasks[[#This Row],[_Res2Text]],FIND("[",Tasks[[#This Row],[_Res2Text]]&amp;"[")-1)),res_Name,0),IFERROR(MATCH(TRIM(LEFT(Tasks[[#This Row],[_Res2Text]],FIND("[",Tasks[[#This Row],[_Res2Text]]&amp;"[")-1)),res_Initials,0),0)))</f>
        <v>0</v>
      </c>
      <c r="DJ137" s="42" t="n">
        <f aca="false">IF(Tasks[[#This Row],[_Res3Text]]="",0,IFERROR(MATCH(TRIM(LEFT(Tasks[[#This Row],[_Res3Text]],FIND("[",Tasks[[#This Row],[_Res3Text]]&amp;"[")-1)),res_Name,0),IFERROR(MATCH(TRIM(LEFT(Tasks[[#This Row],[_Res3Text]],FIND("[",Tasks[[#This Row],[_Res3Text]]&amp;"[")-1)),res_Initials,0),0)))</f>
        <v>0</v>
      </c>
      <c r="DK137" s="42" t="n">
        <f aca="false">IF(Tasks[[#This Row],[_Res4Text]]="",0,IFERROR(MATCH(TRIM(LEFT(Tasks[[#This Row],[_Res4Text]],FIND("[",Tasks[[#This Row],[_Res4Text]]&amp;"[")-1)),res_Name,0),IFERROR(MATCH(TRIM(LEFT(Tasks[[#This Row],[_Res4Text]],FIND("[",Tasks[[#This Row],[_Res4Text]]&amp;"[")-1)),res_Initials,0),0)))</f>
        <v>0</v>
      </c>
      <c r="DL137" s="42" t="str">
        <f aca="false">IF(Tasks[[#This Row],[_Res1Text]]="","",IF(Tasks[[#This Row],[_Res1Row]]&gt;0,INDEX(res_Name,Tasks[[#This Row],[_Res1Row]]),TRIM(LEFT(Tasks[[#This Row],[_Res1Text]],FIND("[",Tasks[[#This Row],[_Res1Text]]&amp;"[")-1))))</f>
        <v/>
      </c>
      <c r="DM13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7" s="42" t="n">
        <f aca="false">IF(NOT(Tasks[[#This Row],[_IsLeaf]]=1),0,(Tasks[[#This Row],[_Resource1]]&lt;&gt;"")+(Tasks[[#This Row],[_Res2]]&lt;&gt;"")+(Tasks[[#This Row],[_Res3]]&lt;&gt;"")+(Tasks[[#This Row],[_Res4]]&lt;&gt;""))</f>
        <v>0</v>
      </c>
      <c r="DO137" s="42" t="str">
        <f aca="false">IF(Tasks[[#This Row],[_Res2Text]]="","",IF(Tasks[[#This Row],[_Res2Row]]&gt;0,INDEX(res_Name,Tasks[[#This Row],[_Res2Row]]),TRIM(LEFT(Tasks[[#This Row],[_Res2Text]],FIND("[",Tasks[[#This Row],[_Res2Text]]&amp;"[")-1))))</f>
        <v/>
      </c>
      <c r="DP13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7" s="42" t="n">
        <f aca="false">IF(OR(NOT(Tasks[[#This Row],[_IsLeaf]]=1),Tasks[[#This Row],[_Res2Row]]=0),0,N(Tasks[[#This Row],[_Days]])*HoursPerDay*IF(Tasks[[#This Row],[_Res2Units]]="",DefaultUnits,Tasks[[#This Row],[_Res2Units]]))</f>
        <v>0</v>
      </c>
      <c r="DR137" s="42" t="n">
        <f aca="false">IF(AND(AND(Tasks[[#This Row],[_IsLeaf]]=1,Tasks[[#This Row],[_LeafTotalWork]]&gt;0),Tasks[[#This Row],[_Res2Work]]&gt;0),Tasks[[#This Row],[_Res2Work]]/(Tasks[[#This Row],[_FinishWorkday]]-Tasks[[#This Row],[_StartWorkday]]+1),0)</f>
        <v>0</v>
      </c>
      <c r="DS137" s="42" t="n">
        <f aca="false">Tasks[[#This Row],[_Res2WorkPerWD]]*MAX(0,Tasks[[#This Row],[_StartWorkday]]-1)</f>
        <v>0</v>
      </c>
      <c r="DT137" s="42" t="n">
        <f aca="false">Tasks[[#This Row],[_Res2Work]]*Tasks[[#This Row],[_LeafProgress]]</f>
        <v>0</v>
      </c>
      <c r="DU137" s="42" t="str">
        <f aca="false">IF(Tasks[[#This Row],[_Res3Text]]="","",IF(Tasks[[#This Row],[_Res3Row]]&gt;0,INDEX(res_Name,Tasks[[#This Row],[_Res3Row]]),TRIM(LEFT(Tasks[[#This Row],[_Res3Text]],FIND("[",Tasks[[#This Row],[_Res3Text]]&amp;"[")-1))))</f>
        <v/>
      </c>
      <c r="DV13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7" s="42" t="n">
        <f aca="false">IF(OR(NOT(Tasks[[#This Row],[_IsLeaf]]=1),Tasks[[#This Row],[_Res3Row]]=0),0,N(Tasks[[#This Row],[_Days]])*HoursPerDay*IF(Tasks[[#This Row],[_Res3Units]]="",DefaultUnits,Tasks[[#This Row],[_Res3Units]]))</f>
        <v>0</v>
      </c>
      <c r="DX137" s="42" t="n">
        <f aca="false">IF(AND(AND(Tasks[[#This Row],[_IsLeaf]]=1,Tasks[[#This Row],[_LeafTotalWork]]&gt;0),Tasks[[#This Row],[_Res3Work]]&gt;0),Tasks[[#This Row],[_Res3Work]]/(Tasks[[#This Row],[_FinishWorkday]]-Tasks[[#This Row],[_StartWorkday]]+1),0)</f>
        <v>0</v>
      </c>
      <c r="DY137" s="42" t="n">
        <f aca="false">Tasks[[#This Row],[_Res3WorkPerWD]]*MAX(0,Tasks[[#This Row],[_StartWorkday]]-1)</f>
        <v>0</v>
      </c>
      <c r="DZ137" s="42" t="n">
        <f aca="false">Tasks[[#This Row],[_Res3Work]]*Tasks[[#This Row],[_LeafProgress]]</f>
        <v>0</v>
      </c>
      <c r="EA137" s="42" t="str">
        <f aca="false">IF(Tasks[[#This Row],[_Res4Text]]="","",IF(Tasks[[#This Row],[_Res4Row]]&gt;0,INDEX(res_Name,Tasks[[#This Row],[_Res4Row]]),TRIM(LEFT(Tasks[[#This Row],[_Res4Text]],FIND("[",Tasks[[#This Row],[_Res4Text]]&amp;"[")-1))))</f>
        <v/>
      </c>
      <c r="EB13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7" s="42" t="n">
        <f aca="false">IF(OR(NOT(Tasks[[#This Row],[_IsLeaf]]=1),Tasks[[#This Row],[_Res4Row]]=0),0,N(Tasks[[#This Row],[_Days]])*HoursPerDay*IF(Tasks[[#This Row],[_Res4Units]]="",DefaultUnits,Tasks[[#This Row],[_Res4Units]]))</f>
        <v>0</v>
      </c>
      <c r="ED137" s="42" t="n">
        <f aca="false">IF(AND(AND(Tasks[[#This Row],[_IsLeaf]]=1,Tasks[[#This Row],[_LeafTotalWork]]&gt;0),Tasks[[#This Row],[_Res4Work]]&gt;0),Tasks[[#This Row],[_Res4Work]]/(Tasks[[#This Row],[_FinishWorkday]]-Tasks[[#This Row],[_StartWorkday]]+1),0)</f>
        <v>0</v>
      </c>
      <c r="EE137" s="42" t="n">
        <f aca="false">Tasks[[#This Row],[_Res4WorkPerWD]]*MAX(0,Tasks[[#This Row],[_StartWorkday]]-1)</f>
        <v>0</v>
      </c>
      <c r="EF137" s="42" t="n">
        <f aca="false">Tasks[[#This Row],[_Res4Work]]*Tasks[[#This Row],[_LeafProgress]]</f>
        <v>0</v>
      </c>
      <c r="EG137" s="42" t="n">
        <f aca="false">IF(ISNUMBER(Tasks[[#This Row],[% Complete]]),Tasks[[#This Row],[% Complete]],IF(Tasks[[#This Row],[Stage]]="",0,IFERROR(INDEX(stg_Pct,MATCH(Tasks[[#This Row],[Stage]],stg_Name,0)),0)))</f>
        <v>0</v>
      </c>
      <c r="EH137" s="42" t="n">
        <f aca="false">IF(NOT(Tasks[[#This Row],[_IsLeaf]]=1),0,IF(N(Tasks[[#This Row],[Actual Finish]])&gt;0,1,MIN(1,Tasks[[#This Row],[_Pct]])))</f>
        <v>0</v>
      </c>
      <c r="EI137" s="42" t="n">
        <f aca="false">IF(OR(NOT(Tasks[[#This Row],[_IsLeaf]]=1),Tasks[[#This Row],[_Res1Row]]=0),0,N(Tasks[[#This Row],[_Days]])*HoursPerDay*IF(Tasks[[#This Row],[_Units1]]="",DefaultUnits,Tasks[[#This Row],[_Units1]]))</f>
        <v>0</v>
      </c>
      <c r="EJ137" s="42" t="n">
        <f aca="false">Tasks[[#This Row],[_LeafWork]]+Tasks[[#This Row],[_Res2Work]]+Tasks[[#This Row],[_Res3Work]]+Tasks[[#This Row],[_Res4Work]]</f>
        <v>0</v>
      </c>
      <c r="EK13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7" s="42" t="n">
        <f aca="false">IF(NOT(Tasks[[#This Row],[_IsLeaf]]=1),0,MAX(_xlfn.MAXIFS(Tasks[_Row],Tasks[_Pred1UID],Tasks[[#This Row],[UID]]),_xlfn.MAXIFS(Tasks[_Row],Tasks[_Pred2UID],Tasks[[#This Row],[UID]]),_xlfn.MAXIFS(Tasks[_Row],Tasks[_Pred3UID],Tasks[[#This Row],[UID]]),_xlfn.MAXIFS(Tasks[_Row],Tasks[_Pred4UID],Tasks[[#This Row],[UID]])))</f>
        <v>0</v>
      </c>
      <c r="ET13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7" s="89" t="str">
        <f aca="false">IF(NOT(Tasks[[#This Row],[_IsLeaf]]=1),"",IF(N(Tasks[[#This Row],[_Days]])&lt;=0,Tasks[[#This Row],[_LeafLateFinish]],WORKDAY.INTL(Tasks[[#This Row],[_LeafLateFinish]],-(Tasks[[#This Row],[_Days]]-1),WorkWeek,Holidays)))</f>
        <v/>
      </c>
      <c r="EW13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7" s="88" t="b">
        <f aca="false">AND(Tasks[[#This Row],[_IsLeaf]]=1,Tasks[[#This Row],[_LeafProgress]]&lt;1,N(Tasks[[#This Row],[_LeafTotalSlack]])&lt;=CriticalSlackDays)</f>
        <v>0</v>
      </c>
      <c r="EY137" s="42" t="n">
        <f aca="false">IF(AND(Tasks[[#This Row],[_IsLeaf]]=1,Tasks[[#This Row],[_ConstraintCode]]=1,Tasks[[#This Row],[Mode]]&lt;&gt;"Manual",N(Tasks[[#This Row],[Actual Start]])=0),MAX(0,N(Tasks[[#This Row],[Free Slack]])),0)</f>
        <v>0</v>
      </c>
      <c r="EZ137" s="89" t="str">
        <f aca="false">IF(NOT(Tasks[[#This Row],[_IsLeaf]]=1),"",IF(Tasks[[#This Row],[_AlapShift]]=0,Tasks[[#This Row],[_LeafCalcStart]],WORKDAY.INTL(Tasks[[#This Row],[_LeafCalcStart]],Tasks[[#This Row],[_AlapShift]],WorkWeek,Holidays)))</f>
        <v/>
      </c>
      <c r="FA137" s="89" t="str">
        <f aca="false">IF(NOT(Tasks[[#This Row],[_IsLeaf]]=1),"",IF(Tasks[[#This Row],[_AlapShift]]=0,Tasks[[#This Row],[_LeafCalcFinish]],WORKDAY.INTL(Tasks[[#This Row],[_LeafCalcFinish]],Tasks[[#This Row],[_AlapShift]],WorkWeek,Holidays)))</f>
        <v/>
      </c>
      <c r="FB137" s="89" t="str">
        <f aca="false">IF(NOT(Tasks[[#This Row],[_IsLeaf]]=1),"",IF(Tasks[[#This Row],[_AlapShift]]=0,Tasks[[#This Row],[_LeafFcstStart]],WORKDAY.INTL(Tasks[[#This Row],[_LeafFcstStart]],Tasks[[#This Row],[_AlapShift]],WorkWeek,Holidays)))</f>
        <v/>
      </c>
      <c r="FC137" s="89" t="str">
        <f aca="false">IF(NOT(Tasks[[#This Row],[_IsLeaf]]=1),"",IF(Tasks[[#This Row],[_AlapShift]]=0,Tasks[[#This Row],[_LeafFcstFinish]],WORKDAY.INTL(Tasks[[#This Row],[_LeafFcstFinish]],Tasks[[#This Row],[_AlapShift]],WorkWeek,Holidays)))</f>
        <v/>
      </c>
      <c r="FD137" s="89" t="str">
        <f aca="false">IF(Tasks[[#This Row],[Task Name]]="","",IF(Tasks[[#This Row],[_IsSummary]],MIN(INDEX(Tasks[_ShownCalcStart],Tasks[[#This Row],[_Row]]+1):INDEX(Tasks[_ShownCalcStart],Tasks[[#This Row],[_Row]]+Tasks[[#This Row],[_Descendants]])),Tasks[[#This Row],[_ShownCalcStart]]))</f>
        <v/>
      </c>
      <c r="FE137" s="89" t="str">
        <f aca="false">IF(Tasks[[#This Row],[Task Name]]="","",IF(Tasks[[#This Row],[_IsSummary]],MAX(INDEX(Tasks[_ShownCalcFinish],Tasks[[#This Row],[_Row]]+1):INDEX(Tasks[_ShownCalcFinish],Tasks[[#This Row],[_Row]]+Tasks[[#This Row],[_Descendants]])),Tasks[[#This Row],[_ShownCalcFinish]]))</f>
        <v/>
      </c>
      <c r="FF13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7" s="42" t="n">
        <f aca="false">IF(AND(Tasks[[#This Row],[_IsLeaf]]=1,Tasks[[#This Row],[_LeafTotalWork]]&gt;0),NETWORKDAYS.INTL(ProjectStart,Tasks[[#This Row],[_ShownFcstStart]],WorkWeek,Holidays),0)</f>
        <v>0</v>
      </c>
      <c r="FS137" s="42" t="n">
        <f aca="false">IF(AND(Tasks[[#This Row],[_IsLeaf]]=1,Tasks[[#This Row],[_LeafTotalWork]]&gt;0),MAX(Tasks[[#This Row],[_StartWorkday]],NETWORKDAYS.INTL(ProjectStart,Tasks[[#This Row],[_ShownFcstFinish]],WorkWeek,Holidays)),0)</f>
        <v>0</v>
      </c>
      <c r="FT137" s="42" t="n">
        <f aca="false">IF(AND(Tasks[[#This Row],[_IsLeaf]]=1,Tasks[[#This Row],[_LeafTotalWork]]&gt;0),Tasks[[#This Row],[_LeafWork]]/(Tasks[[#This Row],[_FinishWorkday]]-Tasks[[#This Row],[_StartWorkday]]+1),0)</f>
        <v>0</v>
      </c>
      <c r="FU137" s="42" t="n">
        <f aca="false">Tasks[[#This Row],[_WorkPerWorkday]]*(Tasks[[#This Row],[_StartWorkday]]-1)</f>
        <v>-0</v>
      </c>
      <c r="FV137" s="42" t="n">
        <f aca="false">IF(Tasks[[#This Row],[_IsLeaf]]=1,MAX(N(Tasks[[#This Row],[_Days]]),0.1),0)</f>
        <v>0</v>
      </c>
      <c r="FW137" s="42" t="n">
        <f aca="false">Tasks[[#This Row],[_WeightDur]]*Tasks[[#This Row],[_LeafProgress]]</f>
        <v>0</v>
      </c>
      <c r="FX137" s="42" t="n">
        <f aca="false">Tasks[[#This Row],[_WeightDur]]*Tasks[[#This Row],[_PlannedPct]]</f>
        <v>0</v>
      </c>
      <c r="FY13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7" s="42" t="str">
        <f aca="false">IF(AND(Tasks[[#This Row],[_IsLeaf]]=1,N(Tasks[[#This Row],[_Days]])=0,Tasks[[#This Row],[_LeafProgress]]&lt;1),Tasks[[#This Row],[_ShownFcstFinish]]+Tasks[[#This Row],[_Row]]/100000,"")</f>
        <v/>
      </c>
      <c r="GA13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7" s="42" t="str">
        <f aca="false">IF(Tasks[[#This Row],[Task Name]]="","",LEFT(Tasks[[#This Row],[WBS]],FIND(".",Tasks[[#This Row],[WBS]]&amp;".")-1))</f>
        <v/>
      </c>
      <c r="GC137" s="42" t="str">
        <f aca="false">IF(AND(Tasks[[#This Row],[Task Name]]&lt;&gt;"",Tasks[[#This Row],[_Level]]=1),Tasks[[#This Row],[_Row]],"")</f>
        <v/>
      </c>
      <c r="GD137" s="42" t="str">
        <f aca="false">IF(AND(Tasks[[#This Row],[_IsLeaf]]=1,N(Tasks[[#This Row],[_Days]])=0),Tasks[[#This Row],[Planned Finish]]+Tasks[[#This Row],[_Row]]/100000,"")</f>
        <v/>
      </c>
      <c r="GE137" s="42" t="str">
        <f aca="false">IF(AND(Tasks[[#This Row],[_IsLeaf]]=1,Tasks[[#This Row],[_LeafProgress]]&lt;1,OR(N(Tasks[[#This Row],[Finish Var]])&gt;0,Tasks[[#This Row],[Status]]="Late Start")),MAX(0,Tasks[[#This Row],[Finish Var]])+1-Tasks[[#This Row],[_Row]]/1000000,"")</f>
        <v/>
      </c>
      <c r="GF137" s="42" t="str">
        <f aca="false">IF(AND(Tasks[[#This Row],[_IsLeaf]]=1,N(Tasks[[#This Row],[Actual Start]])=0,Tasks[[#This Row],[_ShownFcstStart]]&gt;=StatusDate,Tasks[[#This Row],[_ShownFcstStart]]&lt;=LookaheadEnd),Tasks[[#This Row],[_ShownFcstStart]]+Tasks[[#This Row],[_Row]]/100000,"")</f>
        <v/>
      </c>
      <c r="GG137" s="42" t="str">
        <f aca="false">IF(AND(Tasks[[#This Row],[_IsLeaf]]=1,Tasks[[#This Row],[_LeafProgress]]&lt;1,Tasks[[#This Row],[_ShownFcstFinish]]&gt;=StatusDate,Tasks[[#This Row],[_ShownFcstFinish]]&lt;=LookaheadEnd),Tasks[[#This Row],[_ShownFcstFinish]]+Tasks[[#This Row],[_Row]]/100000,"")</f>
        <v/>
      </c>
      <c r="GH137" s="42" t="str">
        <f aca="false">IF(Tasks[[#This Row],[_LeafCritical]],Tasks[[#This Row],[_ShownFcstStart]]+Tasks[[#This Row],[_Row]]/100000,"")</f>
        <v/>
      </c>
      <c r="GI137" s="42" t="n">
        <f aca="false">Tasks[[#This Row],[_LeafWork]]*Tasks[[#This Row],[_LeafProgress]]</f>
        <v>0</v>
      </c>
      <c r="GJ137" s="89" t="str">
        <f aca="false">IF(AND(Tasks[[#This Row],[_IsLeaf]]=1,Tasks[[#This Row],[_LeafProgress]]&gt;=1),IF(N(Tasks[[#This Row],[Actual Finish]])&gt;0,Tasks[[#This Row],[Actual Finish]],Tasks[[#This Row],[_ShownFcstFinish]]),"")</f>
        <v/>
      </c>
      <c r="GK137" s="42" t="n">
        <f aca="false">IF(Tasks[[#This Row],[_IsLeaf]]=1,N(Tasks[[#This Row],[Story Points]]),0)</f>
        <v>0</v>
      </c>
      <c r="GL137" s="42" t="str">
        <f aca="false">""</f>
        <v/>
      </c>
      <c r="GM137" s="88" t="b">
        <f aca="false">IF(Tasks[[#This Row],[Task Name]]="",FALSE(),AND(Tasks[[#This Row],[_IsLeaf]]=1,N(Tasks[[#This Row],[_Days]])=0))</f>
        <v>0</v>
      </c>
      <c r="GN137" s="89" t="n">
        <f aca="false">IF(Tasks[[#This Row],[Task Name]]="",0,IF(AND(Tasks[[#This Row],[_IsLeaf]]=1,NOT(Tasks[[#This Row],[_IsMilestone]]),N(Tasks[[#This Row],[Progress]])&gt;0),Tasks[[#This Row],[Start]],0))</f>
        <v>0</v>
      </c>
      <c r="GO137" s="89" t="n">
        <f aca="false">IF(Tasks[[#This Row],[_DoneFrom]]=0,0,IF(Tasks[[#This Row],[Progress]]&gt;=1,Tasks[[#This Row],[Finish]],MAX(Tasks[[#This Row],[_DoneFrom]],Tasks[[#This Row],[Start]]+ROUND((Tasks[[#This Row],[Finish]]-Tasks[[#This Row],[Start]]+1)*Tasks[[#This Row],[Progress]],0)-1)))</f>
        <v>0</v>
      </c>
      <c r="GP137" s="89" t="n">
        <f aca="false">IF(Tasks[[#This Row],[Task Name]]="",0,IF(OR(NOT(Tasks[[#This Row],[_IsLeaf]]=1),Tasks[[#This Row],[_IsMilestone]],N(Tasks[[#This Row],[Progress]])&gt;=1),0,IF(Tasks[[#This Row],[_DoneTo]]&gt;0,Tasks[[#This Row],[_DoneTo]]+1,Tasks[[#This Row],[Start]])))</f>
        <v>0</v>
      </c>
      <c r="GQ137" s="89" t="n">
        <f aca="false">IF(Tasks[[#This Row],[_RemFrom]]=0,0,Tasks[[#This Row],[Finish]])</f>
        <v>0</v>
      </c>
      <c r="GR137" s="88" t="b">
        <f aca="false">IF(Tasks[[#This Row],[Task Name]]="",FALSE(),OR(NOT(BaselineSet),N(Tasks[[#This Row],[Baseline Start]])&gt;0))</f>
        <v>0</v>
      </c>
      <c r="GS13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7" s="90" t="str">
        <f aca="false">IF(Tasks[[#This Row],[_IsLeaf]]=1,Tasks[[#This Row],[_Row]],"")</f>
        <v/>
      </c>
      <c r="GW137" s="90" t="str">
        <f aca="false">IFERROR(INDEX(Tasks[UID],SMALL(Tasks[_PickKey],Tasks[[#This Row],[_Row]]))&amp;" "&amp;INDEX(Tasks[Task Name],SMALL(Tasks[_PickKey],Tasks[[#This Row],[_Row]])),"")</f>
        <v/>
      </c>
      <c r="GX137" s="42" t="str">
        <f aca="false">IF(Tasks[[#This Row],[Task Name]]="","",IF(Tasks[[#This Row],[_IsSummary]],NETWORKDAYS.INTL(Tasks[[#This Row],[Start]],Tasks[[#This Row],[Finish]],WorkWeek,Holidays),N(Tasks[[#This Row],[_Days]])))</f>
        <v/>
      </c>
    </row>
    <row r="138" customFormat="false" ht="15" hidden="false" customHeight="false" outlineLevel="0" collapsed="false">
      <c r="A138" s="21" t="str">
        <f aca="false">IF(Tasks[[#This Row],[Task Name]]="","",COUNTA(Tasks[[#Headers],[Task Name]]:Tasks[[#This Row],[Task Name]])-1)</f>
        <v/>
      </c>
      <c r="B138" s="22" t="n">
        <v>146</v>
      </c>
      <c r="C138" s="22"/>
      <c r="D138" s="23"/>
      <c r="E138" s="22"/>
      <c r="F138" s="23"/>
      <c r="G138" s="22"/>
      <c r="H138" s="22"/>
      <c r="I138" s="23"/>
      <c r="J138" s="22"/>
      <c r="K138" s="22"/>
      <c r="L138" s="23"/>
      <c r="M138" s="22"/>
      <c r="N138" s="22"/>
      <c r="O138" s="23"/>
      <c r="P138" s="22"/>
      <c r="Q138" s="22"/>
      <c r="R138" s="23"/>
      <c r="S138" s="23"/>
      <c r="T138" s="83"/>
      <c r="U138" s="23"/>
      <c r="V138" s="83"/>
      <c r="W138" s="23"/>
      <c r="X138" s="83"/>
      <c r="Y138" s="23"/>
      <c r="Z138" s="83"/>
      <c r="AA138" s="23"/>
      <c r="AB138" s="23"/>
      <c r="AC138" s="7"/>
      <c r="AD138" s="7"/>
      <c r="AE138" s="62" t="str">
        <f aca="false">IF(Tasks[[#This Row],[Task Name]]="","",IF(Tasks[[#This Row],[_IsSummary]],MIN(INDEX(Tasks[_ShownFcstStart],Tasks[[#This Row],[_Row]]+1):INDEX(Tasks[_ShownFcstStart],Tasks[[#This Row],[_Row]]+Tasks[[#This Row],[_Descendants]])),Tasks[[#This Row],[_ShownFcstStart]]))</f>
        <v/>
      </c>
      <c r="AF138" s="62" t="str">
        <f aca="false">IF(Tasks[[#This Row],[Task Name]]="","",IF(Tasks[[#This Row],[_IsSummary]],MAX(INDEX(Tasks[_ShownFcstFinish],Tasks[[#This Row],[_Row]]+1):INDEX(Tasks[_ShownFcstFinish],Tasks[[#This Row],[_Row]]+Tasks[[#This Row],[_Descendants]])),Tasks[[#This Row],[_ShownFcstFinish]]))</f>
        <v/>
      </c>
      <c r="AG138" s="21" t="str">
        <f aca="false">""</f>
        <v/>
      </c>
      <c r="AH138" s="23"/>
      <c r="AI13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8" s="7"/>
      <c r="AK138" s="22"/>
      <c r="AL138" s="23"/>
      <c r="AM138" s="7"/>
      <c r="AN138" s="46" t="str">
        <f aca="false">IF(Tasks[[#This Row],[Task Name]]="","",IF(Tasks[[#This Row],[Finish]]&gt;=Tasks[[#This Row],[Planned Finish]],NETWORKDAYS.INTL(Tasks[[#This Row],[Planned Finish]],Tasks[[#This Row],[Finish]],WorkWeek,Holidays)-1,1-NETWORKDAYS.INTL(Tasks[[#This Row],[Finish]],Tasks[[#This Row],[Planned Finish]],WorkWeek,Holidays)))</f>
        <v/>
      </c>
      <c r="AO138" s="21" t="str">
        <f aca="false">IF(Tasks[[#This Row],[Task Name]]="","",IF(Tasks[[#This Row],[Progress]]&gt;=1,"Complete",IF(OR(N(Tasks[[#This Row],[Actual Start]])&gt;0,Tasks[[#This Row],[Progress]]&gt;0),IF(Tasks[[#This Row],[Finish Var]]&gt;0,"Behind","In Progress"),IF(Tasks[[#This Row],[Planned Start]]&lt;StatusDate,"Late Start","Not Started"))))</f>
        <v/>
      </c>
      <c r="AP138" s="21" t="str">
        <f aca="false">IF(Tasks[[#This Row],[Task Name]]="","",IF(IF(Tasks[[#This Row],[_IsSummary]],COUNTIF(INDEX(Tasks[_LeafCritical],Tasks[[#This Row],[_Row]]+1):INDEX(Tasks[_LeafCritical],Tasks[[#This Row],[_Row]]+Tasks[[#This Row],[_Descendants]]),TRUE())&gt;0,Tasks[[#This Row],[_LeafCritical]]),"Yes",""))</f>
        <v/>
      </c>
      <c r="AQ138" s="62" t="str">
        <f aca="false">IF(Tasks[[#This Row],[Task Name]]="","",IF(N(Tasks[[#This Row],[Baseline Start]])&gt;0,Tasks[[#This Row],[Baseline Start]],Tasks[[#This Row],[_CalcStart]]))</f>
        <v/>
      </c>
      <c r="AR138" s="62" t="str">
        <f aca="false">IF(Tasks[[#This Row],[Task Name]]="","",IF(N(Tasks[[#This Row],[Baseline Finish]])&gt;0,Tasks[[#This Row],[Baseline Finish]],Tasks[[#This Row],[_CalcFinish]]))</f>
        <v/>
      </c>
      <c r="AS138" s="46" t="str">
        <f aca="false">IF(Tasks[[#This Row],[Task Name]]="","",IF(Tasks[[#This Row],[Start]]&gt;=Tasks[[#This Row],[Planned Start]],NETWORKDAYS.INTL(Tasks[[#This Row],[Planned Start]],Tasks[[#This Row],[Start]],WorkWeek,Holidays)-1,1-NETWORKDAYS.INTL(Tasks[[#This Row],[Start]],Tasks[[#This Row],[Planned Start]],WorkWeek,Holidays)))</f>
        <v/>
      </c>
      <c r="AT138" s="62" t="str">
        <f aca="false">IF(Tasks[[#This Row],[Task Name]]="","",IF(Tasks[[#This Row],[_IsSummary]],MIN(INDEX(Tasks[_LeafLateStart],Tasks[[#This Row],[_Row]]+1):INDEX(Tasks[_LeafLateStart],Tasks[[#This Row],[_Row]]+Tasks[[#This Row],[_Descendants]])),Tasks[[#This Row],[_LeafLateStart]]))</f>
        <v/>
      </c>
      <c r="AU138" s="62" t="str">
        <f aca="false">IF(Tasks[[#This Row],[Task Name]]="","",IF(Tasks[[#This Row],[_IsSummary]],MAX(INDEX(Tasks[_LeafLateFinish],Tasks[[#This Row],[_Row]]+1):INDEX(Tasks[_LeafLateFinish],Tasks[[#This Row],[_Row]]+Tasks[[#This Row],[_Descendants]])),Tasks[[#This Row],[_LeafLateFinish]]))</f>
        <v/>
      </c>
      <c r="AV138" s="46" t="str">
        <f aca="false">IF(Tasks[[#This Row],[Task Name]]="","",IF(Tasks[[#This Row],[_IsSummary]],MIN(INDEX(Tasks[_LeafTotalSlack],Tasks[[#This Row],[_Row]]+1):INDEX(Tasks[_LeafTotalSlack],Tasks[[#This Row],[_Row]]+Tasks[[#This Row],[_Descendants]])),Tasks[[#This Row],[_LeafTotalSlack]]))</f>
        <v/>
      </c>
      <c r="AW13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4"/>
      <c r="BA13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t="str">
        <f aca="false">IF(Tasks[[#This Row],[Task Name]]="","",IF(Tasks[[#This Row],[_Level]]&lt;=OutlineShowLevel,"Yes","No"))</f>
        <v/>
      </c>
      <c r="BE138" s="85" t="str">
        <f aca="false">IF(Tasks[[#This Row],[Task Name]]="","",IF(Tasks[[#This Row],[_IsSummary]],SUM(INDEX(Tasks[_LeafTotalWork],Tasks[[#This Row],[_Row]]+1):INDEX(Tasks[_LeafTotalWork],Tasks[[#This Row],[_Row]]+Tasks[[#This Row],[_Descendants]])),Tasks[[#This Row],[_LeafTotalWork]]))</f>
        <v/>
      </c>
      <c r="BF138" s="23"/>
      <c r="BG13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t="str">
        <f aca="false">""</f>
        <v/>
      </c>
      <c r="BI138" s="86"/>
      <c r="BJ138" s="22"/>
      <c r="BK138" s="46" t="str">
        <f aca="false">IF(OR(Tasks[[#This Row],[Task Name]]="",Tasks[[#This Row],[Baseline Duration]]=""),"",Tasks[[#This Row],[_SpanDays]]-N(Tasks[[#This Row],[Baseline Duration]]))</f>
        <v/>
      </c>
      <c r="BL138" s="85" t="str">
        <f aca="false">IF(OR(Tasks[[#This Row],[Task Name]]="",Tasks[[#This Row],[Baseline Work]]=""),"",Tasks[[#This Row],[Work]]-N(Tasks[[#This Row],[Baseline Work]]))</f>
        <v/>
      </c>
      <c r="BM138" s="62" t="str">
        <f aca="false">IF(Tasks[[#This Row],[Task Name]]="","",IF(OR(TakeBaseline="Yes",N(Tasks[[#This Row],[Baseline Start]])=0),Tasks[[#This Row],[Start]],Tasks[[#This Row],[Baseline Start]]))</f>
        <v/>
      </c>
      <c r="BN138" s="62" t="str">
        <f aca="false">IF(Tasks[[#This Row],[Task Name]]="","",IF(OR(TakeBaseline="Yes",N(Tasks[[#This Row],[Baseline Finish]])=0),Tasks[[#This Row],[Finish]],Tasks[[#This Row],[Baseline Finish]]))</f>
        <v/>
      </c>
      <c r="BO138" s="21" t="str">
        <f aca="false">IF(Tasks[[#This Row],[Task Name]]="","",IF(OR(TakeBaseline="Yes",N(Tasks[[#This Row],[Baseline Duration]])=0),Tasks[[#This Row],[_SpanDays]],Tasks[[#This Row],[Baseline Duration]]))</f>
        <v/>
      </c>
      <c r="BP138" s="85" t="str">
        <f aca="false">IF(Tasks[[#This Row],[Task Name]]="","",IF(OR(TakeBaseline="Yes",N(Tasks[[#This Row],[Baseline Work]])=0),Tasks[[#This Row],[Work]],Tasks[[#This Row],[Baseline Work]]))</f>
        <v/>
      </c>
      <c r="BQ138" s="7"/>
      <c r="BR138" s="7"/>
      <c r="BS138" s="22"/>
      <c r="BT138" s="87"/>
      <c r="BU138" s="42" t="str">
        <f aca="false">IF(Tasks[[#This Row],[Task Name]]="","",MAX(1,N(Tasks[[#This Row],[Level]])))</f>
        <v/>
      </c>
      <c r="BV138" s="42" t="n">
        <f aca="false">ROW()-ROW(Tasks[[#Headers],[ID]])</f>
        <v>133</v>
      </c>
      <c r="BW138" s="42" t="n">
        <f aca="false">IF(OR(Tasks[[#This Row],[Task Name]]="",Tasks[[#This Row],[_Level]]&lt;=1),0,IFERROR(LOOKUP(2,1/(Tasks[[#Headers],[_Level]]:Tasks[[#This Row],[_Level]]=Tasks[[#This Row],[_Level]]-1),ROW(Tasks[[#Headers],[_Level]]:Tasks[[#This Row],[_Level]])),0))</f>
        <v>0</v>
      </c>
      <c r="BX138" s="42" t="n">
        <f aca="false">IFERROR(N(INDEX(Tasks[_Level],Tasks[[#This Row],[_Row]]+1)),0)</f>
        <v>0</v>
      </c>
      <c r="BY138" s="88" t="b">
        <f aca="false">AND(Tasks[[#This Row],[Task Name]]&lt;&gt;"",Tasks[[#This Row],[_NextLevel]]&gt;Tasks[[#This Row],[_Level]])</f>
        <v>0</v>
      </c>
      <c r="BZ138" s="42" t="n">
        <f aca="false">IF(Tasks[[#This Row],[_IsSummary]],COUNTIF(Tasks[WBS],Tasks[[#This Row],[WBS]]&amp;".*"),0)</f>
        <v>0</v>
      </c>
      <c r="CA138" s="42" t="n">
        <f aca="false">IF(AND(Tasks[[#This Row],[Task Name]]&lt;&gt;"",NOT(Tasks[[#This Row],[_IsSummary]])),1,0)</f>
        <v>0</v>
      </c>
      <c r="CB138" s="42" t="n">
        <f aca="false">IF(N(Tasks[[#This Row],[_Pred1UID]])=0,0,IFERROR(MATCH(Tasks[[#This Row],[_Pred1UID]],Tasks[UID],0),-1))</f>
        <v>0</v>
      </c>
      <c r="CC138" s="42" t="n">
        <f aca="false">IF(N(Tasks[[#This Row],[_Pred2UID]])=0,0,IFERROR(MATCH(Tasks[[#This Row],[_Pred2UID]],Tasks[UID],0),-1))</f>
        <v>0</v>
      </c>
      <c r="CD138" s="42" t="n">
        <f aca="false">IF(N(Tasks[[#This Row],[_Pred3UID]])=0,0,IFERROR(MATCH(Tasks[[#This Row],[_Pred3UID]],Tasks[UID],0),-1))</f>
        <v>0</v>
      </c>
      <c r="CE138" s="42" t="n">
        <f aca="false">IF(N(Tasks[[#This Row],[_Pred4UID]])=0,0,IFERROR(MATCH(Tasks[[#This Row],[_Pred4UID]],Tasks[UID],0),-1))</f>
        <v>0</v>
      </c>
      <c r="CF13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8" s="89" t="n">
        <f aca="false">IF(OR(Tasks[[#This Row],[_ConstraintCode]]=2,Tasks[[#This Row],[_ConstraintCode]]=3,Tasks[[#This Row],[_ConstraintCode]]=4,Tasks[[#This Row],[_ConstraintCode]]=6),Tasks[[#This Row],[_ConstraintStart]],0)</f>
        <v>0</v>
      </c>
      <c r="CI138" s="89" t="n">
        <f aca="false">IF(OR(Tasks[[#This Row],[_ConstraintCode]]=2,Tasks[[#This Row],[_ConstraintCode]]=3,Tasks[[#This Row],[_ConstraintCode]]=5,Tasks[[#This Row],[_ConstraintCode]]=7),Tasks[[#This Row],[_ConstraintStart]],2958465)</f>
        <v>2958465</v>
      </c>
      <c r="CJ13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8" s="89" t="str">
        <f aca="false">IF(NOT(Tasks[[#This Row],[_IsLeaf]]=1),"",IF(N(Tasks[[#This Row],[_Days]])&lt;=0,Tasks[[#This Row],[_LeafCalcStart]],WORKDAY.INTL(Tasks[[#This Row],[_LeafCalcStart]],Tasks[[#This Row],[_Days]]-1,WorkWeek,Holidays)))</f>
        <v/>
      </c>
      <c r="CL13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8" s="42" t="str">
        <f aca="false">IF(Tasks[[#This Row],[_Predecessors]]="","",TRIM(MID(SUBSTITUTE(SUBSTITUTE(SUBSTITUTE(UPPER(Tasks[[#This Row],[_Predecessors]]),";",",")," ",""),",",REPT(" ",99)),1,99)))</f>
        <v/>
      </c>
      <c r="CO138" s="42" t="str">
        <f aca="false">IF(Tasks[[#This Row],[_Pred1Text]]="","",IFERROR(VALUE(LEFT(Tasks[[#This Row],[_Pred1Text]],MIN(FIND("F",Tasks[[#This Row],[_Pred1Text]]&amp;"F"),FIND("S",Tasks[[#This Row],[_Pred1Text]]&amp;"S"),FIND("+",Tasks[[#This Row],[_Pred1Text]]&amp;"+"),FIND("-",Tasks[[#This Row],[_Pred1Text]]&amp;"-"))-1)),""))</f>
        <v/>
      </c>
      <c r="CP13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8" s="42" t="str">
        <f aca="false">IF(Tasks[[#This Row],[_Pred1Text]]="","",TRIM(MID(SUBSTITUTE(SUBSTITUTE(SUBSTITUTE(UPPER(Tasks[[#This Row],[_Predecessors]]),";",",")," ",""),",",REPT(" ",99)),100,99)))</f>
        <v/>
      </c>
      <c r="CS138" s="42" t="str">
        <f aca="false">IF(Tasks[[#This Row],[_Pred2Text]]="","",IFERROR(VALUE(LEFT(Tasks[[#This Row],[_Pred2Text]],MIN(FIND("F",Tasks[[#This Row],[_Pred2Text]]&amp;"F"),FIND("S",Tasks[[#This Row],[_Pred2Text]]&amp;"S"),FIND("+",Tasks[[#This Row],[_Pred2Text]]&amp;"+"),FIND("-",Tasks[[#This Row],[_Pred2Text]]&amp;"-"))-1)),""))</f>
        <v/>
      </c>
      <c r="CT13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8" s="42" t="str">
        <f aca="false">IF(Tasks[[#This Row],[_Pred2Text]]="","",TRIM(MID(SUBSTITUTE(SUBSTITUTE(SUBSTITUTE(UPPER(Tasks[[#This Row],[_Predecessors]]),";",",")," ",""),",",REPT(" ",99)),199,99)))</f>
        <v/>
      </c>
      <c r="CW138" s="42" t="str">
        <f aca="false">IF(Tasks[[#This Row],[_Pred3Text]]="","",IFERROR(VALUE(LEFT(Tasks[[#This Row],[_Pred3Text]],MIN(FIND("F",Tasks[[#This Row],[_Pred3Text]]&amp;"F"),FIND("S",Tasks[[#This Row],[_Pred3Text]]&amp;"S"),FIND("+",Tasks[[#This Row],[_Pred3Text]]&amp;"+"),FIND("-",Tasks[[#This Row],[_Pred3Text]]&amp;"-"))-1)),""))</f>
        <v/>
      </c>
      <c r="CX13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8" s="42" t="str">
        <f aca="false">IF(Tasks[[#This Row],[_Pred3Text]]="","",TRIM(MID(SUBSTITUTE(SUBSTITUTE(SUBSTITUTE(UPPER(Tasks[[#This Row],[_Predecessors]]),";",",")," ",""),",",REPT(" ",99)),298,99)))</f>
        <v/>
      </c>
      <c r="DA138" s="42" t="str">
        <f aca="false">IF(Tasks[[#This Row],[_Pred4Text]]="","",IFERROR(VALUE(LEFT(Tasks[[#This Row],[_Pred4Text]],MIN(FIND("F",Tasks[[#This Row],[_Pred4Text]]&amp;"F"),FIND("S",Tasks[[#This Row],[_Pred4Text]]&amp;"S"),FIND("+",Tasks[[#This Row],[_Pred4Text]]&amp;"+"),FIND("-",Tasks[[#This Row],[_Pred4Text]]&amp;"-"))-1)),""))</f>
        <v/>
      </c>
      <c r="DB13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8" s="42" t="str">
        <f aca="false">IF(OR(Tasks[[#This Row],[Task Name]]="",Tasks[[#This Row],[_Resources]]=""),"",TRIM(MID(SUBSTITUTE(Tasks[[#This Row],[_Resources]],",",REPT(" ",99)),1,99)))</f>
        <v/>
      </c>
      <c r="DE138" s="42" t="str">
        <f aca="false">IF(Tasks[[#This Row],[_Res1Text]]="","",TRIM(MID(SUBSTITUTE(Tasks[[#This Row],[_Resources]],",",REPT(" ",99)),100,99)))</f>
        <v/>
      </c>
      <c r="DF138" s="42" t="str">
        <f aca="false">IF(Tasks[[#This Row],[_Res2Text]]="","",TRIM(MID(SUBSTITUTE(Tasks[[#This Row],[_Resources]],",",REPT(" ",99)),199,99)))</f>
        <v/>
      </c>
      <c r="DG138" s="42" t="str">
        <f aca="false">IF(Tasks[[#This Row],[_Res3Text]]="","",TRIM(MID(SUBSTITUTE(Tasks[[#This Row],[_Resources]],",",REPT(" ",99)),298,99)))</f>
        <v/>
      </c>
      <c r="DH138" s="42" t="n">
        <f aca="false">IF(Tasks[[#This Row],[_Res1Text]]="",0,IFERROR(MATCH(TRIM(LEFT(Tasks[[#This Row],[_Res1Text]],FIND("[",Tasks[[#This Row],[_Res1Text]]&amp;"[")-1)),res_Name,0),IFERROR(MATCH(TRIM(LEFT(Tasks[[#This Row],[_Res1Text]],FIND("[",Tasks[[#This Row],[_Res1Text]]&amp;"[")-1)),res_Initials,0),0)))</f>
        <v>0</v>
      </c>
      <c r="DI138" s="42" t="n">
        <f aca="false">IF(Tasks[[#This Row],[_Res2Text]]="",0,IFERROR(MATCH(TRIM(LEFT(Tasks[[#This Row],[_Res2Text]],FIND("[",Tasks[[#This Row],[_Res2Text]]&amp;"[")-1)),res_Name,0),IFERROR(MATCH(TRIM(LEFT(Tasks[[#This Row],[_Res2Text]],FIND("[",Tasks[[#This Row],[_Res2Text]]&amp;"[")-1)),res_Initials,0),0)))</f>
        <v>0</v>
      </c>
      <c r="DJ138" s="42" t="n">
        <f aca="false">IF(Tasks[[#This Row],[_Res3Text]]="",0,IFERROR(MATCH(TRIM(LEFT(Tasks[[#This Row],[_Res3Text]],FIND("[",Tasks[[#This Row],[_Res3Text]]&amp;"[")-1)),res_Name,0),IFERROR(MATCH(TRIM(LEFT(Tasks[[#This Row],[_Res3Text]],FIND("[",Tasks[[#This Row],[_Res3Text]]&amp;"[")-1)),res_Initials,0),0)))</f>
        <v>0</v>
      </c>
      <c r="DK138" s="42" t="n">
        <f aca="false">IF(Tasks[[#This Row],[_Res4Text]]="",0,IFERROR(MATCH(TRIM(LEFT(Tasks[[#This Row],[_Res4Text]],FIND("[",Tasks[[#This Row],[_Res4Text]]&amp;"[")-1)),res_Name,0),IFERROR(MATCH(TRIM(LEFT(Tasks[[#This Row],[_Res4Text]],FIND("[",Tasks[[#This Row],[_Res4Text]]&amp;"[")-1)),res_Initials,0),0)))</f>
        <v>0</v>
      </c>
      <c r="DL138" s="42" t="str">
        <f aca="false">IF(Tasks[[#This Row],[_Res1Text]]="","",IF(Tasks[[#This Row],[_Res1Row]]&gt;0,INDEX(res_Name,Tasks[[#This Row],[_Res1Row]]),TRIM(LEFT(Tasks[[#This Row],[_Res1Text]],FIND("[",Tasks[[#This Row],[_Res1Text]]&amp;"[")-1))))</f>
        <v/>
      </c>
      <c r="DM13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8" s="42" t="n">
        <f aca="false">IF(NOT(Tasks[[#This Row],[_IsLeaf]]=1),0,(Tasks[[#This Row],[_Resource1]]&lt;&gt;"")+(Tasks[[#This Row],[_Res2]]&lt;&gt;"")+(Tasks[[#This Row],[_Res3]]&lt;&gt;"")+(Tasks[[#This Row],[_Res4]]&lt;&gt;""))</f>
        <v>0</v>
      </c>
      <c r="DO138" s="42" t="str">
        <f aca="false">IF(Tasks[[#This Row],[_Res2Text]]="","",IF(Tasks[[#This Row],[_Res2Row]]&gt;0,INDEX(res_Name,Tasks[[#This Row],[_Res2Row]]),TRIM(LEFT(Tasks[[#This Row],[_Res2Text]],FIND("[",Tasks[[#This Row],[_Res2Text]]&amp;"[")-1))))</f>
        <v/>
      </c>
      <c r="DP13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8" s="42" t="n">
        <f aca="false">IF(OR(NOT(Tasks[[#This Row],[_IsLeaf]]=1),Tasks[[#This Row],[_Res2Row]]=0),0,N(Tasks[[#This Row],[_Days]])*HoursPerDay*IF(Tasks[[#This Row],[_Res2Units]]="",DefaultUnits,Tasks[[#This Row],[_Res2Units]]))</f>
        <v>0</v>
      </c>
      <c r="DR138" s="42" t="n">
        <f aca="false">IF(AND(AND(Tasks[[#This Row],[_IsLeaf]]=1,Tasks[[#This Row],[_LeafTotalWork]]&gt;0),Tasks[[#This Row],[_Res2Work]]&gt;0),Tasks[[#This Row],[_Res2Work]]/(Tasks[[#This Row],[_FinishWorkday]]-Tasks[[#This Row],[_StartWorkday]]+1),0)</f>
        <v>0</v>
      </c>
      <c r="DS138" s="42" t="n">
        <f aca="false">Tasks[[#This Row],[_Res2WorkPerWD]]*MAX(0,Tasks[[#This Row],[_StartWorkday]]-1)</f>
        <v>0</v>
      </c>
      <c r="DT138" s="42" t="n">
        <f aca="false">Tasks[[#This Row],[_Res2Work]]*Tasks[[#This Row],[_LeafProgress]]</f>
        <v>0</v>
      </c>
      <c r="DU138" s="42" t="str">
        <f aca="false">IF(Tasks[[#This Row],[_Res3Text]]="","",IF(Tasks[[#This Row],[_Res3Row]]&gt;0,INDEX(res_Name,Tasks[[#This Row],[_Res3Row]]),TRIM(LEFT(Tasks[[#This Row],[_Res3Text]],FIND("[",Tasks[[#This Row],[_Res3Text]]&amp;"[")-1))))</f>
        <v/>
      </c>
      <c r="DV13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8" s="42" t="n">
        <f aca="false">IF(OR(NOT(Tasks[[#This Row],[_IsLeaf]]=1),Tasks[[#This Row],[_Res3Row]]=0),0,N(Tasks[[#This Row],[_Days]])*HoursPerDay*IF(Tasks[[#This Row],[_Res3Units]]="",DefaultUnits,Tasks[[#This Row],[_Res3Units]]))</f>
        <v>0</v>
      </c>
      <c r="DX138" s="42" t="n">
        <f aca="false">IF(AND(AND(Tasks[[#This Row],[_IsLeaf]]=1,Tasks[[#This Row],[_LeafTotalWork]]&gt;0),Tasks[[#This Row],[_Res3Work]]&gt;0),Tasks[[#This Row],[_Res3Work]]/(Tasks[[#This Row],[_FinishWorkday]]-Tasks[[#This Row],[_StartWorkday]]+1),0)</f>
        <v>0</v>
      </c>
      <c r="DY138" s="42" t="n">
        <f aca="false">Tasks[[#This Row],[_Res3WorkPerWD]]*MAX(0,Tasks[[#This Row],[_StartWorkday]]-1)</f>
        <v>0</v>
      </c>
      <c r="DZ138" s="42" t="n">
        <f aca="false">Tasks[[#This Row],[_Res3Work]]*Tasks[[#This Row],[_LeafProgress]]</f>
        <v>0</v>
      </c>
      <c r="EA138" s="42" t="str">
        <f aca="false">IF(Tasks[[#This Row],[_Res4Text]]="","",IF(Tasks[[#This Row],[_Res4Row]]&gt;0,INDEX(res_Name,Tasks[[#This Row],[_Res4Row]]),TRIM(LEFT(Tasks[[#This Row],[_Res4Text]],FIND("[",Tasks[[#This Row],[_Res4Text]]&amp;"[")-1))))</f>
        <v/>
      </c>
      <c r="EB13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8" s="42" t="n">
        <f aca="false">IF(OR(NOT(Tasks[[#This Row],[_IsLeaf]]=1),Tasks[[#This Row],[_Res4Row]]=0),0,N(Tasks[[#This Row],[_Days]])*HoursPerDay*IF(Tasks[[#This Row],[_Res4Units]]="",DefaultUnits,Tasks[[#This Row],[_Res4Units]]))</f>
        <v>0</v>
      </c>
      <c r="ED138" s="42" t="n">
        <f aca="false">IF(AND(AND(Tasks[[#This Row],[_IsLeaf]]=1,Tasks[[#This Row],[_LeafTotalWork]]&gt;0),Tasks[[#This Row],[_Res4Work]]&gt;0),Tasks[[#This Row],[_Res4Work]]/(Tasks[[#This Row],[_FinishWorkday]]-Tasks[[#This Row],[_StartWorkday]]+1),0)</f>
        <v>0</v>
      </c>
      <c r="EE138" s="42" t="n">
        <f aca="false">Tasks[[#This Row],[_Res4WorkPerWD]]*MAX(0,Tasks[[#This Row],[_StartWorkday]]-1)</f>
        <v>0</v>
      </c>
      <c r="EF138" s="42" t="n">
        <f aca="false">Tasks[[#This Row],[_Res4Work]]*Tasks[[#This Row],[_LeafProgress]]</f>
        <v>0</v>
      </c>
      <c r="EG138" s="42" t="n">
        <f aca="false">IF(ISNUMBER(Tasks[[#This Row],[% Complete]]),Tasks[[#This Row],[% Complete]],IF(Tasks[[#This Row],[Stage]]="",0,IFERROR(INDEX(stg_Pct,MATCH(Tasks[[#This Row],[Stage]],stg_Name,0)),0)))</f>
        <v>0</v>
      </c>
      <c r="EH138" s="42" t="n">
        <f aca="false">IF(NOT(Tasks[[#This Row],[_IsLeaf]]=1),0,IF(N(Tasks[[#This Row],[Actual Finish]])&gt;0,1,MIN(1,Tasks[[#This Row],[_Pct]])))</f>
        <v>0</v>
      </c>
      <c r="EI138" s="42" t="n">
        <f aca="false">IF(OR(NOT(Tasks[[#This Row],[_IsLeaf]]=1),Tasks[[#This Row],[_Res1Row]]=0),0,N(Tasks[[#This Row],[_Days]])*HoursPerDay*IF(Tasks[[#This Row],[_Units1]]="",DefaultUnits,Tasks[[#This Row],[_Units1]]))</f>
        <v>0</v>
      </c>
      <c r="EJ138" s="42" t="n">
        <f aca="false">Tasks[[#This Row],[_LeafWork]]+Tasks[[#This Row],[_Res2Work]]+Tasks[[#This Row],[_Res3Work]]+Tasks[[#This Row],[_Res4Work]]</f>
        <v>0</v>
      </c>
      <c r="EK13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8" s="42" t="n">
        <f aca="false">IF(NOT(Tasks[[#This Row],[_IsLeaf]]=1),0,MAX(_xlfn.MAXIFS(Tasks[_Row],Tasks[_Pred1UID],Tasks[[#This Row],[UID]]),_xlfn.MAXIFS(Tasks[_Row],Tasks[_Pred2UID],Tasks[[#This Row],[UID]]),_xlfn.MAXIFS(Tasks[_Row],Tasks[_Pred3UID],Tasks[[#This Row],[UID]]),_xlfn.MAXIFS(Tasks[_Row],Tasks[_Pred4UID],Tasks[[#This Row],[UID]])))</f>
        <v>0</v>
      </c>
      <c r="ET13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8" s="89" t="str">
        <f aca="false">IF(NOT(Tasks[[#This Row],[_IsLeaf]]=1),"",IF(N(Tasks[[#This Row],[_Days]])&lt;=0,Tasks[[#This Row],[_LeafLateFinish]],WORKDAY.INTL(Tasks[[#This Row],[_LeafLateFinish]],-(Tasks[[#This Row],[_Days]]-1),WorkWeek,Holidays)))</f>
        <v/>
      </c>
      <c r="EW13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8" s="88" t="b">
        <f aca="false">AND(Tasks[[#This Row],[_IsLeaf]]=1,Tasks[[#This Row],[_LeafProgress]]&lt;1,N(Tasks[[#This Row],[_LeafTotalSlack]])&lt;=CriticalSlackDays)</f>
        <v>0</v>
      </c>
      <c r="EY138" s="42" t="n">
        <f aca="false">IF(AND(Tasks[[#This Row],[_IsLeaf]]=1,Tasks[[#This Row],[_ConstraintCode]]=1,Tasks[[#This Row],[Mode]]&lt;&gt;"Manual",N(Tasks[[#This Row],[Actual Start]])=0),MAX(0,N(Tasks[[#This Row],[Free Slack]])),0)</f>
        <v>0</v>
      </c>
      <c r="EZ138" s="89" t="str">
        <f aca="false">IF(NOT(Tasks[[#This Row],[_IsLeaf]]=1),"",IF(Tasks[[#This Row],[_AlapShift]]=0,Tasks[[#This Row],[_LeafCalcStart]],WORKDAY.INTL(Tasks[[#This Row],[_LeafCalcStart]],Tasks[[#This Row],[_AlapShift]],WorkWeek,Holidays)))</f>
        <v/>
      </c>
      <c r="FA138" s="89" t="str">
        <f aca="false">IF(NOT(Tasks[[#This Row],[_IsLeaf]]=1),"",IF(Tasks[[#This Row],[_AlapShift]]=0,Tasks[[#This Row],[_LeafCalcFinish]],WORKDAY.INTL(Tasks[[#This Row],[_LeafCalcFinish]],Tasks[[#This Row],[_AlapShift]],WorkWeek,Holidays)))</f>
        <v/>
      </c>
      <c r="FB138" s="89" t="str">
        <f aca="false">IF(NOT(Tasks[[#This Row],[_IsLeaf]]=1),"",IF(Tasks[[#This Row],[_AlapShift]]=0,Tasks[[#This Row],[_LeafFcstStart]],WORKDAY.INTL(Tasks[[#This Row],[_LeafFcstStart]],Tasks[[#This Row],[_AlapShift]],WorkWeek,Holidays)))</f>
        <v/>
      </c>
      <c r="FC138" s="89" t="str">
        <f aca="false">IF(NOT(Tasks[[#This Row],[_IsLeaf]]=1),"",IF(Tasks[[#This Row],[_AlapShift]]=0,Tasks[[#This Row],[_LeafFcstFinish]],WORKDAY.INTL(Tasks[[#This Row],[_LeafFcstFinish]],Tasks[[#This Row],[_AlapShift]],WorkWeek,Holidays)))</f>
        <v/>
      </c>
      <c r="FD138" s="89" t="str">
        <f aca="false">IF(Tasks[[#This Row],[Task Name]]="","",IF(Tasks[[#This Row],[_IsSummary]],MIN(INDEX(Tasks[_ShownCalcStart],Tasks[[#This Row],[_Row]]+1):INDEX(Tasks[_ShownCalcStart],Tasks[[#This Row],[_Row]]+Tasks[[#This Row],[_Descendants]])),Tasks[[#This Row],[_ShownCalcStart]]))</f>
        <v/>
      </c>
      <c r="FE138" s="89" t="str">
        <f aca="false">IF(Tasks[[#This Row],[Task Name]]="","",IF(Tasks[[#This Row],[_IsSummary]],MAX(INDEX(Tasks[_ShownCalcFinish],Tasks[[#This Row],[_Row]]+1):INDEX(Tasks[_ShownCalcFinish],Tasks[[#This Row],[_Row]]+Tasks[[#This Row],[_Descendants]])),Tasks[[#This Row],[_ShownCalcFinish]]))</f>
        <v/>
      </c>
      <c r="FF13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8" s="42" t="n">
        <f aca="false">IF(AND(Tasks[[#This Row],[_IsLeaf]]=1,Tasks[[#This Row],[_LeafTotalWork]]&gt;0),NETWORKDAYS.INTL(ProjectStart,Tasks[[#This Row],[_ShownFcstStart]],WorkWeek,Holidays),0)</f>
        <v>0</v>
      </c>
      <c r="FS138" s="42" t="n">
        <f aca="false">IF(AND(Tasks[[#This Row],[_IsLeaf]]=1,Tasks[[#This Row],[_LeafTotalWork]]&gt;0),MAX(Tasks[[#This Row],[_StartWorkday]],NETWORKDAYS.INTL(ProjectStart,Tasks[[#This Row],[_ShownFcstFinish]],WorkWeek,Holidays)),0)</f>
        <v>0</v>
      </c>
      <c r="FT138" s="42" t="n">
        <f aca="false">IF(AND(Tasks[[#This Row],[_IsLeaf]]=1,Tasks[[#This Row],[_LeafTotalWork]]&gt;0),Tasks[[#This Row],[_LeafWork]]/(Tasks[[#This Row],[_FinishWorkday]]-Tasks[[#This Row],[_StartWorkday]]+1),0)</f>
        <v>0</v>
      </c>
      <c r="FU138" s="42" t="n">
        <f aca="false">Tasks[[#This Row],[_WorkPerWorkday]]*(Tasks[[#This Row],[_StartWorkday]]-1)</f>
        <v>-0</v>
      </c>
      <c r="FV138" s="42" t="n">
        <f aca="false">IF(Tasks[[#This Row],[_IsLeaf]]=1,MAX(N(Tasks[[#This Row],[_Days]]),0.1),0)</f>
        <v>0</v>
      </c>
      <c r="FW138" s="42" t="n">
        <f aca="false">Tasks[[#This Row],[_WeightDur]]*Tasks[[#This Row],[_LeafProgress]]</f>
        <v>0</v>
      </c>
      <c r="FX138" s="42" t="n">
        <f aca="false">Tasks[[#This Row],[_WeightDur]]*Tasks[[#This Row],[_PlannedPct]]</f>
        <v>0</v>
      </c>
      <c r="FY13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8" s="42" t="str">
        <f aca="false">IF(AND(Tasks[[#This Row],[_IsLeaf]]=1,N(Tasks[[#This Row],[_Days]])=0,Tasks[[#This Row],[_LeafProgress]]&lt;1),Tasks[[#This Row],[_ShownFcstFinish]]+Tasks[[#This Row],[_Row]]/100000,"")</f>
        <v/>
      </c>
      <c r="GA13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8" s="42" t="str">
        <f aca="false">IF(Tasks[[#This Row],[Task Name]]="","",LEFT(Tasks[[#This Row],[WBS]],FIND(".",Tasks[[#This Row],[WBS]]&amp;".")-1))</f>
        <v/>
      </c>
      <c r="GC138" s="42" t="str">
        <f aca="false">IF(AND(Tasks[[#This Row],[Task Name]]&lt;&gt;"",Tasks[[#This Row],[_Level]]=1),Tasks[[#This Row],[_Row]],"")</f>
        <v/>
      </c>
      <c r="GD138" s="42" t="str">
        <f aca="false">IF(AND(Tasks[[#This Row],[_IsLeaf]]=1,N(Tasks[[#This Row],[_Days]])=0),Tasks[[#This Row],[Planned Finish]]+Tasks[[#This Row],[_Row]]/100000,"")</f>
        <v/>
      </c>
      <c r="GE138" s="42" t="str">
        <f aca="false">IF(AND(Tasks[[#This Row],[_IsLeaf]]=1,Tasks[[#This Row],[_LeafProgress]]&lt;1,OR(N(Tasks[[#This Row],[Finish Var]])&gt;0,Tasks[[#This Row],[Status]]="Late Start")),MAX(0,Tasks[[#This Row],[Finish Var]])+1-Tasks[[#This Row],[_Row]]/1000000,"")</f>
        <v/>
      </c>
      <c r="GF138" s="42" t="str">
        <f aca="false">IF(AND(Tasks[[#This Row],[_IsLeaf]]=1,N(Tasks[[#This Row],[Actual Start]])=0,Tasks[[#This Row],[_ShownFcstStart]]&gt;=StatusDate,Tasks[[#This Row],[_ShownFcstStart]]&lt;=LookaheadEnd),Tasks[[#This Row],[_ShownFcstStart]]+Tasks[[#This Row],[_Row]]/100000,"")</f>
        <v/>
      </c>
      <c r="GG138" s="42" t="str">
        <f aca="false">IF(AND(Tasks[[#This Row],[_IsLeaf]]=1,Tasks[[#This Row],[_LeafProgress]]&lt;1,Tasks[[#This Row],[_ShownFcstFinish]]&gt;=StatusDate,Tasks[[#This Row],[_ShownFcstFinish]]&lt;=LookaheadEnd),Tasks[[#This Row],[_ShownFcstFinish]]+Tasks[[#This Row],[_Row]]/100000,"")</f>
        <v/>
      </c>
      <c r="GH138" s="42" t="str">
        <f aca="false">IF(Tasks[[#This Row],[_LeafCritical]],Tasks[[#This Row],[_ShownFcstStart]]+Tasks[[#This Row],[_Row]]/100000,"")</f>
        <v/>
      </c>
      <c r="GI138" s="42" t="n">
        <f aca="false">Tasks[[#This Row],[_LeafWork]]*Tasks[[#This Row],[_LeafProgress]]</f>
        <v>0</v>
      </c>
      <c r="GJ138" s="89" t="str">
        <f aca="false">IF(AND(Tasks[[#This Row],[_IsLeaf]]=1,Tasks[[#This Row],[_LeafProgress]]&gt;=1),IF(N(Tasks[[#This Row],[Actual Finish]])&gt;0,Tasks[[#This Row],[Actual Finish]],Tasks[[#This Row],[_ShownFcstFinish]]),"")</f>
        <v/>
      </c>
      <c r="GK138" s="42" t="n">
        <f aca="false">IF(Tasks[[#This Row],[_IsLeaf]]=1,N(Tasks[[#This Row],[Story Points]]),0)</f>
        <v>0</v>
      </c>
      <c r="GL138" s="42" t="str">
        <f aca="false">""</f>
        <v/>
      </c>
      <c r="GM138" s="88" t="b">
        <f aca="false">IF(Tasks[[#This Row],[Task Name]]="",FALSE(),AND(Tasks[[#This Row],[_IsLeaf]]=1,N(Tasks[[#This Row],[_Days]])=0))</f>
        <v>0</v>
      </c>
      <c r="GN138" s="89" t="n">
        <f aca="false">IF(Tasks[[#This Row],[Task Name]]="",0,IF(AND(Tasks[[#This Row],[_IsLeaf]]=1,NOT(Tasks[[#This Row],[_IsMilestone]]),N(Tasks[[#This Row],[Progress]])&gt;0),Tasks[[#This Row],[Start]],0))</f>
        <v>0</v>
      </c>
      <c r="GO138" s="89" t="n">
        <f aca="false">IF(Tasks[[#This Row],[_DoneFrom]]=0,0,IF(Tasks[[#This Row],[Progress]]&gt;=1,Tasks[[#This Row],[Finish]],MAX(Tasks[[#This Row],[_DoneFrom]],Tasks[[#This Row],[Start]]+ROUND((Tasks[[#This Row],[Finish]]-Tasks[[#This Row],[Start]]+1)*Tasks[[#This Row],[Progress]],0)-1)))</f>
        <v>0</v>
      </c>
      <c r="GP138" s="89" t="n">
        <f aca="false">IF(Tasks[[#This Row],[Task Name]]="",0,IF(OR(NOT(Tasks[[#This Row],[_IsLeaf]]=1),Tasks[[#This Row],[_IsMilestone]],N(Tasks[[#This Row],[Progress]])&gt;=1),0,IF(Tasks[[#This Row],[_DoneTo]]&gt;0,Tasks[[#This Row],[_DoneTo]]+1,Tasks[[#This Row],[Start]])))</f>
        <v>0</v>
      </c>
      <c r="GQ138" s="89" t="n">
        <f aca="false">IF(Tasks[[#This Row],[_RemFrom]]=0,0,Tasks[[#This Row],[Finish]])</f>
        <v>0</v>
      </c>
      <c r="GR138" s="88" t="b">
        <f aca="false">IF(Tasks[[#This Row],[Task Name]]="",FALSE(),OR(NOT(BaselineSet),N(Tasks[[#This Row],[Baseline Start]])&gt;0))</f>
        <v>0</v>
      </c>
      <c r="GS13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8" s="90" t="str">
        <f aca="false">IF(Tasks[[#This Row],[_IsLeaf]]=1,Tasks[[#This Row],[_Row]],"")</f>
        <v/>
      </c>
      <c r="GW138" s="90" t="str">
        <f aca="false">IFERROR(INDEX(Tasks[UID],SMALL(Tasks[_PickKey],Tasks[[#This Row],[_Row]]))&amp;" "&amp;INDEX(Tasks[Task Name],SMALL(Tasks[_PickKey],Tasks[[#This Row],[_Row]])),"")</f>
        <v/>
      </c>
      <c r="GX138" s="42" t="str">
        <f aca="false">IF(Tasks[[#This Row],[Task Name]]="","",IF(Tasks[[#This Row],[_IsSummary]],NETWORKDAYS.INTL(Tasks[[#This Row],[Start]],Tasks[[#This Row],[Finish]],WorkWeek,Holidays),N(Tasks[[#This Row],[_Days]])))</f>
        <v/>
      </c>
    </row>
    <row r="139" customFormat="false" ht="15" hidden="false" customHeight="false" outlineLevel="0" collapsed="false">
      <c r="A139" s="21" t="str">
        <f aca="false">IF(Tasks[[#This Row],[Task Name]]="","",COUNTA(Tasks[[#Headers],[Task Name]]:Tasks[[#This Row],[Task Name]])-1)</f>
        <v/>
      </c>
      <c r="B139" s="22" t="n">
        <v>147</v>
      </c>
      <c r="C139" s="22"/>
      <c r="D139" s="23"/>
      <c r="E139" s="22"/>
      <c r="F139" s="23"/>
      <c r="G139" s="22"/>
      <c r="H139" s="22"/>
      <c r="I139" s="23"/>
      <c r="J139" s="22"/>
      <c r="K139" s="22"/>
      <c r="L139" s="23"/>
      <c r="M139" s="22"/>
      <c r="N139" s="22"/>
      <c r="O139" s="23"/>
      <c r="P139" s="22"/>
      <c r="Q139" s="22"/>
      <c r="R139" s="23"/>
      <c r="S139" s="23"/>
      <c r="T139" s="83"/>
      <c r="U139" s="23"/>
      <c r="V139" s="83"/>
      <c r="W139" s="23"/>
      <c r="X139" s="83"/>
      <c r="Y139" s="23"/>
      <c r="Z139" s="83"/>
      <c r="AA139" s="23"/>
      <c r="AB139" s="23"/>
      <c r="AC139" s="7"/>
      <c r="AD139" s="7"/>
      <c r="AE139" s="62" t="str">
        <f aca="false">IF(Tasks[[#This Row],[Task Name]]="","",IF(Tasks[[#This Row],[_IsSummary]],MIN(INDEX(Tasks[_ShownFcstStart],Tasks[[#This Row],[_Row]]+1):INDEX(Tasks[_ShownFcstStart],Tasks[[#This Row],[_Row]]+Tasks[[#This Row],[_Descendants]])),Tasks[[#This Row],[_ShownFcstStart]]))</f>
        <v/>
      </c>
      <c r="AF139" s="62" t="str">
        <f aca="false">IF(Tasks[[#This Row],[Task Name]]="","",IF(Tasks[[#This Row],[_IsSummary]],MAX(INDEX(Tasks[_ShownFcstFinish],Tasks[[#This Row],[_Row]]+1):INDEX(Tasks[_ShownFcstFinish],Tasks[[#This Row],[_Row]]+Tasks[[#This Row],[_Descendants]])),Tasks[[#This Row],[_ShownFcstFinish]]))</f>
        <v/>
      </c>
      <c r="AG139" s="21" t="str">
        <f aca="false">""</f>
        <v/>
      </c>
      <c r="AH139" s="23"/>
      <c r="AI13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39" s="7"/>
      <c r="AK139" s="22"/>
      <c r="AL139" s="23"/>
      <c r="AM139" s="7"/>
      <c r="AN139" s="46" t="str">
        <f aca="false">IF(Tasks[[#This Row],[Task Name]]="","",IF(Tasks[[#This Row],[Finish]]&gt;=Tasks[[#This Row],[Planned Finish]],NETWORKDAYS.INTL(Tasks[[#This Row],[Planned Finish]],Tasks[[#This Row],[Finish]],WorkWeek,Holidays)-1,1-NETWORKDAYS.INTL(Tasks[[#This Row],[Finish]],Tasks[[#This Row],[Planned Finish]],WorkWeek,Holidays)))</f>
        <v/>
      </c>
      <c r="AO139" s="21" t="str">
        <f aca="false">IF(Tasks[[#This Row],[Task Name]]="","",IF(Tasks[[#This Row],[Progress]]&gt;=1,"Complete",IF(OR(N(Tasks[[#This Row],[Actual Start]])&gt;0,Tasks[[#This Row],[Progress]]&gt;0),IF(Tasks[[#This Row],[Finish Var]]&gt;0,"Behind","In Progress"),IF(Tasks[[#This Row],[Planned Start]]&lt;StatusDate,"Late Start","Not Started"))))</f>
        <v/>
      </c>
      <c r="AP139" s="21" t="str">
        <f aca="false">IF(Tasks[[#This Row],[Task Name]]="","",IF(IF(Tasks[[#This Row],[_IsSummary]],COUNTIF(INDEX(Tasks[_LeafCritical],Tasks[[#This Row],[_Row]]+1):INDEX(Tasks[_LeafCritical],Tasks[[#This Row],[_Row]]+Tasks[[#This Row],[_Descendants]]),TRUE())&gt;0,Tasks[[#This Row],[_LeafCritical]]),"Yes",""))</f>
        <v/>
      </c>
      <c r="AQ139" s="62" t="str">
        <f aca="false">IF(Tasks[[#This Row],[Task Name]]="","",IF(N(Tasks[[#This Row],[Baseline Start]])&gt;0,Tasks[[#This Row],[Baseline Start]],Tasks[[#This Row],[_CalcStart]]))</f>
        <v/>
      </c>
      <c r="AR139" s="62" t="str">
        <f aca="false">IF(Tasks[[#This Row],[Task Name]]="","",IF(N(Tasks[[#This Row],[Baseline Finish]])&gt;0,Tasks[[#This Row],[Baseline Finish]],Tasks[[#This Row],[_CalcFinish]]))</f>
        <v/>
      </c>
      <c r="AS139" s="46" t="str">
        <f aca="false">IF(Tasks[[#This Row],[Task Name]]="","",IF(Tasks[[#This Row],[Start]]&gt;=Tasks[[#This Row],[Planned Start]],NETWORKDAYS.INTL(Tasks[[#This Row],[Planned Start]],Tasks[[#This Row],[Start]],WorkWeek,Holidays)-1,1-NETWORKDAYS.INTL(Tasks[[#This Row],[Start]],Tasks[[#This Row],[Planned Start]],WorkWeek,Holidays)))</f>
        <v/>
      </c>
      <c r="AT139" s="62" t="str">
        <f aca="false">IF(Tasks[[#This Row],[Task Name]]="","",IF(Tasks[[#This Row],[_IsSummary]],MIN(INDEX(Tasks[_LeafLateStart],Tasks[[#This Row],[_Row]]+1):INDEX(Tasks[_LeafLateStart],Tasks[[#This Row],[_Row]]+Tasks[[#This Row],[_Descendants]])),Tasks[[#This Row],[_LeafLateStart]]))</f>
        <v/>
      </c>
      <c r="AU139" s="62" t="str">
        <f aca="false">IF(Tasks[[#This Row],[Task Name]]="","",IF(Tasks[[#This Row],[_IsSummary]],MAX(INDEX(Tasks[_LeafLateFinish],Tasks[[#This Row],[_Row]]+1):INDEX(Tasks[_LeafLateFinish],Tasks[[#This Row],[_Row]]+Tasks[[#This Row],[_Descendants]])),Tasks[[#This Row],[_LeafLateFinish]]))</f>
        <v/>
      </c>
      <c r="AV139" s="46" t="str">
        <f aca="false">IF(Tasks[[#This Row],[Task Name]]="","",IF(Tasks[[#This Row],[_IsSummary]],MIN(INDEX(Tasks[_LeafTotalSlack],Tasks[[#This Row],[_Row]]+1):INDEX(Tasks[_LeafTotalSlack],Tasks[[#This Row],[_Row]]+Tasks[[#This Row],[_Descendants]])),Tasks[[#This Row],[_LeafTotalSlack]]))</f>
        <v/>
      </c>
      <c r="AW13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4"/>
      <c r="BA13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t="str">
        <f aca="false">IF(Tasks[[#This Row],[Task Name]]="","",IF(Tasks[[#This Row],[_Level]]&lt;=OutlineShowLevel,"Yes","No"))</f>
        <v/>
      </c>
      <c r="BE139" s="85" t="str">
        <f aca="false">IF(Tasks[[#This Row],[Task Name]]="","",IF(Tasks[[#This Row],[_IsSummary]],SUM(INDEX(Tasks[_LeafTotalWork],Tasks[[#This Row],[_Row]]+1):INDEX(Tasks[_LeafTotalWork],Tasks[[#This Row],[_Row]]+Tasks[[#This Row],[_Descendants]])),Tasks[[#This Row],[_LeafTotalWork]]))</f>
        <v/>
      </c>
      <c r="BF139" s="23"/>
      <c r="BG13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t="str">
        <f aca="false">""</f>
        <v/>
      </c>
      <c r="BI139" s="86"/>
      <c r="BJ139" s="22"/>
      <c r="BK139" s="46" t="str">
        <f aca="false">IF(OR(Tasks[[#This Row],[Task Name]]="",Tasks[[#This Row],[Baseline Duration]]=""),"",Tasks[[#This Row],[_SpanDays]]-N(Tasks[[#This Row],[Baseline Duration]]))</f>
        <v/>
      </c>
      <c r="BL139" s="85" t="str">
        <f aca="false">IF(OR(Tasks[[#This Row],[Task Name]]="",Tasks[[#This Row],[Baseline Work]]=""),"",Tasks[[#This Row],[Work]]-N(Tasks[[#This Row],[Baseline Work]]))</f>
        <v/>
      </c>
      <c r="BM139" s="62" t="str">
        <f aca="false">IF(Tasks[[#This Row],[Task Name]]="","",IF(OR(TakeBaseline="Yes",N(Tasks[[#This Row],[Baseline Start]])=0),Tasks[[#This Row],[Start]],Tasks[[#This Row],[Baseline Start]]))</f>
        <v/>
      </c>
      <c r="BN139" s="62" t="str">
        <f aca="false">IF(Tasks[[#This Row],[Task Name]]="","",IF(OR(TakeBaseline="Yes",N(Tasks[[#This Row],[Baseline Finish]])=0),Tasks[[#This Row],[Finish]],Tasks[[#This Row],[Baseline Finish]]))</f>
        <v/>
      </c>
      <c r="BO139" s="21" t="str">
        <f aca="false">IF(Tasks[[#This Row],[Task Name]]="","",IF(OR(TakeBaseline="Yes",N(Tasks[[#This Row],[Baseline Duration]])=0),Tasks[[#This Row],[_SpanDays]],Tasks[[#This Row],[Baseline Duration]]))</f>
        <v/>
      </c>
      <c r="BP139" s="85" t="str">
        <f aca="false">IF(Tasks[[#This Row],[Task Name]]="","",IF(OR(TakeBaseline="Yes",N(Tasks[[#This Row],[Baseline Work]])=0),Tasks[[#This Row],[Work]],Tasks[[#This Row],[Baseline Work]]))</f>
        <v/>
      </c>
      <c r="BQ139" s="7"/>
      <c r="BR139" s="7"/>
      <c r="BS139" s="22"/>
      <c r="BT139" s="87"/>
      <c r="BU139" s="42" t="str">
        <f aca="false">IF(Tasks[[#This Row],[Task Name]]="","",MAX(1,N(Tasks[[#This Row],[Level]])))</f>
        <v/>
      </c>
      <c r="BV139" s="42" t="n">
        <f aca="false">ROW()-ROW(Tasks[[#Headers],[ID]])</f>
        <v>134</v>
      </c>
      <c r="BW139" s="42" t="n">
        <f aca="false">IF(OR(Tasks[[#This Row],[Task Name]]="",Tasks[[#This Row],[_Level]]&lt;=1),0,IFERROR(LOOKUP(2,1/(Tasks[[#Headers],[_Level]]:Tasks[[#This Row],[_Level]]=Tasks[[#This Row],[_Level]]-1),ROW(Tasks[[#Headers],[_Level]]:Tasks[[#This Row],[_Level]])),0))</f>
        <v>0</v>
      </c>
      <c r="BX139" s="42" t="n">
        <f aca="false">IFERROR(N(INDEX(Tasks[_Level],Tasks[[#This Row],[_Row]]+1)),0)</f>
        <v>0</v>
      </c>
      <c r="BY139" s="88" t="b">
        <f aca="false">AND(Tasks[[#This Row],[Task Name]]&lt;&gt;"",Tasks[[#This Row],[_NextLevel]]&gt;Tasks[[#This Row],[_Level]])</f>
        <v>0</v>
      </c>
      <c r="BZ139" s="42" t="n">
        <f aca="false">IF(Tasks[[#This Row],[_IsSummary]],COUNTIF(Tasks[WBS],Tasks[[#This Row],[WBS]]&amp;".*"),0)</f>
        <v>0</v>
      </c>
      <c r="CA139" s="42" t="n">
        <f aca="false">IF(AND(Tasks[[#This Row],[Task Name]]&lt;&gt;"",NOT(Tasks[[#This Row],[_IsSummary]])),1,0)</f>
        <v>0</v>
      </c>
      <c r="CB139" s="42" t="n">
        <f aca="false">IF(N(Tasks[[#This Row],[_Pred1UID]])=0,0,IFERROR(MATCH(Tasks[[#This Row],[_Pred1UID]],Tasks[UID],0),-1))</f>
        <v>0</v>
      </c>
      <c r="CC139" s="42" t="n">
        <f aca="false">IF(N(Tasks[[#This Row],[_Pred2UID]])=0,0,IFERROR(MATCH(Tasks[[#This Row],[_Pred2UID]],Tasks[UID],0),-1))</f>
        <v>0</v>
      </c>
      <c r="CD139" s="42" t="n">
        <f aca="false">IF(N(Tasks[[#This Row],[_Pred3UID]])=0,0,IFERROR(MATCH(Tasks[[#This Row],[_Pred3UID]],Tasks[UID],0),-1))</f>
        <v>0</v>
      </c>
      <c r="CE139" s="42" t="n">
        <f aca="false">IF(N(Tasks[[#This Row],[_Pred4UID]])=0,0,IFERROR(MATCH(Tasks[[#This Row],[_Pred4UID]],Tasks[UID],0),-1))</f>
        <v>0</v>
      </c>
      <c r="CF13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3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39" s="89" t="n">
        <f aca="false">IF(OR(Tasks[[#This Row],[_ConstraintCode]]=2,Tasks[[#This Row],[_ConstraintCode]]=3,Tasks[[#This Row],[_ConstraintCode]]=4,Tasks[[#This Row],[_ConstraintCode]]=6),Tasks[[#This Row],[_ConstraintStart]],0)</f>
        <v>0</v>
      </c>
      <c r="CI139" s="89" t="n">
        <f aca="false">IF(OR(Tasks[[#This Row],[_ConstraintCode]]=2,Tasks[[#This Row],[_ConstraintCode]]=3,Tasks[[#This Row],[_ConstraintCode]]=5,Tasks[[#This Row],[_ConstraintCode]]=7),Tasks[[#This Row],[_ConstraintStart]],2958465)</f>
        <v>2958465</v>
      </c>
      <c r="CJ13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39" s="89" t="str">
        <f aca="false">IF(NOT(Tasks[[#This Row],[_IsLeaf]]=1),"",IF(N(Tasks[[#This Row],[_Days]])&lt;=0,Tasks[[#This Row],[_LeafCalcStart]],WORKDAY.INTL(Tasks[[#This Row],[_LeafCalcStart]],Tasks[[#This Row],[_Days]]-1,WorkWeek,Holidays)))</f>
        <v/>
      </c>
      <c r="CL13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3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39" s="42" t="str">
        <f aca="false">IF(Tasks[[#This Row],[_Predecessors]]="","",TRIM(MID(SUBSTITUTE(SUBSTITUTE(SUBSTITUTE(UPPER(Tasks[[#This Row],[_Predecessors]]),";",",")," ",""),",",REPT(" ",99)),1,99)))</f>
        <v/>
      </c>
      <c r="CO139" s="42" t="str">
        <f aca="false">IF(Tasks[[#This Row],[_Pred1Text]]="","",IFERROR(VALUE(LEFT(Tasks[[#This Row],[_Pred1Text]],MIN(FIND("F",Tasks[[#This Row],[_Pred1Text]]&amp;"F"),FIND("S",Tasks[[#This Row],[_Pred1Text]]&amp;"S"),FIND("+",Tasks[[#This Row],[_Pred1Text]]&amp;"+"),FIND("-",Tasks[[#This Row],[_Pred1Text]]&amp;"-"))-1)),""))</f>
        <v/>
      </c>
      <c r="CP13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3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39" s="42" t="str">
        <f aca="false">IF(Tasks[[#This Row],[_Pred1Text]]="","",TRIM(MID(SUBSTITUTE(SUBSTITUTE(SUBSTITUTE(UPPER(Tasks[[#This Row],[_Predecessors]]),";",",")," ",""),",",REPT(" ",99)),100,99)))</f>
        <v/>
      </c>
      <c r="CS139" s="42" t="str">
        <f aca="false">IF(Tasks[[#This Row],[_Pred2Text]]="","",IFERROR(VALUE(LEFT(Tasks[[#This Row],[_Pred2Text]],MIN(FIND("F",Tasks[[#This Row],[_Pred2Text]]&amp;"F"),FIND("S",Tasks[[#This Row],[_Pred2Text]]&amp;"S"),FIND("+",Tasks[[#This Row],[_Pred2Text]]&amp;"+"),FIND("-",Tasks[[#This Row],[_Pred2Text]]&amp;"-"))-1)),""))</f>
        <v/>
      </c>
      <c r="CT13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3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39" s="42" t="str">
        <f aca="false">IF(Tasks[[#This Row],[_Pred2Text]]="","",TRIM(MID(SUBSTITUTE(SUBSTITUTE(SUBSTITUTE(UPPER(Tasks[[#This Row],[_Predecessors]]),";",",")," ",""),",",REPT(" ",99)),199,99)))</f>
        <v/>
      </c>
      <c r="CW139" s="42" t="str">
        <f aca="false">IF(Tasks[[#This Row],[_Pred3Text]]="","",IFERROR(VALUE(LEFT(Tasks[[#This Row],[_Pred3Text]],MIN(FIND("F",Tasks[[#This Row],[_Pred3Text]]&amp;"F"),FIND("S",Tasks[[#This Row],[_Pred3Text]]&amp;"S"),FIND("+",Tasks[[#This Row],[_Pred3Text]]&amp;"+"),FIND("-",Tasks[[#This Row],[_Pred3Text]]&amp;"-"))-1)),""))</f>
        <v/>
      </c>
      <c r="CX13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3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39" s="42" t="str">
        <f aca="false">IF(Tasks[[#This Row],[_Pred3Text]]="","",TRIM(MID(SUBSTITUTE(SUBSTITUTE(SUBSTITUTE(UPPER(Tasks[[#This Row],[_Predecessors]]),";",",")," ",""),",",REPT(" ",99)),298,99)))</f>
        <v/>
      </c>
      <c r="DA139" s="42" t="str">
        <f aca="false">IF(Tasks[[#This Row],[_Pred4Text]]="","",IFERROR(VALUE(LEFT(Tasks[[#This Row],[_Pred4Text]],MIN(FIND("F",Tasks[[#This Row],[_Pred4Text]]&amp;"F"),FIND("S",Tasks[[#This Row],[_Pred4Text]]&amp;"S"),FIND("+",Tasks[[#This Row],[_Pred4Text]]&amp;"+"),FIND("-",Tasks[[#This Row],[_Pred4Text]]&amp;"-"))-1)),""))</f>
        <v/>
      </c>
      <c r="DB13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3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39" s="42" t="str">
        <f aca="false">IF(OR(Tasks[[#This Row],[Task Name]]="",Tasks[[#This Row],[_Resources]]=""),"",TRIM(MID(SUBSTITUTE(Tasks[[#This Row],[_Resources]],",",REPT(" ",99)),1,99)))</f>
        <v/>
      </c>
      <c r="DE139" s="42" t="str">
        <f aca="false">IF(Tasks[[#This Row],[_Res1Text]]="","",TRIM(MID(SUBSTITUTE(Tasks[[#This Row],[_Resources]],",",REPT(" ",99)),100,99)))</f>
        <v/>
      </c>
      <c r="DF139" s="42" t="str">
        <f aca="false">IF(Tasks[[#This Row],[_Res2Text]]="","",TRIM(MID(SUBSTITUTE(Tasks[[#This Row],[_Resources]],",",REPT(" ",99)),199,99)))</f>
        <v/>
      </c>
      <c r="DG139" s="42" t="str">
        <f aca="false">IF(Tasks[[#This Row],[_Res3Text]]="","",TRIM(MID(SUBSTITUTE(Tasks[[#This Row],[_Resources]],",",REPT(" ",99)),298,99)))</f>
        <v/>
      </c>
      <c r="DH139" s="42" t="n">
        <f aca="false">IF(Tasks[[#This Row],[_Res1Text]]="",0,IFERROR(MATCH(TRIM(LEFT(Tasks[[#This Row],[_Res1Text]],FIND("[",Tasks[[#This Row],[_Res1Text]]&amp;"[")-1)),res_Name,0),IFERROR(MATCH(TRIM(LEFT(Tasks[[#This Row],[_Res1Text]],FIND("[",Tasks[[#This Row],[_Res1Text]]&amp;"[")-1)),res_Initials,0),0)))</f>
        <v>0</v>
      </c>
      <c r="DI139" s="42" t="n">
        <f aca="false">IF(Tasks[[#This Row],[_Res2Text]]="",0,IFERROR(MATCH(TRIM(LEFT(Tasks[[#This Row],[_Res2Text]],FIND("[",Tasks[[#This Row],[_Res2Text]]&amp;"[")-1)),res_Name,0),IFERROR(MATCH(TRIM(LEFT(Tasks[[#This Row],[_Res2Text]],FIND("[",Tasks[[#This Row],[_Res2Text]]&amp;"[")-1)),res_Initials,0),0)))</f>
        <v>0</v>
      </c>
      <c r="DJ139" s="42" t="n">
        <f aca="false">IF(Tasks[[#This Row],[_Res3Text]]="",0,IFERROR(MATCH(TRIM(LEFT(Tasks[[#This Row],[_Res3Text]],FIND("[",Tasks[[#This Row],[_Res3Text]]&amp;"[")-1)),res_Name,0),IFERROR(MATCH(TRIM(LEFT(Tasks[[#This Row],[_Res3Text]],FIND("[",Tasks[[#This Row],[_Res3Text]]&amp;"[")-1)),res_Initials,0),0)))</f>
        <v>0</v>
      </c>
      <c r="DK139" s="42" t="n">
        <f aca="false">IF(Tasks[[#This Row],[_Res4Text]]="",0,IFERROR(MATCH(TRIM(LEFT(Tasks[[#This Row],[_Res4Text]],FIND("[",Tasks[[#This Row],[_Res4Text]]&amp;"[")-1)),res_Name,0),IFERROR(MATCH(TRIM(LEFT(Tasks[[#This Row],[_Res4Text]],FIND("[",Tasks[[#This Row],[_Res4Text]]&amp;"[")-1)),res_Initials,0),0)))</f>
        <v>0</v>
      </c>
      <c r="DL139" s="42" t="str">
        <f aca="false">IF(Tasks[[#This Row],[_Res1Text]]="","",IF(Tasks[[#This Row],[_Res1Row]]&gt;0,INDEX(res_Name,Tasks[[#This Row],[_Res1Row]]),TRIM(LEFT(Tasks[[#This Row],[_Res1Text]],FIND("[",Tasks[[#This Row],[_Res1Text]]&amp;"[")-1))))</f>
        <v/>
      </c>
      <c r="DM13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39" s="42" t="n">
        <f aca="false">IF(NOT(Tasks[[#This Row],[_IsLeaf]]=1),0,(Tasks[[#This Row],[_Resource1]]&lt;&gt;"")+(Tasks[[#This Row],[_Res2]]&lt;&gt;"")+(Tasks[[#This Row],[_Res3]]&lt;&gt;"")+(Tasks[[#This Row],[_Res4]]&lt;&gt;""))</f>
        <v>0</v>
      </c>
      <c r="DO139" s="42" t="str">
        <f aca="false">IF(Tasks[[#This Row],[_Res2Text]]="","",IF(Tasks[[#This Row],[_Res2Row]]&gt;0,INDEX(res_Name,Tasks[[#This Row],[_Res2Row]]),TRIM(LEFT(Tasks[[#This Row],[_Res2Text]],FIND("[",Tasks[[#This Row],[_Res2Text]]&amp;"[")-1))))</f>
        <v/>
      </c>
      <c r="DP13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39" s="42" t="n">
        <f aca="false">IF(OR(NOT(Tasks[[#This Row],[_IsLeaf]]=1),Tasks[[#This Row],[_Res2Row]]=0),0,N(Tasks[[#This Row],[_Days]])*HoursPerDay*IF(Tasks[[#This Row],[_Res2Units]]="",DefaultUnits,Tasks[[#This Row],[_Res2Units]]))</f>
        <v>0</v>
      </c>
      <c r="DR139" s="42" t="n">
        <f aca="false">IF(AND(AND(Tasks[[#This Row],[_IsLeaf]]=1,Tasks[[#This Row],[_LeafTotalWork]]&gt;0),Tasks[[#This Row],[_Res2Work]]&gt;0),Tasks[[#This Row],[_Res2Work]]/(Tasks[[#This Row],[_FinishWorkday]]-Tasks[[#This Row],[_StartWorkday]]+1),0)</f>
        <v>0</v>
      </c>
      <c r="DS139" s="42" t="n">
        <f aca="false">Tasks[[#This Row],[_Res2WorkPerWD]]*MAX(0,Tasks[[#This Row],[_StartWorkday]]-1)</f>
        <v>0</v>
      </c>
      <c r="DT139" s="42" t="n">
        <f aca="false">Tasks[[#This Row],[_Res2Work]]*Tasks[[#This Row],[_LeafProgress]]</f>
        <v>0</v>
      </c>
      <c r="DU139" s="42" t="str">
        <f aca="false">IF(Tasks[[#This Row],[_Res3Text]]="","",IF(Tasks[[#This Row],[_Res3Row]]&gt;0,INDEX(res_Name,Tasks[[#This Row],[_Res3Row]]),TRIM(LEFT(Tasks[[#This Row],[_Res3Text]],FIND("[",Tasks[[#This Row],[_Res3Text]]&amp;"[")-1))))</f>
        <v/>
      </c>
      <c r="DV13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39" s="42" t="n">
        <f aca="false">IF(OR(NOT(Tasks[[#This Row],[_IsLeaf]]=1),Tasks[[#This Row],[_Res3Row]]=0),0,N(Tasks[[#This Row],[_Days]])*HoursPerDay*IF(Tasks[[#This Row],[_Res3Units]]="",DefaultUnits,Tasks[[#This Row],[_Res3Units]]))</f>
        <v>0</v>
      </c>
      <c r="DX139" s="42" t="n">
        <f aca="false">IF(AND(AND(Tasks[[#This Row],[_IsLeaf]]=1,Tasks[[#This Row],[_LeafTotalWork]]&gt;0),Tasks[[#This Row],[_Res3Work]]&gt;0),Tasks[[#This Row],[_Res3Work]]/(Tasks[[#This Row],[_FinishWorkday]]-Tasks[[#This Row],[_StartWorkday]]+1),0)</f>
        <v>0</v>
      </c>
      <c r="DY139" s="42" t="n">
        <f aca="false">Tasks[[#This Row],[_Res3WorkPerWD]]*MAX(0,Tasks[[#This Row],[_StartWorkday]]-1)</f>
        <v>0</v>
      </c>
      <c r="DZ139" s="42" t="n">
        <f aca="false">Tasks[[#This Row],[_Res3Work]]*Tasks[[#This Row],[_LeafProgress]]</f>
        <v>0</v>
      </c>
      <c r="EA139" s="42" t="str">
        <f aca="false">IF(Tasks[[#This Row],[_Res4Text]]="","",IF(Tasks[[#This Row],[_Res4Row]]&gt;0,INDEX(res_Name,Tasks[[#This Row],[_Res4Row]]),TRIM(LEFT(Tasks[[#This Row],[_Res4Text]],FIND("[",Tasks[[#This Row],[_Res4Text]]&amp;"[")-1))))</f>
        <v/>
      </c>
      <c r="EB13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39" s="42" t="n">
        <f aca="false">IF(OR(NOT(Tasks[[#This Row],[_IsLeaf]]=1),Tasks[[#This Row],[_Res4Row]]=0),0,N(Tasks[[#This Row],[_Days]])*HoursPerDay*IF(Tasks[[#This Row],[_Res4Units]]="",DefaultUnits,Tasks[[#This Row],[_Res4Units]]))</f>
        <v>0</v>
      </c>
      <c r="ED139" s="42" t="n">
        <f aca="false">IF(AND(AND(Tasks[[#This Row],[_IsLeaf]]=1,Tasks[[#This Row],[_LeafTotalWork]]&gt;0),Tasks[[#This Row],[_Res4Work]]&gt;0),Tasks[[#This Row],[_Res4Work]]/(Tasks[[#This Row],[_FinishWorkday]]-Tasks[[#This Row],[_StartWorkday]]+1),0)</f>
        <v>0</v>
      </c>
      <c r="EE139" s="42" t="n">
        <f aca="false">Tasks[[#This Row],[_Res4WorkPerWD]]*MAX(0,Tasks[[#This Row],[_StartWorkday]]-1)</f>
        <v>0</v>
      </c>
      <c r="EF139" s="42" t="n">
        <f aca="false">Tasks[[#This Row],[_Res4Work]]*Tasks[[#This Row],[_LeafProgress]]</f>
        <v>0</v>
      </c>
      <c r="EG139" s="42" t="n">
        <f aca="false">IF(ISNUMBER(Tasks[[#This Row],[% Complete]]),Tasks[[#This Row],[% Complete]],IF(Tasks[[#This Row],[Stage]]="",0,IFERROR(INDEX(stg_Pct,MATCH(Tasks[[#This Row],[Stage]],stg_Name,0)),0)))</f>
        <v>0</v>
      </c>
      <c r="EH139" s="42" t="n">
        <f aca="false">IF(NOT(Tasks[[#This Row],[_IsLeaf]]=1),0,IF(N(Tasks[[#This Row],[Actual Finish]])&gt;0,1,MIN(1,Tasks[[#This Row],[_Pct]])))</f>
        <v>0</v>
      </c>
      <c r="EI139" s="42" t="n">
        <f aca="false">IF(OR(NOT(Tasks[[#This Row],[_IsLeaf]]=1),Tasks[[#This Row],[_Res1Row]]=0),0,N(Tasks[[#This Row],[_Days]])*HoursPerDay*IF(Tasks[[#This Row],[_Units1]]="",DefaultUnits,Tasks[[#This Row],[_Units1]]))</f>
        <v>0</v>
      </c>
      <c r="EJ139" s="42" t="n">
        <f aca="false">Tasks[[#This Row],[_LeafWork]]+Tasks[[#This Row],[_Res2Work]]+Tasks[[#This Row],[_Res3Work]]+Tasks[[#This Row],[_Res4Work]]</f>
        <v>0</v>
      </c>
      <c r="EK13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3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3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3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3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3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3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3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39" s="42" t="n">
        <f aca="false">IF(NOT(Tasks[[#This Row],[_IsLeaf]]=1),0,MAX(_xlfn.MAXIFS(Tasks[_Row],Tasks[_Pred1UID],Tasks[[#This Row],[UID]]),_xlfn.MAXIFS(Tasks[_Row],Tasks[_Pred2UID],Tasks[[#This Row],[UID]]),_xlfn.MAXIFS(Tasks[_Row],Tasks[_Pred3UID],Tasks[[#This Row],[UID]]),_xlfn.MAXIFS(Tasks[_Row],Tasks[_Pred4UID],Tasks[[#This Row],[UID]])))</f>
        <v>0</v>
      </c>
      <c r="ET13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3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39" s="89" t="str">
        <f aca="false">IF(NOT(Tasks[[#This Row],[_IsLeaf]]=1),"",IF(N(Tasks[[#This Row],[_Days]])&lt;=0,Tasks[[#This Row],[_LeafLateFinish]],WORKDAY.INTL(Tasks[[#This Row],[_LeafLateFinish]],-(Tasks[[#This Row],[_Days]]-1),WorkWeek,Holidays)))</f>
        <v/>
      </c>
      <c r="EW13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39" s="88" t="b">
        <f aca="false">AND(Tasks[[#This Row],[_IsLeaf]]=1,Tasks[[#This Row],[_LeafProgress]]&lt;1,N(Tasks[[#This Row],[_LeafTotalSlack]])&lt;=CriticalSlackDays)</f>
        <v>0</v>
      </c>
      <c r="EY139" s="42" t="n">
        <f aca="false">IF(AND(Tasks[[#This Row],[_IsLeaf]]=1,Tasks[[#This Row],[_ConstraintCode]]=1,Tasks[[#This Row],[Mode]]&lt;&gt;"Manual",N(Tasks[[#This Row],[Actual Start]])=0),MAX(0,N(Tasks[[#This Row],[Free Slack]])),0)</f>
        <v>0</v>
      </c>
      <c r="EZ139" s="89" t="str">
        <f aca="false">IF(NOT(Tasks[[#This Row],[_IsLeaf]]=1),"",IF(Tasks[[#This Row],[_AlapShift]]=0,Tasks[[#This Row],[_LeafCalcStart]],WORKDAY.INTL(Tasks[[#This Row],[_LeafCalcStart]],Tasks[[#This Row],[_AlapShift]],WorkWeek,Holidays)))</f>
        <v/>
      </c>
      <c r="FA139" s="89" t="str">
        <f aca="false">IF(NOT(Tasks[[#This Row],[_IsLeaf]]=1),"",IF(Tasks[[#This Row],[_AlapShift]]=0,Tasks[[#This Row],[_LeafCalcFinish]],WORKDAY.INTL(Tasks[[#This Row],[_LeafCalcFinish]],Tasks[[#This Row],[_AlapShift]],WorkWeek,Holidays)))</f>
        <v/>
      </c>
      <c r="FB139" s="89" t="str">
        <f aca="false">IF(NOT(Tasks[[#This Row],[_IsLeaf]]=1),"",IF(Tasks[[#This Row],[_AlapShift]]=0,Tasks[[#This Row],[_LeafFcstStart]],WORKDAY.INTL(Tasks[[#This Row],[_LeafFcstStart]],Tasks[[#This Row],[_AlapShift]],WorkWeek,Holidays)))</f>
        <v/>
      </c>
      <c r="FC139" s="89" t="str">
        <f aca="false">IF(NOT(Tasks[[#This Row],[_IsLeaf]]=1),"",IF(Tasks[[#This Row],[_AlapShift]]=0,Tasks[[#This Row],[_LeafFcstFinish]],WORKDAY.INTL(Tasks[[#This Row],[_LeafFcstFinish]],Tasks[[#This Row],[_AlapShift]],WorkWeek,Holidays)))</f>
        <v/>
      </c>
      <c r="FD139" s="89" t="str">
        <f aca="false">IF(Tasks[[#This Row],[Task Name]]="","",IF(Tasks[[#This Row],[_IsSummary]],MIN(INDEX(Tasks[_ShownCalcStart],Tasks[[#This Row],[_Row]]+1):INDEX(Tasks[_ShownCalcStart],Tasks[[#This Row],[_Row]]+Tasks[[#This Row],[_Descendants]])),Tasks[[#This Row],[_ShownCalcStart]]))</f>
        <v/>
      </c>
      <c r="FE139" s="89" t="str">
        <f aca="false">IF(Tasks[[#This Row],[Task Name]]="","",IF(Tasks[[#This Row],[_IsSummary]],MAX(INDEX(Tasks[_ShownCalcFinish],Tasks[[#This Row],[_Row]]+1):INDEX(Tasks[_ShownCalcFinish],Tasks[[#This Row],[_Row]]+Tasks[[#This Row],[_Descendants]])),Tasks[[#This Row],[_ShownCalcFinish]]))</f>
        <v/>
      </c>
      <c r="FF13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3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3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3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3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3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3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3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3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3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3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3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39" s="42" t="n">
        <f aca="false">IF(AND(Tasks[[#This Row],[_IsLeaf]]=1,Tasks[[#This Row],[_LeafTotalWork]]&gt;0),NETWORKDAYS.INTL(ProjectStart,Tasks[[#This Row],[_ShownFcstStart]],WorkWeek,Holidays),0)</f>
        <v>0</v>
      </c>
      <c r="FS139" s="42" t="n">
        <f aca="false">IF(AND(Tasks[[#This Row],[_IsLeaf]]=1,Tasks[[#This Row],[_LeafTotalWork]]&gt;0),MAX(Tasks[[#This Row],[_StartWorkday]],NETWORKDAYS.INTL(ProjectStart,Tasks[[#This Row],[_ShownFcstFinish]],WorkWeek,Holidays)),0)</f>
        <v>0</v>
      </c>
      <c r="FT139" s="42" t="n">
        <f aca="false">IF(AND(Tasks[[#This Row],[_IsLeaf]]=1,Tasks[[#This Row],[_LeafTotalWork]]&gt;0),Tasks[[#This Row],[_LeafWork]]/(Tasks[[#This Row],[_FinishWorkday]]-Tasks[[#This Row],[_StartWorkday]]+1),0)</f>
        <v>0</v>
      </c>
      <c r="FU139" s="42" t="n">
        <f aca="false">Tasks[[#This Row],[_WorkPerWorkday]]*(Tasks[[#This Row],[_StartWorkday]]-1)</f>
        <v>-0</v>
      </c>
      <c r="FV139" s="42" t="n">
        <f aca="false">IF(Tasks[[#This Row],[_IsLeaf]]=1,MAX(N(Tasks[[#This Row],[_Days]]),0.1),0)</f>
        <v>0</v>
      </c>
      <c r="FW139" s="42" t="n">
        <f aca="false">Tasks[[#This Row],[_WeightDur]]*Tasks[[#This Row],[_LeafProgress]]</f>
        <v>0</v>
      </c>
      <c r="FX139" s="42" t="n">
        <f aca="false">Tasks[[#This Row],[_WeightDur]]*Tasks[[#This Row],[_PlannedPct]]</f>
        <v>0</v>
      </c>
      <c r="FY13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39" s="42" t="str">
        <f aca="false">IF(AND(Tasks[[#This Row],[_IsLeaf]]=1,N(Tasks[[#This Row],[_Days]])=0,Tasks[[#This Row],[_LeafProgress]]&lt;1),Tasks[[#This Row],[_ShownFcstFinish]]+Tasks[[#This Row],[_Row]]/100000,"")</f>
        <v/>
      </c>
      <c r="GA13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39" s="42" t="str">
        <f aca="false">IF(Tasks[[#This Row],[Task Name]]="","",LEFT(Tasks[[#This Row],[WBS]],FIND(".",Tasks[[#This Row],[WBS]]&amp;".")-1))</f>
        <v/>
      </c>
      <c r="GC139" s="42" t="str">
        <f aca="false">IF(AND(Tasks[[#This Row],[Task Name]]&lt;&gt;"",Tasks[[#This Row],[_Level]]=1),Tasks[[#This Row],[_Row]],"")</f>
        <v/>
      </c>
      <c r="GD139" s="42" t="str">
        <f aca="false">IF(AND(Tasks[[#This Row],[_IsLeaf]]=1,N(Tasks[[#This Row],[_Days]])=0),Tasks[[#This Row],[Planned Finish]]+Tasks[[#This Row],[_Row]]/100000,"")</f>
        <v/>
      </c>
      <c r="GE139" s="42" t="str">
        <f aca="false">IF(AND(Tasks[[#This Row],[_IsLeaf]]=1,Tasks[[#This Row],[_LeafProgress]]&lt;1,OR(N(Tasks[[#This Row],[Finish Var]])&gt;0,Tasks[[#This Row],[Status]]="Late Start")),MAX(0,Tasks[[#This Row],[Finish Var]])+1-Tasks[[#This Row],[_Row]]/1000000,"")</f>
        <v/>
      </c>
      <c r="GF139" s="42" t="str">
        <f aca="false">IF(AND(Tasks[[#This Row],[_IsLeaf]]=1,N(Tasks[[#This Row],[Actual Start]])=0,Tasks[[#This Row],[_ShownFcstStart]]&gt;=StatusDate,Tasks[[#This Row],[_ShownFcstStart]]&lt;=LookaheadEnd),Tasks[[#This Row],[_ShownFcstStart]]+Tasks[[#This Row],[_Row]]/100000,"")</f>
        <v/>
      </c>
      <c r="GG139" s="42" t="str">
        <f aca="false">IF(AND(Tasks[[#This Row],[_IsLeaf]]=1,Tasks[[#This Row],[_LeafProgress]]&lt;1,Tasks[[#This Row],[_ShownFcstFinish]]&gt;=StatusDate,Tasks[[#This Row],[_ShownFcstFinish]]&lt;=LookaheadEnd),Tasks[[#This Row],[_ShownFcstFinish]]+Tasks[[#This Row],[_Row]]/100000,"")</f>
        <v/>
      </c>
      <c r="GH139" s="42" t="str">
        <f aca="false">IF(Tasks[[#This Row],[_LeafCritical]],Tasks[[#This Row],[_ShownFcstStart]]+Tasks[[#This Row],[_Row]]/100000,"")</f>
        <v/>
      </c>
      <c r="GI139" s="42" t="n">
        <f aca="false">Tasks[[#This Row],[_LeafWork]]*Tasks[[#This Row],[_LeafProgress]]</f>
        <v>0</v>
      </c>
      <c r="GJ139" s="89" t="str">
        <f aca="false">IF(AND(Tasks[[#This Row],[_IsLeaf]]=1,Tasks[[#This Row],[_LeafProgress]]&gt;=1),IF(N(Tasks[[#This Row],[Actual Finish]])&gt;0,Tasks[[#This Row],[Actual Finish]],Tasks[[#This Row],[_ShownFcstFinish]]),"")</f>
        <v/>
      </c>
      <c r="GK139" s="42" t="n">
        <f aca="false">IF(Tasks[[#This Row],[_IsLeaf]]=1,N(Tasks[[#This Row],[Story Points]]),0)</f>
        <v>0</v>
      </c>
      <c r="GL139" s="42" t="str">
        <f aca="false">""</f>
        <v/>
      </c>
      <c r="GM139" s="88" t="b">
        <f aca="false">IF(Tasks[[#This Row],[Task Name]]="",FALSE(),AND(Tasks[[#This Row],[_IsLeaf]]=1,N(Tasks[[#This Row],[_Days]])=0))</f>
        <v>0</v>
      </c>
      <c r="GN139" s="89" t="n">
        <f aca="false">IF(Tasks[[#This Row],[Task Name]]="",0,IF(AND(Tasks[[#This Row],[_IsLeaf]]=1,NOT(Tasks[[#This Row],[_IsMilestone]]),N(Tasks[[#This Row],[Progress]])&gt;0),Tasks[[#This Row],[Start]],0))</f>
        <v>0</v>
      </c>
      <c r="GO139" s="89" t="n">
        <f aca="false">IF(Tasks[[#This Row],[_DoneFrom]]=0,0,IF(Tasks[[#This Row],[Progress]]&gt;=1,Tasks[[#This Row],[Finish]],MAX(Tasks[[#This Row],[_DoneFrom]],Tasks[[#This Row],[Start]]+ROUND((Tasks[[#This Row],[Finish]]-Tasks[[#This Row],[Start]]+1)*Tasks[[#This Row],[Progress]],0)-1)))</f>
        <v>0</v>
      </c>
      <c r="GP139" s="89" t="n">
        <f aca="false">IF(Tasks[[#This Row],[Task Name]]="",0,IF(OR(NOT(Tasks[[#This Row],[_IsLeaf]]=1),Tasks[[#This Row],[_IsMilestone]],N(Tasks[[#This Row],[Progress]])&gt;=1),0,IF(Tasks[[#This Row],[_DoneTo]]&gt;0,Tasks[[#This Row],[_DoneTo]]+1,Tasks[[#This Row],[Start]])))</f>
        <v>0</v>
      </c>
      <c r="GQ139" s="89" t="n">
        <f aca="false">IF(Tasks[[#This Row],[_RemFrom]]=0,0,Tasks[[#This Row],[Finish]])</f>
        <v>0</v>
      </c>
      <c r="GR139" s="88" t="b">
        <f aca="false">IF(Tasks[[#This Row],[Task Name]]="",FALSE(),OR(NOT(BaselineSet),N(Tasks[[#This Row],[Baseline Start]])&gt;0))</f>
        <v>0</v>
      </c>
      <c r="GS13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3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3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39" s="90" t="str">
        <f aca="false">IF(Tasks[[#This Row],[_IsLeaf]]=1,Tasks[[#This Row],[_Row]],"")</f>
        <v/>
      </c>
      <c r="GW139" s="90" t="str">
        <f aca="false">IFERROR(INDEX(Tasks[UID],SMALL(Tasks[_PickKey],Tasks[[#This Row],[_Row]]))&amp;" "&amp;INDEX(Tasks[Task Name],SMALL(Tasks[_PickKey],Tasks[[#This Row],[_Row]])),"")</f>
        <v/>
      </c>
      <c r="GX139" s="42" t="str">
        <f aca="false">IF(Tasks[[#This Row],[Task Name]]="","",IF(Tasks[[#This Row],[_IsSummary]],NETWORKDAYS.INTL(Tasks[[#This Row],[Start]],Tasks[[#This Row],[Finish]],WorkWeek,Holidays),N(Tasks[[#This Row],[_Days]])))</f>
        <v/>
      </c>
    </row>
    <row r="140" customFormat="false" ht="15" hidden="false" customHeight="false" outlineLevel="0" collapsed="false">
      <c r="A140" s="21" t="str">
        <f aca="false">IF(Tasks[[#This Row],[Task Name]]="","",COUNTA(Tasks[[#Headers],[Task Name]]:Tasks[[#This Row],[Task Name]])-1)</f>
        <v/>
      </c>
      <c r="B140" s="22" t="n">
        <v>148</v>
      </c>
      <c r="C140" s="22"/>
      <c r="D140" s="23"/>
      <c r="E140" s="22"/>
      <c r="F140" s="23"/>
      <c r="G140" s="22"/>
      <c r="H140" s="22"/>
      <c r="I140" s="23"/>
      <c r="J140" s="22"/>
      <c r="K140" s="22"/>
      <c r="L140" s="23"/>
      <c r="M140" s="22"/>
      <c r="N140" s="22"/>
      <c r="O140" s="23"/>
      <c r="P140" s="22"/>
      <c r="Q140" s="22"/>
      <c r="R140" s="23"/>
      <c r="S140" s="23"/>
      <c r="T140" s="83"/>
      <c r="U140" s="23"/>
      <c r="V140" s="83"/>
      <c r="W140" s="23"/>
      <c r="X140" s="83"/>
      <c r="Y140" s="23"/>
      <c r="Z140" s="83"/>
      <c r="AA140" s="23"/>
      <c r="AB140" s="23"/>
      <c r="AC140" s="7"/>
      <c r="AD140" s="7"/>
      <c r="AE140" s="62" t="str">
        <f aca="false">IF(Tasks[[#This Row],[Task Name]]="","",IF(Tasks[[#This Row],[_IsSummary]],MIN(INDEX(Tasks[_ShownFcstStart],Tasks[[#This Row],[_Row]]+1):INDEX(Tasks[_ShownFcstStart],Tasks[[#This Row],[_Row]]+Tasks[[#This Row],[_Descendants]])),Tasks[[#This Row],[_ShownFcstStart]]))</f>
        <v/>
      </c>
      <c r="AF140" s="62" t="str">
        <f aca="false">IF(Tasks[[#This Row],[Task Name]]="","",IF(Tasks[[#This Row],[_IsSummary]],MAX(INDEX(Tasks[_ShownFcstFinish],Tasks[[#This Row],[_Row]]+1):INDEX(Tasks[_ShownFcstFinish],Tasks[[#This Row],[_Row]]+Tasks[[#This Row],[_Descendants]])),Tasks[[#This Row],[_ShownFcstFinish]]))</f>
        <v/>
      </c>
      <c r="AG140" s="21" t="str">
        <f aca="false">""</f>
        <v/>
      </c>
      <c r="AH140" s="23"/>
      <c r="AI14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0" s="7"/>
      <c r="AK140" s="22"/>
      <c r="AL140" s="23"/>
      <c r="AM140" s="7"/>
      <c r="AN140" s="46" t="str">
        <f aca="false">IF(Tasks[[#This Row],[Task Name]]="","",IF(Tasks[[#This Row],[Finish]]&gt;=Tasks[[#This Row],[Planned Finish]],NETWORKDAYS.INTL(Tasks[[#This Row],[Planned Finish]],Tasks[[#This Row],[Finish]],WorkWeek,Holidays)-1,1-NETWORKDAYS.INTL(Tasks[[#This Row],[Finish]],Tasks[[#This Row],[Planned Finish]],WorkWeek,Holidays)))</f>
        <v/>
      </c>
      <c r="AO140" s="21" t="str">
        <f aca="false">IF(Tasks[[#This Row],[Task Name]]="","",IF(Tasks[[#This Row],[Progress]]&gt;=1,"Complete",IF(OR(N(Tasks[[#This Row],[Actual Start]])&gt;0,Tasks[[#This Row],[Progress]]&gt;0),IF(Tasks[[#This Row],[Finish Var]]&gt;0,"Behind","In Progress"),IF(Tasks[[#This Row],[Planned Start]]&lt;StatusDate,"Late Start","Not Started"))))</f>
        <v/>
      </c>
      <c r="AP140" s="21" t="str">
        <f aca="false">IF(Tasks[[#This Row],[Task Name]]="","",IF(IF(Tasks[[#This Row],[_IsSummary]],COUNTIF(INDEX(Tasks[_LeafCritical],Tasks[[#This Row],[_Row]]+1):INDEX(Tasks[_LeafCritical],Tasks[[#This Row],[_Row]]+Tasks[[#This Row],[_Descendants]]),TRUE())&gt;0,Tasks[[#This Row],[_LeafCritical]]),"Yes",""))</f>
        <v/>
      </c>
      <c r="AQ140" s="62" t="str">
        <f aca="false">IF(Tasks[[#This Row],[Task Name]]="","",IF(N(Tasks[[#This Row],[Baseline Start]])&gt;0,Tasks[[#This Row],[Baseline Start]],Tasks[[#This Row],[_CalcStart]]))</f>
        <v/>
      </c>
      <c r="AR140" s="62" t="str">
        <f aca="false">IF(Tasks[[#This Row],[Task Name]]="","",IF(N(Tasks[[#This Row],[Baseline Finish]])&gt;0,Tasks[[#This Row],[Baseline Finish]],Tasks[[#This Row],[_CalcFinish]]))</f>
        <v/>
      </c>
      <c r="AS140" s="46" t="str">
        <f aca="false">IF(Tasks[[#This Row],[Task Name]]="","",IF(Tasks[[#This Row],[Start]]&gt;=Tasks[[#This Row],[Planned Start]],NETWORKDAYS.INTL(Tasks[[#This Row],[Planned Start]],Tasks[[#This Row],[Start]],WorkWeek,Holidays)-1,1-NETWORKDAYS.INTL(Tasks[[#This Row],[Start]],Tasks[[#This Row],[Planned Start]],WorkWeek,Holidays)))</f>
        <v/>
      </c>
      <c r="AT140" s="62" t="str">
        <f aca="false">IF(Tasks[[#This Row],[Task Name]]="","",IF(Tasks[[#This Row],[_IsSummary]],MIN(INDEX(Tasks[_LeafLateStart],Tasks[[#This Row],[_Row]]+1):INDEX(Tasks[_LeafLateStart],Tasks[[#This Row],[_Row]]+Tasks[[#This Row],[_Descendants]])),Tasks[[#This Row],[_LeafLateStart]]))</f>
        <v/>
      </c>
      <c r="AU140" s="62" t="str">
        <f aca="false">IF(Tasks[[#This Row],[Task Name]]="","",IF(Tasks[[#This Row],[_IsSummary]],MAX(INDEX(Tasks[_LeafLateFinish],Tasks[[#This Row],[_Row]]+1):INDEX(Tasks[_LeafLateFinish],Tasks[[#This Row],[_Row]]+Tasks[[#This Row],[_Descendants]])),Tasks[[#This Row],[_LeafLateFinish]]))</f>
        <v/>
      </c>
      <c r="AV140" s="46" t="str">
        <f aca="false">IF(Tasks[[#This Row],[Task Name]]="","",IF(Tasks[[#This Row],[_IsSummary]],MIN(INDEX(Tasks[_LeafTotalSlack],Tasks[[#This Row],[_Row]]+1):INDEX(Tasks[_LeafTotalSlack],Tasks[[#This Row],[_Row]]+Tasks[[#This Row],[_Descendants]])),Tasks[[#This Row],[_LeafTotalSlack]]))</f>
        <v/>
      </c>
      <c r="AW14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4"/>
      <c r="BA14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t="str">
        <f aca="false">IF(Tasks[[#This Row],[Task Name]]="","",IF(Tasks[[#This Row],[_Level]]&lt;=OutlineShowLevel,"Yes","No"))</f>
        <v/>
      </c>
      <c r="BE140" s="85" t="str">
        <f aca="false">IF(Tasks[[#This Row],[Task Name]]="","",IF(Tasks[[#This Row],[_IsSummary]],SUM(INDEX(Tasks[_LeafTotalWork],Tasks[[#This Row],[_Row]]+1):INDEX(Tasks[_LeafTotalWork],Tasks[[#This Row],[_Row]]+Tasks[[#This Row],[_Descendants]])),Tasks[[#This Row],[_LeafTotalWork]]))</f>
        <v/>
      </c>
      <c r="BF140" s="23"/>
      <c r="BG14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t="str">
        <f aca="false">""</f>
        <v/>
      </c>
      <c r="BI140" s="86"/>
      <c r="BJ140" s="22"/>
      <c r="BK140" s="46" t="str">
        <f aca="false">IF(OR(Tasks[[#This Row],[Task Name]]="",Tasks[[#This Row],[Baseline Duration]]=""),"",Tasks[[#This Row],[_SpanDays]]-N(Tasks[[#This Row],[Baseline Duration]]))</f>
        <v/>
      </c>
      <c r="BL140" s="85" t="str">
        <f aca="false">IF(OR(Tasks[[#This Row],[Task Name]]="",Tasks[[#This Row],[Baseline Work]]=""),"",Tasks[[#This Row],[Work]]-N(Tasks[[#This Row],[Baseline Work]]))</f>
        <v/>
      </c>
      <c r="BM140" s="62" t="str">
        <f aca="false">IF(Tasks[[#This Row],[Task Name]]="","",IF(OR(TakeBaseline="Yes",N(Tasks[[#This Row],[Baseline Start]])=0),Tasks[[#This Row],[Start]],Tasks[[#This Row],[Baseline Start]]))</f>
        <v/>
      </c>
      <c r="BN140" s="62" t="str">
        <f aca="false">IF(Tasks[[#This Row],[Task Name]]="","",IF(OR(TakeBaseline="Yes",N(Tasks[[#This Row],[Baseline Finish]])=0),Tasks[[#This Row],[Finish]],Tasks[[#This Row],[Baseline Finish]]))</f>
        <v/>
      </c>
      <c r="BO140" s="21" t="str">
        <f aca="false">IF(Tasks[[#This Row],[Task Name]]="","",IF(OR(TakeBaseline="Yes",N(Tasks[[#This Row],[Baseline Duration]])=0),Tasks[[#This Row],[_SpanDays]],Tasks[[#This Row],[Baseline Duration]]))</f>
        <v/>
      </c>
      <c r="BP140" s="85" t="str">
        <f aca="false">IF(Tasks[[#This Row],[Task Name]]="","",IF(OR(TakeBaseline="Yes",N(Tasks[[#This Row],[Baseline Work]])=0),Tasks[[#This Row],[Work]],Tasks[[#This Row],[Baseline Work]]))</f>
        <v/>
      </c>
      <c r="BQ140" s="7"/>
      <c r="BR140" s="7"/>
      <c r="BS140" s="22"/>
      <c r="BT140" s="87"/>
      <c r="BU140" s="42" t="str">
        <f aca="false">IF(Tasks[[#This Row],[Task Name]]="","",MAX(1,N(Tasks[[#This Row],[Level]])))</f>
        <v/>
      </c>
      <c r="BV140" s="42" t="n">
        <f aca="false">ROW()-ROW(Tasks[[#Headers],[ID]])</f>
        <v>135</v>
      </c>
      <c r="BW140" s="42" t="n">
        <f aca="false">IF(OR(Tasks[[#This Row],[Task Name]]="",Tasks[[#This Row],[_Level]]&lt;=1),0,IFERROR(LOOKUP(2,1/(Tasks[[#Headers],[_Level]]:Tasks[[#This Row],[_Level]]=Tasks[[#This Row],[_Level]]-1),ROW(Tasks[[#Headers],[_Level]]:Tasks[[#This Row],[_Level]])),0))</f>
        <v>0</v>
      </c>
      <c r="BX140" s="42" t="n">
        <f aca="false">IFERROR(N(INDEX(Tasks[_Level],Tasks[[#This Row],[_Row]]+1)),0)</f>
        <v>0</v>
      </c>
      <c r="BY140" s="88" t="b">
        <f aca="false">AND(Tasks[[#This Row],[Task Name]]&lt;&gt;"",Tasks[[#This Row],[_NextLevel]]&gt;Tasks[[#This Row],[_Level]])</f>
        <v>0</v>
      </c>
      <c r="BZ140" s="42" t="n">
        <f aca="false">IF(Tasks[[#This Row],[_IsSummary]],COUNTIF(Tasks[WBS],Tasks[[#This Row],[WBS]]&amp;".*"),0)</f>
        <v>0</v>
      </c>
      <c r="CA140" s="42" t="n">
        <f aca="false">IF(AND(Tasks[[#This Row],[Task Name]]&lt;&gt;"",NOT(Tasks[[#This Row],[_IsSummary]])),1,0)</f>
        <v>0</v>
      </c>
      <c r="CB140" s="42" t="n">
        <f aca="false">IF(N(Tasks[[#This Row],[_Pred1UID]])=0,0,IFERROR(MATCH(Tasks[[#This Row],[_Pred1UID]],Tasks[UID],0),-1))</f>
        <v>0</v>
      </c>
      <c r="CC140" s="42" t="n">
        <f aca="false">IF(N(Tasks[[#This Row],[_Pred2UID]])=0,0,IFERROR(MATCH(Tasks[[#This Row],[_Pred2UID]],Tasks[UID],0),-1))</f>
        <v>0</v>
      </c>
      <c r="CD140" s="42" t="n">
        <f aca="false">IF(N(Tasks[[#This Row],[_Pred3UID]])=0,0,IFERROR(MATCH(Tasks[[#This Row],[_Pred3UID]],Tasks[UID],0),-1))</f>
        <v>0</v>
      </c>
      <c r="CE140" s="42" t="n">
        <f aca="false">IF(N(Tasks[[#This Row],[_Pred4UID]])=0,0,IFERROR(MATCH(Tasks[[#This Row],[_Pred4UID]],Tasks[UID],0),-1))</f>
        <v>0</v>
      </c>
      <c r="CF14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0" s="89" t="n">
        <f aca="false">IF(OR(Tasks[[#This Row],[_ConstraintCode]]=2,Tasks[[#This Row],[_ConstraintCode]]=3,Tasks[[#This Row],[_ConstraintCode]]=4,Tasks[[#This Row],[_ConstraintCode]]=6),Tasks[[#This Row],[_ConstraintStart]],0)</f>
        <v>0</v>
      </c>
      <c r="CI140" s="89" t="n">
        <f aca="false">IF(OR(Tasks[[#This Row],[_ConstraintCode]]=2,Tasks[[#This Row],[_ConstraintCode]]=3,Tasks[[#This Row],[_ConstraintCode]]=5,Tasks[[#This Row],[_ConstraintCode]]=7),Tasks[[#This Row],[_ConstraintStart]],2958465)</f>
        <v>2958465</v>
      </c>
      <c r="CJ14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0" s="89" t="str">
        <f aca="false">IF(NOT(Tasks[[#This Row],[_IsLeaf]]=1),"",IF(N(Tasks[[#This Row],[_Days]])&lt;=0,Tasks[[#This Row],[_LeafCalcStart]],WORKDAY.INTL(Tasks[[#This Row],[_LeafCalcStart]],Tasks[[#This Row],[_Days]]-1,WorkWeek,Holidays)))</f>
        <v/>
      </c>
      <c r="CL14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0" s="42" t="str">
        <f aca="false">IF(Tasks[[#This Row],[_Predecessors]]="","",TRIM(MID(SUBSTITUTE(SUBSTITUTE(SUBSTITUTE(UPPER(Tasks[[#This Row],[_Predecessors]]),";",",")," ",""),",",REPT(" ",99)),1,99)))</f>
        <v/>
      </c>
      <c r="CO140" s="42" t="str">
        <f aca="false">IF(Tasks[[#This Row],[_Pred1Text]]="","",IFERROR(VALUE(LEFT(Tasks[[#This Row],[_Pred1Text]],MIN(FIND("F",Tasks[[#This Row],[_Pred1Text]]&amp;"F"),FIND("S",Tasks[[#This Row],[_Pred1Text]]&amp;"S"),FIND("+",Tasks[[#This Row],[_Pred1Text]]&amp;"+"),FIND("-",Tasks[[#This Row],[_Pred1Text]]&amp;"-"))-1)),""))</f>
        <v/>
      </c>
      <c r="CP14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0" s="42" t="str">
        <f aca="false">IF(Tasks[[#This Row],[_Pred1Text]]="","",TRIM(MID(SUBSTITUTE(SUBSTITUTE(SUBSTITUTE(UPPER(Tasks[[#This Row],[_Predecessors]]),";",",")," ",""),",",REPT(" ",99)),100,99)))</f>
        <v/>
      </c>
      <c r="CS140" s="42" t="str">
        <f aca="false">IF(Tasks[[#This Row],[_Pred2Text]]="","",IFERROR(VALUE(LEFT(Tasks[[#This Row],[_Pred2Text]],MIN(FIND("F",Tasks[[#This Row],[_Pred2Text]]&amp;"F"),FIND("S",Tasks[[#This Row],[_Pred2Text]]&amp;"S"),FIND("+",Tasks[[#This Row],[_Pred2Text]]&amp;"+"),FIND("-",Tasks[[#This Row],[_Pred2Text]]&amp;"-"))-1)),""))</f>
        <v/>
      </c>
      <c r="CT14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0" s="42" t="str">
        <f aca="false">IF(Tasks[[#This Row],[_Pred2Text]]="","",TRIM(MID(SUBSTITUTE(SUBSTITUTE(SUBSTITUTE(UPPER(Tasks[[#This Row],[_Predecessors]]),";",",")," ",""),",",REPT(" ",99)),199,99)))</f>
        <v/>
      </c>
      <c r="CW140" s="42" t="str">
        <f aca="false">IF(Tasks[[#This Row],[_Pred3Text]]="","",IFERROR(VALUE(LEFT(Tasks[[#This Row],[_Pred3Text]],MIN(FIND("F",Tasks[[#This Row],[_Pred3Text]]&amp;"F"),FIND("S",Tasks[[#This Row],[_Pred3Text]]&amp;"S"),FIND("+",Tasks[[#This Row],[_Pred3Text]]&amp;"+"),FIND("-",Tasks[[#This Row],[_Pred3Text]]&amp;"-"))-1)),""))</f>
        <v/>
      </c>
      <c r="CX14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0" s="42" t="str">
        <f aca="false">IF(Tasks[[#This Row],[_Pred3Text]]="","",TRIM(MID(SUBSTITUTE(SUBSTITUTE(SUBSTITUTE(UPPER(Tasks[[#This Row],[_Predecessors]]),";",",")," ",""),",",REPT(" ",99)),298,99)))</f>
        <v/>
      </c>
      <c r="DA140" s="42" t="str">
        <f aca="false">IF(Tasks[[#This Row],[_Pred4Text]]="","",IFERROR(VALUE(LEFT(Tasks[[#This Row],[_Pred4Text]],MIN(FIND("F",Tasks[[#This Row],[_Pred4Text]]&amp;"F"),FIND("S",Tasks[[#This Row],[_Pred4Text]]&amp;"S"),FIND("+",Tasks[[#This Row],[_Pred4Text]]&amp;"+"),FIND("-",Tasks[[#This Row],[_Pred4Text]]&amp;"-"))-1)),""))</f>
        <v/>
      </c>
      <c r="DB14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0" s="42" t="str">
        <f aca="false">IF(OR(Tasks[[#This Row],[Task Name]]="",Tasks[[#This Row],[_Resources]]=""),"",TRIM(MID(SUBSTITUTE(Tasks[[#This Row],[_Resources]],",",REPT(" ",99)),1,99)))</f>
        <v/>
      </c>
      <c r="DE140" s="42" t="str">
        <f aca="false">IF(Tasks[[#This Row],[_Res1Text]]="","",TRIM(MID(SUBSTITUTE(Tasks[[#This Row],[_Resources]],",",REPT(" ",99)),100,99)))</f>
        <v/>
      </c>
      <c r="DF140" s="42" t="str">
        <f aca="false">IF(Tasks[[#This Row],[_Res2Text]]="","",TRIM(MID(SUBSTITUTE(Tasks[[#This Row],[_Resources]],",",REPT(" ",99)),199,99)))</f>
        <v/>
      </c>
      <c r="DG140" s="42" t="str">
        <f aca="false">IF(Tasks[[#This Row],[_Res3Text]]="","",TRIM(MID(SUBSTITUTE(Tasks[[#This Row],[_Resources]],",",REPT(" ",99)),298,99)))</f>
        <v/>
      </c>
      <c r="DH140" s="42" t="n">
        <f aca="false">IF(Tasks[[#This Row],[_Res1Text]]="",0,IFERROR(MATCH(TRIM(LEFT(Tasks[[#This Row],[_Res1Text]],FIND("[",Tasks[[#This Row],[_Res1Text]]&amp;"[")-1)),res_Name,0),IFERROR(MATCH(TRIM(LEFT(Tasks[[#This Row],[_Res1Text]],FIND("[",Tasks[[#This Row],[_Res1Text]]&amp;"[")-1)),res_Initials,0),0)))</f>
        <v>0</v>
      </c>
      <c r="DI140" s="42" t="n">
        <f aca="false">IF(Tasks[[#This Row],[_Res2Text]]="",0,IFERROR(MATCH(TRIM(LEFT(Tasks[[#This Row],[_Res2Text]],FIND("[",Tasks[[#This Row],[_Res2Text]]&amp;"[")-1)),res_Name,0),IFERROR(MATCH(TRIM(LEFT(Tasks[[#This Row],[_Res2Text]],FIND("[",Tasks[[#This Row],[_Res2Text]]&amp;"[")-1)),res_Initials,0),0)))</f>
        <v>0</v>
      </c>
      <c r="DJ140" s="42" t="n">
        <f aca="false">IF(Tasks[[#This Row],[_Res3Text]]="",0,IFERROR(MATCH(TRIM(LEFT(Tasks[[#This Row],[_Res3Text]],FIND("[",Tasks[[#This Row],[_Res3Text]]&amp;"[")-1)),res_Name,0),IFERROR(MATCH(TRIM(LEFT(Tasks[[#This Row],[_Res3Text]],FIND("[",Tasks[[#This Row],[_Res3Text]]&amp;"[")-1)),res_Initials,0),0)))</f>
        <v>0</v>
      </c>
      <c r="DK140" s="42" t="n">
        <f aca="false">IF(Tasks[[#This Row],[_Res4Text]]="",0,IFERROR(MATCH(TRIM(LEFT(Tasks[[#This Row],[_Res4Text]],FIND("[",Tasks[[#This Row],[_Res4Text]]&amp;"[")-1)),res_Name,0),IFERROR(MATCH(TRIM(LEFT(Tasks[[#This Row],[_Res4Text]],FIND("[",Tasks[[#This Row],[_Res4Text]]&amp;"[")-1)),res_Initials,0),0)))</f>
        <v>0</v>
      </c>
      <c r="DL140" s="42" t="str">
        <f aca="false">IF(Tasks[[#This Row],[_Res1Text]]="","",IF(Tasks[[#This Row],[_Res1Row]]&gt;0,INDEX(res_Name,Tasks[[#This Row],[_Res1Row]]),TRIM(LEFT(Tasks[[#This Row],[_Res1Text]],FIND("[",Tasks[[#This Row],[_Res1Text]]&amp;"[")-1))))</f>
        <v/>
      </c>
      <c r="DM14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0" s="42" t="n">
        <f aca="false">IF(NOT(Tasks[[#This Row],[_IsLeaf]]=1),0,(Tasks[[#This Row],[_Resource1]]&lt;&gt;"")+(Tasks[[#This Row],[_Res2]]&lt;&gt;"")+(Tasks[[#This Row],[_Res3]]&lt;&gt;"")+(Tasks[[#This Row],[_Res4]]&lt;&gt;""))</f>
        <v>0</v>
      </c>
      <c r="DO140" s="42" t="str">
        <f aca="false">IF(Tasks[[#This Row],[_Res2Text]]="","",IF(Tasks[[#This Row],[_Res2Row]]&gt;0,INDEX(res_Name,Tasks[[#This Row],[_Res2Row]]),TRIM(LEFT(Tasks[[#This Row],[_Res2Text]],FIND("[",Tasks[[#This Row],[_Res2Text]]&amp;"[")-1))))</f>
        <v/>
      </c>
      <c r="DP14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0" s="42" t="n">
        <f aca="false">IF(OR(NOT(Tasks[[#This Row],[_IsLeaf]]=1),Tasks[[#This Row],[_Res2Row]]=0),0,N(Tasks[[#This Row],[_Days]])*HoursPerDay*IF(Tasks[[#This Row],[_Res2Units]]="",DefaultUnits,Tasks[[#This Row],[_Res2Units]]))</f>
        <v>0</v>
      </c>
      <c r="DR140" s="42" t="n">
        <f aca="false">IF(AND(AND(Tasks[[#This Row],[_IsLeaf]]=1,Tasks[[#This Row],[_LeafTotalWork]]&gt;0),Tasks[[#This Row],[_Res2Work]]&gt;0),Tasks[[#This Row],[_Res2Work]]/(Tasks[[#This Row],[_FinishWorkday]]-Tasks[[#This Row],[_StartWorkday]]+1),0)</f>
        <v>0</v>
      </c>
      <c r="DS140" s="42" t="n">
        <f aca="false">Tasks[[#This Row],[_Res2WorkPerWD]]*MAX(0,Tasks[[#This Row],[_StartWorkday]]-1)</f>
        <v>0</v>
      </c>
      <c r="DT140" s="42" t="n">
        <f aca="false">Tasks[[#This Row],[_Res2Work]]*Tasks[[#This Row],[_LeafProgress]]</f>
        <v>0</v>
      </c>
      <c r="DU140" s="42" t="str">
        <f aca="false">IF(Tasks[[#This Row],[_Res3Text]]="","",IF(Tasks[[#This Row],[_Res3Row]]&gt;0,INDEX(res_Name,Tasks[[#This Row],[_Res3Row]]),TRIM(LEFT(Tasks[[#This Row],[_Res3Text]],FIND("[",Tasks[[#This Row],[_Res3Text]]&amp;"[")-1))))</f>
        <v/>
      </c>
      <c r="DV14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0" s="42" t="n">
        <f aca="false">IF(OR(NOT(Tasks[[#This Row],[_IsLeaf]]=1),Tasks[[#This Row],[_Res3Row]]=0),0,N(Tasks[[#This Row],[_Days]])*HoursPerDay*IF(Tasks[[#This Row],[_Res3Units]]="",DefaultUnits,Tasks[[#This Row],[_Res3Units]]))</f>
        <v>0</v>
      </c>
      <c r="DX140" s="42" t="n">
        <f aca="false">IF(AND(AND(Tasks[[#This Row],[_IsLeaf]]=1,Tasks[[#This Row],[_LeafTotalWork]]&gt;0),Tasks[[#This Row],[_Res3Work]]&gt;0),Tasks[[#This Row],[_Res3Work]]/(Tasks[[#This Row],[_FinishWorkday]]-Tasks[[#This Row],[_StartWorkday]]+1),0)</f>
        <v>0</v>
      </c>
      <c r="DY140" s="42" t="n">
        <f aca="false">Tasks[[#This Row],[_Res3WorkPerWD]]*MAX(0,Tasks[[#This Row],[_StartWorkday]]-1)</f>
        <v>0</v>
      </c>
      <c r="DZ140" s="42" t="n">
        <f aca="false">Tasks[[#This Row],[_Res3Work]]*Tasks[[#This Row],[_LeafProgress]]</f>
        <v>0</v>
      </c>
      <c r="EA140" s="42" t="str">
        <f aca="false">IF(Tasks[[#This Row],[_Res4Text]]="","",IF(Tasks[[#This Row],[_Res4Row]]&gt;0,INDEX(res_Name,Tasks[[#This Row],[_Res4Row]]),TRIM(LEFT(Tasks[[#This Row],[_Res4Text]],FIND("[",Tasks[[#This Row],[_Res4Text]]&amp;"[")-1))))</f>
        <v/>
      </c>
      <c r="EB14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0" s="42" t="n">
        <f aca="false">IF(OR(NOT(Tasks[[#This Row],[_IsLeaf]]=1),Tasks[[#This Row],[_Res4Row]]=0),0,N(Tasks[[#This Row],[_Days]])*HoursPerDay*IF(Tasks[[#This Row],[_Res4Units]]="",DefaultUnits,Tasks[[#This Row],[_Res4Units]]))</f>
        <v>0</v>
      </c>
      <c r="ED140" s="42" t="n">
        <f aca="false">IF(AND(AND(Tasks[[#This Row],[_IsLeaf]]=1,Tasks[[#This Row],[_LeafTotalWork]]&gt;0),Tasks[[#This Row],[_Res4Work]]&gt;0),Tasks[[#This Row],[_Res4Work]]/(Tasks[[#This Row],[_FinishWorkday]]-Tasks[[#This Row],[_StartWorkday]]+1),0)</f>
        <v>0</v>
      </c>
      <c r="EE140" s="42" t="n">
        <f aca="false">Tasks[[#This Row],[_Res4WorkPerWD]]*MAX(0,Tasks[[#This Row],[_StartWorkday]]-1)</f>
        <v>0</v>
      </c>
      <c r="EF140" s="42" t="n">
        <f aca="false">Tasks[[#This Row],[_Res4Work]]*Tasks[[#This Row],[_LeafProgress]]</f>
        <v>0</v>
      </c>
      <c r="EG140" s="42" t="n">
        <f aca="false">IF(ISNUMBER(Tasks[[#This Row],[% Complete]]),Tasks[[#This Row],[% Complete]],IF(Tasks[[#This Row],[Stage]]="",0,IFERROR(INDEX(stg_Pct,MATCH(Tasks[[#This Row],[Stage]],stg_Name,0)),0)))</f>
        <v>0</v>
      </c>
      <c r="EH140" s="42" t="n">
        <f aca="false">IF(NOT(Tasks[[#This Row],[_IsLeaf]]=1),0,IF(N(Tasks[[#This Row],[Actual Finish]])&gt;0,1,MIN(1,Tasks[[#This Row],[_Pct]])))</f>
        <v>0</v>
      </c>
      <c r="EI140" s="42" t="n">
        <f aca="false">IF(OR(NOT(Tasks[[#This Row],[_IsLeaf]]=1),Tasks[[#This Row],[_Res1Row]]=0),0,N(Tasks[[#This Row],[_Days]])*HoursPerDay*IF(Tasks[[#This Row],[_Units1]]="",DefaultUnits,Tasks[[#This Row],[_Units1]]))</f>
        <v>0</v>
      </c>
      <c r="EJ140" s="42" t="n">
        <f aca="false">Tasks[[#This Row],[_LeafWork]]+Tasks[[#This Row],[_Res2Work]]+Tasks[[#This Row],[_Res3Work]]+Tasks[[#This Row],[_Res4Work]]</f>
        <v>0</v>
      </c>
      <c r="EK14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0" s="42" t="n">
        <f aca="false">IF(NOT(Tasks[[#This Row],[_IsLeaf]]=1),0,MAX(_xlfn.MAXIFS(Tasks[_Row],Tasks[_Pred1UID],Tasks[[#This Row],[UID]]),_xlfn.MAXIFS(Tasks[_Row],Tasks[_Pred2UID],Tasks[[#This Row],[UID]]),_xlfn.MAXIFS(Tasks[_Row],Tasks[_Pred3UID],Tasks[[#This Row],[UID]]),_xlfn.MAXIFS(Tasks[_Row],Tasks[_Pred4UID],Tasks[[#This Row],[UID]])))</f>
        <v>0</v>
      </c>
      <c r="ET14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0" s="89" t="str">
        <f aca="false">IF(NOT(Tasks[[#This Row],[_IsLeaf]]=1),"",IF(N(Tasks[[#This Row],[_Days]])&lt;=0,Tasks[[#This Row],[_LeafLateFinish]],WORKDAY.INTL(Tasks[[#This Row],[_LeafLateFinish]],-(Tasks[[#This Row],[_Days]]-1),WorkWeek,Holidays)))</f>
        <v/>
      </c>
      <c r="EW14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0" s="88" t="b">
        <f aca="false">AND(Tasks[[#This Row],[_IsLeaf]]=1,Tasks[[#This Row],[_LeafProgress]]&lt;1,N(Tasks[[#This Row],[_LeafTotalSlack]])&lt;=CriticalSlackDays)</f>
        <v>0</v>
      </c>
      <c r="EY140" s="42" t="n">
        <f aca="false">IF(AND(Tasks[[#This Row],[_IsLeaf]]=1,Tasks[[#This Row],[_ConstraintCode]]=1,Tasks[[#This Row],[Mode]]&lt;&gt;"Manual",N(Tasks[[#This Row],[Actual Start]])=0),MAX(0,N(Tasks[[#This Row],[Free Slack]])),0)</f>
        <v>0</v>
      </c>
      <c r="EZ140" s="89" t="str">
        <f aca="false">IF(NOT(Tasks[[#This Row],[_IsLeaf]]=1),"",IF(Tasks[[#This Row],[_AlapShift]]=0,Tasks[[#This Row],[_LeafCalcStart]],WORKDAY.INTL(Tasks[[#This Row],[_LeafCalcStart]],Tasks[[#This Row],[_AlapShift]],WorkWeek,Holidays)))</f>
        <v/>
      </c>
      <c r="FA140" s="89" t="str">
        <f aca="false">IF(NOT(Tasks[[#This Row],[_IsLeaf]]=1),"",IF(Tasks[[#This Row],[_AlapShift]]=0,Tasks[[#This Row],[_LeafCalcFinish]],WORKDAY.INTL(Tasks[[#This Row],[_LeafCalcFinish]],Tasks[[#This Row],[_AlapShift]],WorkWeek,Holidays)))</f>
        <v/>
      </c>
      <c r="FB140" s="89" t="str">
        <f aca="false">IF(NOT(Tasks[[#This Row],[_IsLeaf]]=1),"",IF(Tasks[[#This Row],[_AlapShift]]=0,Tasks[[#This Row],[_LeafFcstStart]],WORKDAY.INTL(Tasks[[#This Row],[_LeafFcstStart]],Tasks[[#This Row],[_AlapShift]],WorkWeek,Holidays)))</f>
        <v/>
      </c>
      <c r="FC140" s="89" t="str">
        <f aca="false">IF(NOT(Tasks[[#This Row],[_IsLeaf]]=1),"",IF(Tasks[[#This Row],[_AlapShift]]=0,Tasks[[#This Row],[_LeafFcstFinish]],WORKDAY.INTL(Tasks[[#This Row],[_LeafFcstFinish]],Tasks[[#This Row],[_AlapShift]],WorkWeek,Holidays)))</f>
        <v/>
      </c>
      <c r="FD140" s="89" t="str">
        <f aca="false">IF(Tasks[[#This Row],[Task Name]]="","",IF(Tasks[[#This Row],[_IsSummary]],MIN(INDEX(Tasks[_ShownCalcStart],Tasks[[#This Row],[_Row]]+1):INDEX(Tasks[_ShownCalcStart],Tasks[[#This Row],[_Row]]+Tasks[[#This Row],[_Descendants]])),Tasks[[#This Row],[_ShownCalcStart]]))</f>
        <v/>
      </c>
      <c r="FE140" s="89" t="str">
        <f aca="false">IF(Tasks[[#This Row],[Task Name]]="","",IF(Tasks[[#This Row],[_IsSummary]],MAX(INDEX(Tasks[_ShownCalcFinish],Tasks[[#This Row],[_Row]]+1):INDEX(Tasks[_ShownCalcFinish],Tasks[[#This Row],[_Row]]+Tasks[[#This Row],[_Descendants]])),Tasks[[#This Row],[_ShownCalcFinish]]))</f>
        <v/>
      </c>
      <c r="FF14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0" s="42" t="n">
        <f aca="false">IF(AND(Tasks[[#This Row],[_IsLeaf]]=1,Tasks[[#This Row],[_LeafTotalWork]]&gt;0),NETWORKDAYS.INTL(ProjectStart,Tasks[[#This Row],[_ShownFcstStart]],WorkWeek,Holidays),0)</f>
        <v>0</v>
      </c>
      <c r="FS140" s="42" t="n">
        <f aca="false">IF(AND(Tasks[[#This Row],[_IsLeaf]]=1,Tasks[[#This Row],[_LeafTotalWork]]&gt;0),MAX(Tasks[[#This Row],[_StartWorkday]],NETWORKDAYS.INTL(ProjectStart,Tasks[[#This Row],[_ShownFcstFinish]],WorkWeek,Holidays)),0)</f>
        <v>0</v>
      </c>
      <c r="FT140" s="42" t="n">
        <f aca="false">IF(AND(Tasks[[#This Row],[_IsLeaf]]=1,Tasks[[#This Row],[_LeafTotalWork]]&gt;0),Tasks[[#This Row],[_LeafWork]]/(Tasks[[#This Row],[_FinishWorkday]]-Tasks[[#This Row],[_StartWorkday]]+1),0)</f>
        <v>0</v>
      </c>
      <c r="FU140" s="42" t="n">
        <f aca="false">Tasks[[#This Row],[_WorkPerWorkday]]*(Tasks[[#This Row],[_StartWorkday]]-1)</f>
        <v>-0</v>
      </c>
      <c r="FV140" s="42" t="n">
        <f aca="false">IF(Tasks[[#This Row],[_IsLeaf]]=1,MAX(N(Tasks[[#This Row],[_Days]]),0.1),0)</f>
        <v>0</v>
      </c>
      <c r="FW140" s="42" t="n">
        <f aca="false">Tasks[[#This Row],[_WeightDur]]*Tasks[[#This Row],[_LeafProgress]]</f>
        <v>0</v>
      </c>
      <c r="FX140" s="42" t="n">
        <f aca="false">Tasks[[#This Row],[_WeightDur]]*Tasks[[#This Row],[_PlannedPct]]</f>
        <v>0</v>
      </c>
      <c r="FY14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0" s="42" t="str">
        <f aca="false">IF(AND(Tasks[[#This Row],[_IsLeaf]]=1,N(Tasks[[#This Row],[_Days]])=0,Tasks[[#This Row],[_LeafProgress]]&lt;1),Tasks[[#This Row],[_ShownFcstFinish]]+Tasks[[#This Row],[_Row]]/100000,"")</f>
        <v/>
      </c>
      <c r="GA14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0" s="42" t="str">
        <f aca="false">IF(Tasks[[#This Row],[Task Name]]="","",LEFT(Tasks[[#This Row],[WBS]],FIND(".",Tasks[[#This Row],[WBS]]&amp;".")-1))</f>
        <v/>
      </c>
      <c r="GC140" s="42" t="str">
        <f aca="false">IF(AND(Tasks[[#This Row],[Task Name]]&lt;&gt;"",Tasks[[#This Row],[_Level]]=1),Tasks[[#This Row],[_Row]],"")</f>
        <v/>
      </c>
      <c r="GD140" s="42" t="str">
        <f aca="false">IF(AND(Tasks[[#This Row],[_IsLeaf]]=1,N(Tasks[[#This Row],[_Days]])=0),Tasks[[#This Row],[Planned Finish]]+Tasks[[#This Row],[_Row]]/100000,"")</f>
        <v/>
      </c>
      <c r="GE140" s="42" t="str">
        <f aca="false">IF(AND(Tasks[[#This Row],[_IsLeaf]]=1,Tasks[[#This Row],[_LeafProgress]]&lt;1,OR(N(Tasks[[#This Row],[Finish Var]])&gt;0,Tasks[[#This Row],[Status]]="Late Start")),MAX(0,Tasks[[#This Row],[Finish Var]])+1-Tasks[[#This Row],[_Row]]/1000000,"")</f>
        <v/>
      </c>
      <c r="GF140" s="42" t="str">
        <f aca="false">IF(AND(Tasks[[#This Row],[_IsLeaf]]=1,N(Tasks[[#This Row],[Actual Start]])=0,Tasks[[#This Row],[_ShownFcstStart]]&gt;=StatusDate,Tasks[[#This Row],[_ShownFcstStart]]&lt;=LookaheadEnd),Tasks[[#This Row],[_ShownFcstStart]]+Tasks[[#This Row],[_Row]]/100000,"")</f>
        <v/>
      </c>
      <c r="GG140" s="42" t="str">
        <f aca="false">IF(AND(Tasks[[#This Row],[_IsLeaf]]=1,Tasks[[#This Row],[_LeafProgress]]&lt;1,Tasks[[#This Row],[_ShownFcstFinish]]&gt;=StatusDate,Tasks[[#This Row],[_ShownFcstFinish]]&lt;=LookaheadEnd),Tasks[[#This Row],[_ShownFcstFinish]]+Tasks[[#This Row],[_Row]]/100000,"")</f>
        <v/>
      </c>
      <c r="GH140" s="42" t="str">
        <f aca="false">IF(Tasks[[#This Row],[_LeafCritical]],Tasks[[#This Row],[_ShownFcstStart]]+Tasks[[#This Row],[_Row]]/100000,"")</f>
        <v/>
      </c>
      <c r="GI140" s="42" t="n">
        <f aca="false">Tasks[[#This Row],[_LeafWork]]*Tasks[[#This Row],[_LeafProgress]]</f>
        <v>0</v>
      </c>
      <c r="GJ140" s="89" t="str">
        <f aca="false">IF(AND(Tasks[[#This Row],[_IsLeaf]]=1,Tasks[[#This Row],[_LeafProgress]]&gt;=1),IF(N(Tasks[[#This Row],[Actual Finish]])&gt;0,Tasks[[#This Row],[Actual Finish]],Tasks[[#This Row],[_ShownFcstFinish]]),"")</f>
        <v/>
      </c>
      <c r="GK140" s="42" t="n">
        <f aca="false">IF(Tasks[[#This Row],[_IsLeaf]]=1,N(Tasks[[#This Row],[Story Points]]),0)</f>
        <v>0</v>
      </c>
      <c r="GL140" s="42" t="str">
        <f aca="false">""</f>
        <v/>
      </c>
      <c r="GM140" s="88" t="b">
        <f aca="false">IF(Tasks[[#This Row],[Task Name]]="",FALSE(),AND(Tasks[[#This Row],[_IsLeaf]]=1,N(Tasks[[#This Row],[_Days]])=0))</f>
        <v>0</v>
      </c>
      <c r="GN140" s="89" t="n">
        <f aca="false">IF(Tasks[[#This Row],[Task Name]]="",0,IF(AND(Tasks[[#This Row],[_IsLeaf]]=1,NOT(Tasks[[#This Row],[_IsMilestone]]),N(Tasks[[#This Row],[Progress]])&gt;0),Tasks[[#This Row],[Start]],0))</f>
        <v>0</v>
      </c>
      <c r="GO140" s="89" t="n">
        <f aca="false">IF(Tasks[[#This Row],[_DoneFrom]]=0,0,IF(Tasks[[#This Row],[Progress]]&gt;=1,Tasks[[#This Row],[Finish]],MAX(Tasks[[#This Row],[_DoneFrom]],Tasks[[#This Row],[Start]]+ROUND((Tasks[[#This Row],[Finish]]-Tasks[[#This Row],[Start]]+1)*Tasks[[#This Row],[Progress]],0)-1)))</f>
        <v>0</v>
      </c>
      <c r="GP140" s="89" t="n">
        <f aca="false">IF(Tasks[[#This Row],[Task Name]]="",0,IF(OR(NOT(Tasks[[#This Row],[_IsLeaf]]=1),Tasks[[#This Row],[_IsMilestone]],N(Tasks[[#This Row],[Progress]])&gt;=1),0,IF(Tasks[[#This Row],[_DoneTo]]&gt;0,Tasks[[#This Row],[_DoneTo]]+1,Tasks[[#This Row],[Start]])))</f>
        <v>0</v>
      </c>
      <c r="GQ140" s="89" t="n">
        <f aca="false">IF(Tasks[[#This Row],[_RemFrom]]=0,0,Tasks[[#This Row],[Finish]])</f>
        <v>0</v>
      </c>
      <c r="GR140" s="88" t="b">
        <f aca="false">IF(Tasks[[#This Row],[Task Name]]="",FALSE(),OR(NOT(BaselineSet),N(Tasks[[#This Row],[Baseline Start]])&gt;0))</f>
        <v>0</v>
      </c>
      <c r="GS14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0" s="90" t="str">
        <f aca="false">IF(Tasks[[#This Row],[_IsLeaf]]=1,Tasks[[#This Row],[_Row]],"")</f>
        <v/>
      </c>
      <c r="GW140" s="90" t="str">
        <f aca="false">IFERROR(INDEX(Tasks[UID],SMALL(Tasks[_PickKey],Tasks[[#This Row],[_Row]]))&amp;" "&amp;INDEX(Tasks[Task Name],SMALL(Tasks[_PickKey],Tasks[[#This Row],[_Row]])),"")</f>
        <v/>
      </c>
      <c r="GX140" s="42" t="str">
        <f aca="false">IF(Tasks[[#This Row],[Task Name]]="","",IF(Tasks[[#This Row],[_IsSummary]],NETWORKDAYS.INTL(Tasks[[#This Row],[Start]],Tasks[[#This Row],[Finish]],WorkWeek,Holidays),N(Tasks[[#This Row],[_Days]])))</f>
        <v/>
      </c>
    </row>
    <row r="141" customFormat="false" ht="15" hidden="false" customHeight="false" outlineLevel="0" collapsed="false">
      <c r="A141" s="21" t="str">
        <f aca="false">IF(Tasks[[#This Row],[Task Name]]="","",COUNTA(Tasks[[#Headers],[Task Name]]:Tasks[[#This Row],[Task Name]])-1)</f>
        <v/>
      </c>
      <c r="B141" s="22" t="n">
        <v>149</v>
      </c>
      <c r="C141" s="22"/>
      <c r="D141" s="23"/>
      <c r="E141" s="22"/>
      <c r="F141" s="23"/>
      <c r="G141" s="22"/>
      <c r="H141" s="22"/>
      <c r="I141" s="23"/>
      <c r="J141" s="22"/>
      <c r="K141" s="22"/>
      <c r="L141" s="23"/>
      <c r="M141" s="22"/>
      <c r="N141" s="22"/>
      <c r="O141" s="23"/>
      <c r="P141" s="22"/>
      <c r="Q141" s="22"/>
      <c r="R141" s="23"/>
      <c r="S141" s="23"/>
      <c r="T141" s="83"/>
      <c r="U141" s="23"/>
      <c r="V141" s="83"/>
      <c r="W141" s="23"/>
      <c r="X141" s="83"/>
      <c r="Y141" s="23"/>
      <c r="Z141" s="83"/>
      <c r="AA141" s="23"/>
      <c r="AB141" s="23"/>
      <c r="AC141" s="7"/>
      <c r="AD141" s="7"/>
      <c r="AE141" s="62" t="str">
        <f aca="false">IF(Tasks[[#This Row],[Task Name]]="","",IF(Tasks[[#This Row],[_IsSummary]],MIN(INDEX(Tasks[_ShownFcstStart],Tasks[[#This Row],[_Row]]+1):INDEX(Tasks[_ShownFcstStart],Tasks[[#This Row],[_Row]]+Tasks[[#This Row],[_Descendants]])),Tasks[[#This Row],[_ShownFcstStart]]))</f>
        <v/>
      </c>
      <c r="AF141" s="62" t="str">
        <f aca="false">IF(Tasks[[#This Row],[Task Name]]="","",IF(Tasks[[#This Row],[_IsSummary]],MAX(INDEX(Tasks[_ShownFcstFinish],Tasks[[#This Row],[_Row]]+1):INDEX(Tasks[_ShownFcstFinish],Tasks[[#This Row],[_Row]]+Tasks[[#This Row],[_Descendants]])),Tasks[[#This Row],[_ShownFcstFinish]]))</f>
        <v/>
      </c>
      <c r="AG141" s="21" t="str">
        <f aca="false">""</f>
        <v/>
      </c>
      <c r="AH141" s="23"/>
      <c r="AI14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1" s="7"/>
      <c r="AK141" s="22"/>
      <c r="AL141" s="23"/>
      <c r="AM141" s="7"/>
      <c r="AN141" s="46" t="str">
        <f aca="false">IF(Tasks[[#This Row],[Task Name]]="","",IF(Tasks[[#This Row],[Finish]]&gt;=Tasks[[#This Row],[Planned Finish]],NETWORKDAYS.INTL(Tasks[[#This Row],[Planned Finish]],Tasks[[#This Row],[Finish]],WorkWeek,Holidays)-1,1-NETWORKDAYS.INTL(Tasks[[#This Row],[Finish]],Tasks[[#This Row],[Planned Finish]],WorkWeek,Holidays)))</f>
        <v/>
      </c>
      <c r="AO141" s="21" t="str">
        <f aca="false">IF(Tasks[[#This Row],[Task Name]]="","",IF(Tasks[[#This Row],[Progress]]&gt;=1,"Complete",IF(OR(N(Tasks[[#This Row],[Actual Start]])&gt;0,Tasks[[#This Row],[Progress]]&gt;0),IF(Tasks[[#This Row],[Finish Var]]&gt;0,"Behind","In Progress"),IF(Tasks[[#This Row],[Planned Start]]&lt;StatusDate,"Late Start","Not Started"))))</f>
        <v/>
      </c>
      <c r="AP141" s="21" t="str">
        <f aca="false">IF(Tasks[[#This Row],[Task Name]]="","",IF(IF(Tasks[[#This Row],[_IsSummary]],COUNTIF(INDEX(Tasks[_LeafCritical],Tasks[[#This Row],[_Row]]+1):INDEX(Tasks[_LeafCritical],Tasks[[#This Row],[_Row]]+Tasks[[#This Row],[_Descendants]]),TRUE())&gt;0,Tasks[[#This Row],[_LeafCritical]]),"Yes",""))</f>
        <v/>
      </c>
      <c r="AQ141" s="62" t="str">
        <f aca="false">IF(Tasks[[#This Row],[Task Name]]="","",IF(N(Tasks[[#This Row],[Baseline Start]])&gt;0,Tasks[[#This Row],[Baseline Start]],Tasks[[#This Row],[_CalcStart]]))</f>
        <v/>
      </c>
      <c r="AR141" s="62" t="str">
        <f aca="false">IF(Tasks[[#This Row],[Task Name]]="","",IF(N(Tasks[[#This Row],[Baseline Finish]])&gt;0,Tasks[[#This Row],[Baseline Finish]],Tasks[[#This Row],[_CalcFinish]]))</f>
        <v/>
      </c>
      <c r="AS141" s="46" t="str">
        <f aca="false">IF(Tasks[[#This Row],[Task Name]]="","",IF(Tasks[[#This Row],[Start]]&gt;=Tasks[[#This Row],[Planned Start]],NETWORKDAYS.INTL(Tasks[[#This Row],[Planned Start]],Tasks[[#This Row],[Start]],WorkWeek,Holidays)-1,1-NETWORKDAYS.INTL(Tasks[[#This Row],[Start]],Tasks[[#This Row],[Planned Start]],WorkWeek,Holidays)))</f>
        <v/>
      </c>
      <c r="AT141" s="62" t="str">
        <f aca="false">IF(Tasks[[#This Row],[Task Name]]="","",IF(Tasks[[#This Row],[_IsSummary]],MIN(INDEX(Tasks[_LeafLateStart],Tasks[[#This Row],[_Row]]+1):INDEX(Tasks[_LeafLateStart],Tasks[[#This Row],[_Row]]+Tasks[[#This Row],[_Descendants]])),Tasks[[#This Row],[_LeafLateStart]]))</f>
        <v/>
      </c>
      <c r="AU141" s="62" t="str">
        <f aca="false">IF(Tasks[[#This Row],[Task Name]]="","",IF(Tasks[[#This Row],[_IsSummary]],MAX(INDEX(Tasks[_LeafLateFinish],Tasks[[#This Row],[_Row]]+1):INDEX(Tasks[_LeafLateFinish],Tasks[[#This Row],[_Row]]+Tasks[[#This Row],[_Descendants]])),Tasks[[#This Row],[_LeafLateFinish]]))</f>
        <v/>
      </c>
      <c r="AV141" s="46" t="str">
        <f aca="false">IF(Tasks[[#This Row],[Task Name]]="","",IF(Tasks[[#This Row],[_IsSummary]],MIN(INDEX(Tasks[_LeafTotalSlack],Tasks[[#This Row],[_Row]]+1):INDEX(Tasks[_LeafTotalSlack],Tasks[[#This Row],[_Row]]+Tasks[[#This Row],[_Descendants]])),Tasks[[#This Row],[_LeafTotalSlack]]))</f>
        <v/>
      </c>
      <c r="AW14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4"/>
      <c r="BA14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t="str">
        <f aca="false">IF(Tasks[[#This Row],[Task Name]]="","",IF(Tasks[[#This Row],[_Level]]&lt;=OutlineShowLevel,"Yes","No"))</f>
        <v/>
      </c>
      <c r="BE141" s="85" t="str">
        <f aca="false">IF(Tasks[[#This Row],[Task Name]]="","",IF(Tasks[[#This Row],[_IsSummary]],SUM(INDEX(Tasks[_LeafTotalWork],Tasks[[#This Row],[_Row]]+1):INDEX(Tasks[_LeafTotalWork],Tasks[[#This Row],[_Row]]+Tasks[[#This Row],[_Descendants]])),Tasks[[#This Row],[_LeafTotalWork]]))</f>
        <v/>
      </c>
      <c r="BF141" s="23"/>
      <c r="BG14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t="str">
        <f aca="false">""</f>
        <v/>
      </c>
      <c r="BI141" s="86"/>
      <c r="BJ141" s="22"/>
      <c r="BK141" s="46" t="str">
        <f aca="false">IF(OR(Tasks[[#This Row],[Task Name]]="",Tasks[[#This Row],[Baseline Duration]]=""),"",Tasks[[#This Row],[_SpanDays]]-N(Tasks[[#This Row],[Baseline Duration]]))</f>
        <v/>
      </c>
      <c r="BL141" s="85" t="str">
        <f aca="false">IF(OR(Tasks[[#This Row],[Task Name]]="",Tasks[[#This Row],[Baseline Work]]=""),"",Tasks[[#This Row],[Work]]-N(Tasks[[#This Row],[Baseline Work]]))</f>
        <v/>
      </c>
      <c r="BM141" s="62" t="str">
        <f aca="false">IF(Tasks[[#This Row],[Task Name]]="","",IF(OR(TakeBaseline="Yes",N(Tasks[[#This Row],[Baseline Start]])=0),Tasks[[#This Row],[Start]],Tasks[[#This Row],[Baseline Start]]))</f>
        <v/>
      </c>
      <c r="BN141" s="62" t="str">
        <f aca="false">IF(Tasks[[#This Row],[Task Name]]="","",IF(OR(TakeBaseline="Yes",N(Tasks[[#This Row],[Baseline Finish]])=0),Tasks[[#This Row],[Finish]],Tasks[[#This Row],[Baseline Finish]]))</f>
        <v/>
      </c>
      <c r="BO141" s="21" t="str">
        <f aca="false">IF(Tasks[[#This Row],[Task Name]]="","",IF(OR(TakeBaseline="Yes",N(Tasks[[#This Row],[Baseline Duration]])=0),Tasks[[#This Row],[_SpanDays]],Tasks[[#This Row],[Baseline Duration]]))</f>
        <v/>
      </c>
      <c r="BP141" s="85" t="str">
        <f aca="false">IF(Tasks[[#This Row],[Task Name]]="","",IF(OR(TakeBaseline="Yes",N(Tasks[[#This Row],[Baseline Work]])=0),Tasks[[#This Row],[Work]],Tasks[[#This Row],[Baseline Work]]))</f>
        <v/>
      </c>
      <c r="BQ141" s="7"/>
      <c r="BR141" s="7"/>
      <c r="BS141" s="22"/>
      <c r="BT141" s="87"/>
      <c r="BU141" s="42" t="str">
        <f aca="false">IF(Tasks[[#This Row],[Task Name]]="","",MAX(1,N(Tasks[[#This Row],[Level]])))</f>
        <v/>
      </c>
      <c r="BV141" s="42" t="n">
        <f aca="false">ROW()-ROW(Tasks[[#Headers],[ID]])</f>
        <v>136</v>
      </c>
      <c r="BW141" s="42" t="n">
        <f aca="false">IF(OR(Tasks[[#This Row],[Task Name]]="",Tasks[[#This Row],[_Level]]&lt;=1),0,IFERROR(LOOKUP(2,1/(Tasks[[#Headers],[_Level]]:Tasks[[#This Row],[_Level]]=Tasks[[#This Row],[_Level]]-1),ROW(Tasks[[#Headers],[_Level]]:Tasks[[#This Row],[_Level]])),0))</f>
        <v>0</v>
      </c>
      <c r="BX141" s="42" t="n">
        <f aca="false">IFERROR(N(INDEX(Tasks[_Level],Tasks[[#This Row],[_Row]]+1)),0)</f>
        <v>0</v>
      </c>
      <c r="BY141" s="88" t="b">
        <f aca="false">AND(Tasks[[#This Row],[Task Name]]&lt;&gt;"",Tasks[[#This Row],[_NextLevel]]&gt;Tasks[[#This Row],[_Level]])</f>
        <v>0</v>
      </c>
      <c r="BZ141" s="42" t="n">
        <f aca="false">IF(Tasks[[#This Row],[_IsSummary]],COUNTIF(Tasks[WBS],Tasks[[#This Row],[WBS]]&amp;".*"),0)</f>
        <v>0</v>
      </c>
      <c r="CA141" s="42" t="n">
        <f aca="false">IF(AND(Tasks[[#This Row],[Task Name]]&lt;&gt;"",NOT(Tasks[[#This Row],[_IsSummary]])),1,0)</f>
        <v>0</v>
      </c>
      <c r="CB141" s="42" t="n">
        <f aca="false">IF(N(Tasks[[#This Row],[_Pred1UID]])=0,0,IFERROR(MATCH(Tasks[[#This Row],[_Pred1UID]],Tasks[UID],0),-1))</f>
        <v>0</v>
      </c>
      <c r="CC141" s="42" t="n">
        <f aca="false">IF(N(Tasks[[#This Row],[_Pred2UID]])=0,0,IFERROR(MATCH(Tasks[[#This Row],[_Pred2UID]],Tasks[UID],0),-1))</f>
        <v>0</v>
      </c>
      <c r="CD141" s="42" t="n">
        <f aca="false">IF(N(Tasks[[#This Row],[_Pred3UID]])=0,0,IFERROR(MATCH(Tasks[[#This Row],[_Pred3UID]],Tasks[UID],0),-1))</f>
        <v>0</v>
      </c>
      <c r="CE141" s="42" t="n">
        <f aca="false">IF(N(Tasks[[#This Row],[_Pred4UID]])=0,0,IFERROR(MATCH(Tasks[[#This Row],[_Pred4UID]],Tasks[UID],0),-1))</f>
        <v>0</v>
      </c>
      <c r="CF14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1" s="89" t="n">
        <f aca="false">IF(OR(Tasks[[#This Row],[_ConstraintCode]]=2,Tasks[[#This Row],[_ConstraintCode]]=3,Tasks[[#This Row],[_ConstraintCode]]=4,Tasks[[#This Row],[_ConstraintCode]]=6),Tasks[[#This Row],[_ConstraintStart]],0)</f>
        <v>0</v>
      </c>
      <c r="CI141" s="89" t="n">
        <f aca="false">IF(OR(Tasks[[#This Row],[_ConstraintCode]]=2,Tasks[[#This Row],[_ConstraintCode]]=3,Tasks[[#This Row],[_ConstraintCode]]=5,Tasks[[#This Row],[_ConstraintCode]]=7),Tasks[[#This Row],[_ConstraintStart]],2958465)</f>
        <v>2958465</v>
      </c>
      <c r="CJ14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1" s="89" t="str">
        <f aca="false">IF(NOT(Tasks[[#This Row],[_IsLeaf]]=1),"",IF(N(Tasks[[#This Row],[_Days]])&lt;=0,Tasks[[#This Row],[_LeafCalcStart]],WORKDAY.INTL(Tasks[[#This Row],[_LeafCalcStart]],Tasks[[#This Row],[_Days]]-1,WorkWeek,Holidays)))</f>
        <v/>
      </c>
      <c r="CL14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1" s="42" t="str">
        <f aca="false">IF(Tasks[[#This Row],[_Predecessors]]="","",TRIM(MID(SUBSTITUTE(SUBSTITUTE(SUBSTITUTE(UPPER(Tasks[[#This Row],[_Predecessors]]),";",",")," ",""),",",REPT(" ",99)),1,99)))</f>
        <v/>
      </c>
      <c r="CO141" s="42" t="str">
        <f aca="false">IF(Tasks[[#This Row],[_Pred1Text]]="","",IFERROR(VALUE(LEFT(Tasks[[#This Row],[_Pred1Text]],MIN(FIND("F",Tasks[[#This Row],[_Pred1Text]]&amp;"F"),FIND("S",Tasks[[#This Row],[_Pred1Text]]&amp;"S"),FIND("+",Tasks[[#This Row],[_Pred1Text]]&amp;"+"),FIND("-",Tasks[[#This Row],[_Pred1Text]]&amp;"-"))-1)),""))</f>
        <v/>
      </c>
      <c r="CP14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1" s="42" t="str">
        <f aca="false">IF(Tasks[[#This Row],[_Pred1Text]]="","",TRIM(MID(SUBSTITUTE(SUBSTITUTE(SUBSTITUTE(UPPER(Tasks[[#This Row],[_Predecessors]]),";",",")," ",""),",",REPT(" ",99)),100,99)))</f>
        <v/>
      </c>
      <c r="CS141" s="42" t="str">
        <f aca="false">IF(Tasks[[#This Row],[_Pred2Text]]="","",IFERROR(VALUE(LEFT(Tasks[[#This Row],[_Pred2Text]],MIN(FIND("F",Tasks[[#This Row],[_Pred2Text]]&amp;"F"),FIND("S",Tasks[[#This Row],[_Pred2Text]]&amp;"S"),FIND("+",Tasks[[#This Row],[_Pred2Text]]&amp;"+"),FIND("-",Tasks[[#This Row],[_Pred2Text]]&amp;"-"))-1)),""))</f>
        <v/>
      </c>
      <c r="CT14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1" s="42" t="str">
        <f aca="false">IF(Tasks[[#This Row],[_Pred2Text]]="","",TRIM(MID(SUBSTITUTE(SUBSTITUTE(SUBSTITUTE(UPPER(Tasks[[#This Row],[_Predecessors]]),";",",")," ",""),",",REPT(" ",99)),199,99)))</f>
        <v/>
      </c>
      <c r="CW141" s="42" t="str">
        <f aca="false">IF(Tasks[[#This Row],[_Pred3Text]]="","",IFERROR(VALUE(LEFT(Tasks[[#This Row],[_Pred3Text]],MIN(FIND("F",Tasks[[#This Row],[_Pred3Text]]&amp;"F"),FIND("S",Tasks[[#This Row],[_Pred3Text]]&amp;"S"),FIND("+",Tasks[[#This Row],[_Pred3Text]]&amp;"+"),FIND("-",Tasks[[#This Row],[_Pred3Text]]&amp;"-"))-1)),""))</f>
        <v/>
      </c>
      <c r="CX14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1" s="42" t="str">
        <f aca="false">IF(Tasks[[#This Row],[_Pred3Text]]="","",TRIM(MID(SUBSTITUTE(SUBSTITUTE(SUBSTITUTE(UPPER(Tasks[[#This Row],[_Predecessors]]),";",",")," ",""),",",REPT(" ",99)),298,99)))</f>
        <v/>
      </c>
      <c r="DA141" s="42" t="str">
        <f aca="false">IF(Tasks[[#This Row],[_Pred4Text]]="","",IFERROR(VALUE(LEFT(Tasks[[#This Row],[_Pred4Text]],MIN(FIND("F",Tasks[[#This Row],[_Pred4Text]]&amp;"F"),FIND("S",Tasks[[#This Row],[_Pred4Text]]&amp;"S"),FIND("+",Tasks[[#This Row],[_Pred4Text]]&amp;"+"),FIND("-",Tasks[[#This Row],[_Pred4Text]]&amp;"-"))-1)),""))</f>
        <v/>
      </c>
      <c r="DB14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1" s="42" t="str">
        <f aca="false">IF(OR(Tasks[[#This Row],[Task Name]]="",Tasks[[#This Row],[_Resources]]=""),"",TRIM(MID(SUBSTITUTE(Tasks[[#This Row],[_Resources]],",",REPT(" ",99)),1,99)))</f>
        <v/>
      </c>
      <c r="DE141" s="42" t="str">
        <f aca="false">IF(Tasks[[#This Row],[_Res1Text]]="","",TRIM(MID(SUBSTITUTE(Tasks[[#This Row],[_Resources]],",",REPT(" ",99)),100,99)))</f>
        <v/>
      </c>
      <c r="DF141" s="42" t="str">
        <f aca="false">IF(Tasks[[#This Row],[_Res2Text]]="","",TRIM(MID(SUBSTITUTE(Tasks[[#This Row],[_Resources]],",",REPT(" ",99)),199,99)))</f>
        <v/>
      </c>
      <c r="DG141" s="42" t="str">
        <f aca="false">IF(Tasks[[#This Row],[_Res3Text]]="","",TRIM(MID(SUBSTITUTE(Tasks[[#This Row],[_Resources]],",",REPT(" ",99)),298,99)))</f>
        <v/>
      </c>
      <c r="DH141" s="42" t="n">
        <f aca="false">IF(Tasks[[#This Row],[_Res1Text]]="",0,IFERROR(MATCH(TRIM(LEFT(Tasks[[#This Row],[_Res1Text]],FIND("[",Tasks[[#This Row],[_Res1Text]]&amp;"[")-1)),res_Name,0),IFERROR(MATCH(TRIM(LEFT(Tasks[[#This Row],[_Res1Text]],FIND("[",Tasks[[#This Row],[_Res1Text]]&amp;"[")-1)),res_Initials,0),0)))</f>
        <v>0</v>
      </c>
      <c r="DI141" s="42" t="n">
        <f aca="false">IF(Tasks[[#This Row],[_Res2Text]]="",0,IFERROR(MATCH(TRIM(LEFT(Tasks[[#This Row],[_Res2Text]],FIND("[",Tasks[[#This Row],[_Res2Text]]&amp;"[")-1)),res_Name,0),IFERROR(MATCH(TRIM(LEFT(Tasks[[#This Row],[_Res2Text]],FIND("[",Tasks[[#This Row],[_Res2Text]]&amp;"[")-1)),res_Initials,0),0)))</f>
        <v>0</v>
      </c>
      <c r="DJ141" s="42" t="n">
        <f aca="false">IF(Tasks[[#This Row],[_Res3Text]]="",0,IFERROR(MATCH(TRIM(LEFT(Tasks[[#This Row],[_Res3Text]],FIND("[",Tasks[[#This Row],[_Res3Text]]&amp;"[")-1)),res_Name,0),IFERROR(MATCH(TRIM(LEFT(Tasks[[#This Row],[_Res3Text]],FIND("[",Tasks[[#This Row],[_Res3Text]]&amp;"[")-1)),res_Initials,0),0)))</f>
        <v>0</v>
      </c>
      <c r="DK141" s="42" t="n">
        <f aca="false">IF(Tasks[[#This Row],[_Res4Text]]="",0,IFERROR(MATCH(TRIM(LEFT(Tasks[[#This Row],[_Res4Text]],FIND("[",Tasks[[#This Row],[_Res4Text]]&amp;"[")-1)),res_Name,0),IFERROR(MATCH(TRIM(LEFT(Tasks[[#This Row],[_Res4Text]],FIND("[",Tasks[[#This Row],[_Res4Text]]&amp;"[")-1)),res_Initials,0),0)))</f>
        <v>0</v>
      </c>
      <c r="DL141" s="42" t="str">
        <f aca="false">IF(Tasks[[#This Row],[_Res1Text]]="","",IF(Tasks[[#This Row],[_Res1Row]]&gt;0,INDEX(res_Name,Tasks[[#This Row],[_Res1Row]]),TRIM(LEFT(Tasks[[#This Row],[_Res1Text]],FIND("[",Tasks[[#This Row],[_Res1Text]]&amp;"[")-1))))</f>
        <v/>
      </c>
      <c r="DM14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1" s="42" t="n">
        <f aca="false">IF(NOT(Tasks[[#This Row],[_IsLeaf]]=1),0,(Tasks[[#This Row],[_Resource1]]&lt;&gt;"")+(Tasks[[#This Row],[_Res2]]&lt;&gt;"")+(Tasks[[#This Row],[_Res3]]&lt;&gt;"")+(Tasks[[#This Row],[_Res4]]&lt;&gt;""))</f>
        <v>0</v>
      </c>
      <c r="DO141" s="42" t="str">
        <f aca="false">IF(Tasks[[#This Row],[_Res2Text]]="","",IF(Tasks[[#This Row],[_Res2Row]]&gt;0,INDEX(res_Name,Tasks[[#This Row],[_Res2Row]]),TRIM(LEFT(Tasks[[#This Row],[_Res2Text]],FIND("[",Tasks[[#This Row],[_Res2Text]]&amp;"[")-1))))</f>
        <v/>
      </c>
      <c r="DP14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1" s="42" t="n">
        <f aca="false">IF(OR(NOT(Tasks[[#This Row],[_IsLeaf]]=1),Tasks[[#This Row],[_Res2Row]]=0),0,N(Tasks[[#This Row],[_Days]])*HoursPerDay*IF(Tasks[[#This Row],[_Res2Units]]="",DefaultUnits,Tasks[[#This Row],[_Res2Units]]))</f>
        <v>0</v>
      </c>
      <c r="DR141" s="42" t="n">
        <f aca="false">IF(AND(AND(Tasks[[#This Row],[_IsLeaf]]=1,Tasks[[#This Row],[_LeafTotalWork]]&gt;0),Tasks[[#This Row],[_Res2Work]]&gt;0),Tasks[[#This Row],[_Res2Work]]/(Tasks[[#This Row],[_FinishWorkday]]-Tasks[[#This Row],[_StartWorkday]]+1),0)</f>
        <v>0</v>
      </c>
      <c r="DS141" s="42" t="n">
        <f aca="false">Tasks[[#This Row],[_Res2WorkPerWD]]*MAX(0,Tasks[[#This Row],[_StartWorkday]]-1)</f>
        <v>0</v>
      </c>
      <c r="DT141" s="42" t="n">
        <f aca="false">Tasks[[#This Row],[_Res2Work]]*Tasks[[#This Row],[_LeafProgress]]</f>
        <v>0</v>
      </c>
      <c r="DU141" s="42" t="str">
        <f aca="false">IF(Tasks[[#This Row],[_Res3Text]]="","",IF(Tasks[[#This Row],[_Res3Row]]&gt;0,INDEX(res_Name,Tasks[[#This Row],[_Res3Row]]),TRIM(LEFT(Tasks[[#This Row],[_Res3Text]],FIND("[",Tasks[[#This Row],[_Res3Text]]&amp;"[")-1))))</f>
        <v/>
      </c>
      <c r="DV14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1" s="42" t="n">
        <f aca="false">IF(OR(NOT(Tasks[[#This Row],[_IsLeaf]]=1),Tasks[[#This Row],[_Res3Row]]=0),0,N(Tasks[[#This Row],[_Days]])*HoursPerDay*IF(Tasks[[#This Row],[_Res3Units]]="",DefaultUnits,Tasks[[#This Row],[_Res3Units]]))</f>
        <v>0</v>
      </c>
      <c r="DX141" s="42" t="n">
        <f aca="false">IF(AND(AND(Tasks[[#This Row],[_IsLeaf]]=1,Tasks[[#This Row],[_LeafTotalWork]]&gt;0),Tasks[[#This Row],[_Res3Work]]&gt;0),Tasks[[#This Row],[_Res3Work]]/(Tasks[[#This Row],[_FinishWorkday]]-Tasks[[#This Row],[_StartWorkday]]+1),0)</f>
        <v>0</v>
      </c>
      <c r="DY141" s="42" t="n">
        <f aca="false">Tasks[[#This Row],[_Res3WorkPerWD]]*MAX(0,Tasks[[#This Row],[_StartWorkday]]-1)</f>
        <v>0</v>
      </c>
      <c r="DZ141" s="42" t="n">
        <f aca="false">Tasks[[#This Row],[_Res3Work]]*Tasks[[#This Row],[_LeafProgress]]</f>
        <v>0</v>
      </c>
      <c r="EA141" s="42" t="str">
        <f aca="false">IF(Tasks[[#This Row],[_Res4Text]]="","",IF(Tasks[[#This Row],[_Res4Row]]&gt;0,INDEX(res_Name,Tasks[[#This Row],[_Res4Row]]),TRIM(LEFT(Tasks[[#This Row],[_Res4Text]],FIND("[",Tasks[[#This Row],[_Res4Text]]&amp;"[")-1))))</f>
        <v/>
      </c>
      <c r="EB14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1" s="42" t="n">
        <f aca="false">IF(OR(NOT(Tasks[[#This Row],[_IsLeaf]]=1),Tasks[[#This Row],[_Res4Row]]=0),0,N(Tasks[[#This Row],[_Days]])*HoursPerDay*IF(Tasks[[#This Row],[_Res4Units]]="",DefaultUnits,Tasks[[#This Row],[_Res4Units]]))</f>
        <v>0</v>
      </c>
      <c r="ED141" s="42" t="n">
        <f aca="false">IF(AND(AND(Tasks[[#This Row],[_IsLeaf]]=1,Tasks[[#This Row],[_LeafTotalWork]]&gt;0),Tasks[[#This Row],[_Res4Work]]&gt;0),Tasks[[#This Row],[_Res4Work]]/(Tasks[[#This Row],[_FinishWorkday]]-Tasks[[#This Row],[_StartWorkday]]+1),0)</f>
        <v>0</v>
      </c>
      <c r="EE141" s="42" t="n">
        <f aca="false">Tasks[[#This Row],[_Res4WorkPerWD]]*MAX(0,Tasks[[#This Row],[_StartWorkday]]-1)</f>
        <v>0</v>
      </c>
      <c r="EF141" s="42" t="n">
        <f aca="false">Tasks[[#This Row],[_Res4Work]]*Tasks[[#This Row],[_LeafProgress]]</f>
        <v>0</v>
      </c>
      <c r="EG141" s="42" t="n">
        <f aca="false">IF(ISNUMBER(Tasks[[#This Row],[% Complete]]),Tasks[[#This Row],[% Complete]],IF(Tasks[[#This Row],[Stage]]="",0,IFERROR(INDEX(stg_Pct,MATCH(Tasks[[#This Row],[Stage]],stg_Name,0)),0)))</f>
        <v>0</v>
      </c>
      <c r="EH141" s="42" t="n">
        <f aca="false">IF(NOT(Tasks[[#This Row],[_IsLeaf]]=1),0,IF(N(Tasks[[#This Row],[Actual Finish]])&gt;0,1,MIN(1,Tasks[[#This Row],[_Pct]])))</f>
        <v>0</v>
      </c>
      <c r="EI141" s="42" t="n">
        <f aca="false">IF(OR(NOT(Tasks[[#This Row],[_IsLeaf]]=1),Tasks[[#This Row],[_Res1Row]]=0),0,N(Tasks[[#This Row],[_Days]])*HoursPerDay*IF(Tasks[[#This Row],[_Units1]]="",DefaultUnits,Tasks[[#This Row],[_Units1]]))</f>
        <v>0</v>
      </c>
      <c r="EJ141" s="42" t="n">
        <f aca="false">Tasks[[#This Row],[_LeafWork]]+Tasks[[#This Row],[_Res2Work]]+Tasks[[#This Row],[_Res3Work]]+Tasks[[#This Row],[_Res4Work]]</f>
        <v>0</v>
      </c>
      <c r="EK14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1" s="42" t="n">
        <f aca="false">IF(NOT(Tasks[[#This Row],[_IsLeaf]]=1),0,MAX(_xlfn.MAXIFS(Tasks[_Row],Tasks[_Pred1UID],Tasks[[#This Row],[UID]]),_xlfn.MAXIFS(Tasks[_Row],Tasks[_Pred2UID],Tasks[[#This Row],[UID]]),_xlfn.MAXIFS(Tasks[_Row],Tasks[_Pred3UID],Tasks[[#This Row],[UID]]),_xlfn.MAXIFS(Tasks[_Row],Tasks[_Pred4UID],Tasks[[#This Row],[UID]])))</f>
        <v>0</v>
      </c>
      <c r="ET14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1" s="89" t="str">
        <f aca="false">IF(NOT(Tasks[[#This Row],[_IsLeaf]]=1),"",IF(N(Tasks[[#This Row],[_Days]])&lt;=0,Tasks[[#This Row],[_LeafLateFinish]],WORKDAY.INTL(Tasks[[#This Row],[_LeafLateFinish]],-(Tasks[[#This Row],[_Days]]-1),WorkWeek,Holidays)))</f>
        <v/>
      </c>
      <c r="EW14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1" s="88" t="b">
        <f aca="false">AND(Tasks[[#This Row],[_IsLeaf]]=1,Tasks[[#This Row],[_LeafProgress]]&lt;1,N(Tasks[[#This Row],[_LeafTotalSlack]])&lt;=CriticalSlackDays)</f>
        <v>0</v>
      </c>
      <c r="EY141" s="42" t="n">
        <f aca="false">IF(AND(Tasks[[#This Row],[_IsLeaf]]=1,Tasks[[#This Row],[_ConstraintCode]]=1,Tasks[[#This Row],[Mode]]&lt;&gt;"Manual",N(Tasks[[#This Row],[Actual Start]])=0),MAX(0,N(Tasks[[#This Row],[Free Slack]])),0)</f>
        <v>0</v>
      </c>
      <c r="EZ141" s="89" t="str">
        <f aca="false">IF(NOT(Tasks[[#This Row],[_IsLeaf]]=1),"",IF(Tasks[[#This Row],[_AlapShift]]=0,Tasks[[#This Row],[_LeafCalcStart]],WORKDAY.INTL(Tasks[[#This Row],[_LeafCalcStart]],Tasks[[#This Row],[_AlapShift]],WorkWeek,Holidays)))</f>
        <v/>
      </c>
      <c r="FA141" s="89" t="str">
        <f aca="false">IF(NOT(Tasks[[#This Row],[_IsLeaf]]=1),"",IF(Tasks[[#This Row],[_AlapShift]]=0,Tasks[[#This Row],[_LeafCalcFinish]],WORKDAY.INTL(Tasks[[#This Row],[_LeafCalcFinish]],Tasks[[#This Row],[_AlapShift]],WorkWeek,Holidays)))</f>
        <v/>
      </c>
      <c r="FB141" s="89" t="str">
        <f aca="false">IF(NOT(Tasks[[#This Row],[_IsLeaf]]=1),"",IF(Tasks[[#This Row],[_AlapShift]]=0,Tasks[[#This Row],[_LeafFcstStart]],WORKDAY.INTL(Tasks[[#This Row],[_LeafFcstStart]],Tasks[[#This Row],[_AlapShift]],WorkWeek,Holidays)))</f>
        <v/>
      </c>
      <c r="FC141" s="89" t="str">
        <f aca="false">IF(NOT(Tasks[[#This Row],[_IsLeaf]]=1),"",IF(Tasks[[#This Row],[_AlapShift]]=0,Tasks[[#This Row],[_LeafFcstFinish]],WORKDAY.INTL(Tasks[[#This Row],[_LeafFcstFinish]],Tasks[[#This Row],[_AlapShift]],WorkWeek,Holidays)))</f>
        <v/>
      </c>
      <c r="FD141" s="89" t="str">
        <f aca="false">IF(Tasks[[#This Row],[Task Name]]="","",IF(Tasks[[#This Row],[_IsSummary]],MIN(INDEX(Tasks[_ShownCalcStart],Tasks[[#This Row],[_Row]]+1):INDEX(Tasks[_ShownCalcStart],Tasks[[#This Row],[_Row]]+Tasks[[#This Row],[_Descendants]])),Tasks[[#This Row],[_ShownCalcStart]]))</f>
        <v/>
      </c>
      <c r="FE141" s="89" t="str">
        <f aca="false">IF(Tasks[[#This Row],[Task Name]]="","",IF(Tasks[[#This Row],[_IsSummary]],MAX(INDEX(Tasks[_ShownCalcFinish],Tasks[[#This Row],[_Row]]+1):INDEX(Tasks[_ShownCalcFinish],Tasks[[#This Row],[_Row]]+Tasks[[#This Row],[_Descendants]])),Tasks[[#This Row],[_ShownCalcFinish]]))</f>
        <v/>
      </c>
      <c r="FF14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1" s="42" t="n">
        <f aca="false">IF(AND(Tasks[[#This Row],[_IsLeaf]]=1,Tasks[[#This Row],[_LeafTotalWork]]&gt;0),NETWORKDAYS.INTL(ProjectStart,Tasks[[#This Row],[_ShownFcstStart]],WorkWeek,Holidays),0)</f>
        <v>0</v>
      </c>
      <c r="FS141" s="42" t="n">
        <f aca="false">IF(AND(Tasks[[#This Row],[_IsLeaf]]=1,Tasks[[#This Row],[_LeafTotalWork]]&gt;0),MAX(Tasks[[#This Row],[_StartWorkday]],NETWORKDAYS.INTL(ProjectStart,Tasks[[#This Row],[_ShownFcstFinish]],WorkWeek,Holidays)),0)</f>
        <v>0</v>
      </c>
      <c r="FT141" s="42" t="n">
        <f aca="false">IF(AND(Tasks[[#This Row],[_IsLeaf]]=1,Tasks[[#This Row],[_LeafTotalWork]]&gt;0),Tasks[[#This Row],[_LeafWork]]/(Tasks[[#This Row],[_FinishWorkday]]-Tasks[[#This Row],[_StartWorkday]]+1),0)</f>
        <v>0</v>
      </c>
      <c r="FU141" s="42" t="n">
        <f aca="false">Tasks[[#This Row],[_WorkPerWorkday]]*(Tasks[[#This Row],[_StartWorkday]]-1)</f>
        <v>-0</v>
      </c>
      <c r="FV141" s="42" t="n">
        <f aca="false">IF(Tasks[[#This Row],[_IsLeaf]]=1,MAX(N(Tasks[[#This Row],[_Days]]),0.1),0)</f>
        <v>0</v>
      </c>
      <c r="FW141" s="42" t="n">
        <f aca="false">Tasks[[#This Row],[_WeightDur]]*Tasks[[#This Row],[_LeafProgress]]</f>
        <v>0</v>
      </c>
      <c r="FX141" s="42" t="n">
        <f aca="false">Tasks[[#This Row],[_WeightDur]]*Tasks[[#This Row],[_PlannedPct]]</f>
        <v>0</v>
      </c>
      <c r="FY14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1" s="42" t="str">
        <f aca="false">IF(AND(Tasks[[#This Row],[_IsLeaf]]=1,N(Tasks[[#This Row],[_Days]])=0,Tasks[[#This Row],[_LeafProgress]]&lt;1),Tasks[[#This Row],[_ShownFcstFinish]]+Tasks[[#This Row],[_Row]]/100000,"")</f>
        <v/>
      </c>
      <c r="GA14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1" s="42" t="str">
        <f aca="false">IF(Tasks[[#This Row],[Task Name]]="","",LEFT(Tasks[[#This Row],[WBS]],FIND(".",Tasks[[#This Row],[WBS]]&amp;".")-1))</f>
        <v/>
      </c>
      <c r="GC141" s="42" t="str">
        <f aca="false">IF(AND(Tasks[[#This Row],[Task Name]]&lt;&gt;"",Tasks[[#This Row],[_Level]]=1),Tasks[[#This Row],[_Row]],"")</f>
        <v/>
      </c>
      <c r="GD141" s="42" t="str">
        <f aca="false">IF(AND(Tasks[[#This Row],[_IsLeaf]]=1,N(Tasks[[#This Row],[_Days]])=0),Tasks[[#This Row],[Planned Finish]]+Tasks[[#This Row],[_Row]]/100000,"")</f>
        <v/>
      </c>
      <c r="GE141" s="42" t="str">
        <f aca="false">IF(AND(Tasks[[#This Row],[_IsLeaf]]=1,Tasks[[#This Row],[_LeafProgress]]&lt;1,OR(N(Tasks[[#This Row],[Finish Var]])&gt;0,Tasks[[#This Row],[Status]]="Late Start")),MAX(0,Tasks[[#This Row],[Finish Var]])+1-Tasks[[#This Row],[_Row]]/1000000,"")</f>
        <v/>
      </c>
      <c r="GF141" s="42" t="str">
        <f aca="false">IF(AND(Tasks[[#This Row],[_IsLeaf]]=1,N(Tasks[[#This Row],[Actual Start]])=0,Tasks[[#This Row],[_ShownFcstStart]]&gt;=StatusDate,Tasks[[#This Row],[_ShownFcstStart]]&lt;=LookaheadEnd),Tasks[[#This Row],[_ShownFcstStart]]+Tasks[[#This Row],[_Row]]/100000,"")</f>
        <v/>
      </c>
      <c r="GG141" s="42" t="str">
        <f aca="false">IF(AND(Tasks[[#This Row],[_IsLeaf]]=1,Tasks[[#This Row],[_LeafProgress]]&lt;1,Tasks[[#This Row],[_ShownFcstFinish]]&gt;=StatusDate,Tasks[[#This Row],[_ShownFcstFinish]]&lt;=LookaheadEnd),Tasks[[#This Row],[_ShownFcstFinish]]+Tasks[[#This Row],[_Row]]/100000,"")</f>
        <v/>
      </c>
      <c r="GH141" s="42" t="str">
        <f aca="false">IF(Tasks[[#This Row],[_LeafCritical]],Tasks[[#This Row],[_ShownFcstStart]]+Tasks[[#This Row],[_Row]]/100000,"")</f>
        <v/>
      </c>
      <c r="GI141" s="42" t="n">
        <f aca="false">Tasks[[#This Row],[_LeafWork]]*Tasks[[#This Row],[_LeafProgress]]</f>
        <v>0</v>
      </c>
      <c r="GJ141" s="89" t="str">
        <f aca="false">IF(AND(Tasks[[#This Row],[_IsLeaf]]=1,Tasks[[#This Row],[_LeafProgress]]&gt;=1),IF(N(Tasks[[#This Row],[Actual Finish]])&gt;0,Tasks[[#This Row],[Actual Finish]],Tasks[[#This Row],[_ShownFcstFinish]]),"")</f>
        <v/>
      </c>
      <c r="GK141" s="42" t="n">
        <f aca="false">IF(Tasks[[#This Row],[_IsLeaf]]=1,N(Tasks[[#This Row],[Story Points]]),0)</f>
        <v>0</v>
      </c>
      <c r="GL141" s="42" t="str">
        <f aca="false">""</f>
        <v/>
      </c>
      <c r="GM141" s="88" t="b">
        <f aca="false">IF(Tasks[[#This Row],[Task Name]]="",FALSE(),AND(Tasks[[#This Row],[_IsLeaf]]=1,N(Tasks[[#This Row],[_Days]])=0))</f>
        <v>0</v>
      </c>
      <c r="GN141" s="89" t="n">
        <f aca="false">IF(Tasks[[#This Row],[Task Name]]="",0,IF(AND(Tasks[[#This Row],[_IsLeaf]]=1,NOT(Tasks[[#This Row],[_IsMilestone]]),N(Tasks[[#This Row],[Progress]])&gt;0),Tasks[[#This Row],[Start]],0))</f>
        <v>0</v>
      </c>
      <c r="GO141" s="89" t="n">
        <f aca="false">IF(Tasks[[#This Row],[_DoneFrom]]=0,0,IF(Tasks[[#This Row],[Progress]]&gt;=1,Tasks[[#This Row],[Finish]],MAX(Tasks[[#This Row],[_DoneFrom]],Tasks[[#This Row],[Start]]+ROUND((Tasks[[#This Row],[Finish]]-Tasks[[#This Row],[Start]]+1)*Tasks[[#This Row],[Progress]],0)-1)))</f>
        <v>0</v>
      </c>
      <c r="GP141" s="89" t="n">
        <f aca="false">IF(Tasks[[#This Row],[Task Name]]="",0,IF(OR(NOT(Tasks[[#This Row],[_IsLeaf]]=1),Tasks[[#This Row],[_IsMilestone]],N(Tasks[[#This Row],[Progress]])&gt;=1),0,IF(Tasks[[#This Row],[_DoneTo]]&gt;0,Tasks[[#This Row],[_DoneTo]]+1,Tasks[[#This Row],[Start]])))</f>
        <v>0</v>
      </c>
      <c r="GQ141" s="89" t="n">
        <f aca="false">IF(Tasks[[#This Row],[_RemFrom]]=0,0,Tasks[[#This Row],[Finish]])</f>
        <v>0</v>
      </c>
      <c r="GR141" s="88" t="b">
        <f aca="false">IF(Tasks[[#This Row],[Task Name]]="",FALSE(),OR(NOT(BaselineSet),N(Tasks[[#This Row],[Baseline Start]])&gt;0))</f>
        <v>0</v>
      </c>
      <c r="GS14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1" s="90" t="str">
        <f aca="false">IF(Tasks[[#This Row],[_IsLeaf]]=1,Tasks[[#This Row],[_Row]],"")</f>
        <v/>
      </c>
      <c r="GW141" s="90" t="str">
        <f aca="false">IFERROR(INDEX(Tasks[UID],SMALL(Tasks[_PickKey],Tasks[[#This Row],[_Row]]))&amp;" "&amp;INDEX(Tasks[Task Name],SMALL(Tasks[_PickKey],Tasks[[#This Row],[_Row]])),"")</f>
        <v/>
      </c>
      <c r="GX141" s="42" t="str">
        <f aca="false">IF(Tasks[[#This Row],[Task Name]]="","",IF(Tasks[[#This Row],[_IsSummary]],NETWORKDAYS.INTL(Tasks[[#This Row],[Start]],Tasks[[#This Row],[Finish]],WorkWeek,Holidays),N(Tasks[[#This Row],[_Days]])))</f>
        <v/>
      </c>
    </row>
    <row r="142" customFormat="false" ht="15" hidden="false" customHeight="false" outlineLevel="0" collapsed="false">
      <c r="A142" s="21" t="str">
        <f aca="false">IF(Tasks[[#This Row],[Task Name]]="","",COUNTA(Tasks[[#Headers],[Task Name]]:Tasks[[#This Row],[Task Name]])-1)</f>
        <v/>
      </c>
      <c r="B142" s="22" t="n">
        <v>150</v>
      </c>
      <c r="C142" s="22"/>
      <c r="D142" s="23"/>
      <c r="E142" s="22"/>
      <c r="F142" s="23"/>
      <c r="G142" s="22"/>
      <c r="H142" s="22"/>
      <c r="I142" s="23"/>
      <c r="J142" s="22"/>
      <c r="K142" s="22"/>
      <c r="L142" s="23"/>
      <c r="M142" s="22"/>
      <c r="N142" s="22"/>
      <c r="O142" s="23"/>
      <c r="P142" s="22"/>
      <c r="Q142" s="22"/>
      <c r="R142" s="23"/>
      <c r="S142" s="23"/>
      <c r="T142" s="83"/>
      <c r="U142" s="23"/>
      <c r="V142" s="83"/>
      <c r="W142" s="23"/>
      <c r="X142" s="83"/>
      <c r="Y142" s="23"/>
      <c r="Z142" s="83"/>
      <c r="AA142" s="23"/>
      <c r="AB142" s="23"/>
      <c r="AC142" s="7"/>
      <c r="AD142" s="7"/>
      <c r="AE142" s="62" t="str">
        <f aca="false">IF(Tasks[[#This Row],[Task Name]]="","",IF(Tasks[[#This Row],[_IsSummary]],MIN(INDEX(Tasks[_ShownFcstStart],Tasks[[#This Row],[_Row]]+1):INDEX(Tasks[_ShownFcstStart],Tasks[[#This Row],[_Row]]+Tasks[[#This Row],[_Descendants]])),Tasks[[#This Row],[_ShownFcstStart]]))</f>
        <v/>
      </c>
      <c r="AF142" s="62" t="str">
        <f aca="false">IF(Tasks[[#This Row],[Task Name]]="","",IF(Tasks[[#This Row],[_IsSummary]],MAX(INDEX(Tasks[_ShownFcstFinish],Tasks[[#This Row],[_Row]]+1):INDEX(Tasks[_ShownFcstFinish],Tasks[[#This Row],[_Row]]+Tasks[[#This Row],[_Descendants]])),Tasks[[#This Row],[_ShownFcstFinish]]))</f>
        <v/>
      </c>
      <c r="AG142" s="21" t="str">
        <f aca="false">""</f>
        <v/>
      </c>
      <c r="AH142" s="23"/>
      <c r="AI14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2" s="7"/>
      <c r="AK142" s="22"/>
      <c r="AL142" s="23"/>
      <c r="AM142" s="7"/>
      <c r="AN142" s="46" t="str">
        <f aca="false">IF(Tasks[[#This Row],[Task Name]]="","",IF(Tasks[[#This Row],[Finish]]&gt;=Tasks[[#This Row],[Planned Finish]],NETWORKDAYS.INTL(Tasks[[#This Row],[Planned Finish]],Tasks[[#This Row],[Finish]],WorkWeek,Holidays)-1,1-NETWORKDAYS.INTL(Tasks[[#This Row],[Finish]],Tasks[[#This Row],[Planned Finish]],WorkWeek,Holidays)))</f>
        <v/>
      </c>
      <c r="AO142" s="21" t="str">
        <f aca="false">IF(Tasks[[#This Row],[Task Name]]="","",IF(Tasks[[#This Row],[Progress]]&gt;=1,"Complete",IF(OR(N(Tasks[[#This Row],[Actual Start]])&gt;0,Tasks[[#This Row],[Progress]]&gt;0),IF(Tasks[[#This Row],[Finish Var]]&gt;0,"Behind","In Progress"),IF(Tasks[[#This Row],[Planned Start]]&lt;StatusDate,"Late Start","Not Started"))))</f>
        <v/>
      </c>
      <c r="AP142" s="21" t="str">
        <f aca="false">IF(Tasks[[#This Row],[Task Name]]="","",IF(IF(Tasks[[#This Row],[_IsSummary]],COUNTIF(INDEX(Tasks[_LeafCritical],Tasks[[#This Row],[_Row]]+1):INDEX(Tasks[_LeafCritical],Tasks[[#This Row],[_Row]]+Tasks[[#This Row],[_Descendants]]),TRUE())&gt;0,Tasks[[#This Row],[_LeafCritical]]),"Yes",""))</f>
        <v/>
      </c>
      <c r="AQ142" s="62" t="str">
        <f aca="false">IF(Tasks[[#This Row],[Task Name]]="","",IF(N(Tasks[[#This Row],[Baseline Start]])&gt;0,Tasks[[#This Row],[Baseline Start]],Tasks[[#This Row],[_CalcStart]]))</f>
        <v/>
      </c>
      <c r="AR142" s="62" t="str">
        <f aca="false">IF(Tasks[[#This Row],[Task Name]]="","",IF(N(Tasks[[#This Row],[Baseline Finish]])&gt;0,Tasks[[#This Row],[Baseline Finish]],Tasks[[#This Row],[_CalcFinish]]))</f>
        <v/>
      </c>
      <c r="AS142" s="46" t="str">
        <f aca="false">IF(Tasks[[#This Row],[Task Name]]="","",IF(Tasks[[#This Row],[Start]]&gt;=Tasks[[#This Row],[Planned Start]],NETWORKDAYS.INTL(Tasks[[#This Row],[Planned Start]],Tasks[[#This Row],[Start]],WorkWeek,Holidays)-1,1-NETWORKDAYS.INTL(Tasks[[#This Row],[Start]],Tasks[[#This Row],[Planned Start]],WorkWeek,Holidays)))</f>
        <v/>
      </c>
      <c r="AT142" s="62" t="str">
        <f aca="false">IF(Tasks[[#This Row],[Task Name]]="","",IF(Tasks[[#This Row],[_IsSummary]],MIN(INDEX(Tasks[_LeafLateStart],Tasks[[#This Row],[_Row]]+1):INDEX(Tasks[_LeafLateStart],Tasks[[#This Row],[_Row]]+Tasks[[#This Row],[_Descendants]])),Tasks[[#This Row],[_LeafLateStart]]))</f>
        <v/>
      </c>
      <c r="AU142" s="62" t="str">
        <f aca="false">IF(Tasks[[#This Row],[Task Name]]="","",IF(Tasks[[#This Row],[_IsSummary]],MAX(INDEX(Tasks[_LeafLateFinish],Tasks[[#This Row],[_Row]]+1):INDEX(Tasks[_LeafLateFinish],Tasks[[#This Row],[_Row]]+Tasks[[#This Row],[_Descendants]])),Tasks[[#This Row],[_LeafLateFinish]]))</f>
        <v/>
      </c>
      <c r="AV142" s="46" t="str">
        <f aca="false">IF(Tasks[[#This Row],[Task Name]]="","",IF(Tasks[[#This Row],[_IsSummary]],MIN(INDEX(Tasks[_LeafTotalSlack],Tasks[[#This Row],[_Row]]+1):INDEX(Tasks[_LeafTotalSlack],Tasks[[#This Row],[_Row]]+Tasks[[#This Row],[_Descendants]])),Tasks[[#This Row],[_LeafTotalSlack]]))</f>
        <v/>
      </c>
      <c r="AW14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4"/>
      <c r="BA14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t="str">
        <f aca="false">IF(Tasks[[#This Row],[Task Name]]="","",IF(Tasks[[#This Row],[_Level]]&lt;=OutlineShowLevel,"Yes","No"))</f>
        <v/>
      </c>
      <c r="BE142" s="85" t="str">
        <f aca="false">IF(Tasks[[#This Row],[Task Name]]="","",IF(Tasks[[#This Row],[_IsSummary]],SUM(INDEX(Tasks[_LeafTotalWork],Tasks[[#This Row],[_Row]]+1):INDEX(Tasks[_LeafTotalWork],Tasks[[#This Row],[_Row]]+Tasks[[#This Row],[_Descendants]])),Tasks[[#This Row],[_LeafTotalWork]]))</f>
        <v/>
      </c>
      <c r="BF142" s="23"/>
      <c r="BG14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t="str">
        <f aca="false">""</f>
        <v/>
      </c>
      <c r="BI142" s="86"/>
      <c r="BJ142" s="22"/>
      <c r="BK142" s="46" t="str">
        <f aca="false">IF(OR(Tasks[[#This Row],[Task Name]]="",Tasks[[#This Row],[Baseline Duration]]=""),"",Tasks[[#This Row],[_SpanDays]]-N(Tasks[[#This Row],[Baseline Duration]]))</f>
        <v/>
      </c>
      <c r="BL142" s="85" t="str">
        <f aca="false">IF(OR(Tasks[[#This Row],[Task Name]]="",Tasks[[#This Row],[Baseline Work]]=""),"",Tasks[[#This Row],[Work]]-N(Tasks[[#This Row],[Baseline Work]]))</f>
        <v/>
      </c>
      <c r="BM142" s="62" t="str">
        <f aca="false">IF(Tasks[[#This Row],[Task Name]]="","",IF(OR(TakeBaseline="Yes",N(Tasks[[#This Row],[Baseline Start]])=0),Tasks[[#This Row],[Start]],Tasks[[#This Row],[Baseline Start]]))</f>
        <v/>
      </c>
      <c r="BN142" s="62" t="str">
        <f aca="false">IF(Tasks[[#This Row],[Task Name]]="","",IF(OR(TakeBaseline="Yes",N(Tasks[[#This Row],[Baseline Finish]])=0),Tasks[[#This Row],[Finish]],Tasks[[#This Row],[Baseline Finish]]))</f>
        <v/>
      </c>
      <c r="BO142" s="21" t="str">
        <f aca="false">IF(Tasks[[#This Row],[Task Name]]="","",IF(OR(TakeBaseline="Yes",N(Tasks[[#This Row],[Baseline Duration]])=0),Tasks[[#This Row],[_SpanDays]],Tasks[[#This Row],[Baseline Duration]]))</f>
        <v/>
      </c>
      <c r="BP142" s="85" t="str">
        <f aca="false">IF(Tasks[[#This Row],[Task Name]]="","",IF(OR(TakeBaseline="Yes",N(Tasks[[#This Row],[Baseline Work]])=0),Tasks[[#This Row],[Work]],Tasks[[#This Row],[Baseline Work]]))</f>
        <v/>
      </c>
      <c r="BQ142" s="7"/>
      <c r="BR142" s="7"/>
      <c r="BS142" s="22"/>
      <c r="BT142" s="87"/>
      <c r="BU142" s="42" t="str">
        <f aca="false">IF(Tasks[[#This Row],[Task Name]]="","",MAX(1,N(Tasks[[#This Row],[Level]])))</f>
        <v/>
      </c>
      <c r="BV142" s="42" t="n">
        <f aca="false">ROW()-ROW(Tasks[[#Headers],[ID]])</f>
        <v>137</v>
      </c>
      <c r="BW142" s="42" t="n">
        <f aca="false">IF(OR(Tasks[[#This Row],[Task Name]]="",Tasks[[#This Row],[_Level]]&lt;=1),0,IFERROR(LOOKUP(2,1/(Tasks[[#Headers],[_Level]]:Tasks[[#This Row],[_Level]]=Tasks[[#This Row],[_Level]]-1),ROW(Tasks[[#Headers],[_Level]]:Tasks[[#This Row],[_Level]])),0))</f>
        <v>0</v>
      </c>
      <c r="BX142" s="42" t="n">
        <f aca="false">IFERROR(N(INDEX(Tasks[_Level],Tasks[[#This Row],[_Row]]+1)),0)</f>
        <v>0</v>
      </c>
      <c r="BY142" s="88" t="b">
        <f aca="false">AND(Tasks[[#This Row],[Task Name]]&lt;&gt;"",Tasks[[#This Row],[_NextLevel]]&gt;Tasks[[#This Row],[_Level]])</f>
        <v>0</v>
      </c>
      <c r="BZ142" s="42" t="n">
        <f aca="false">IF(Tasks[[#This Row],[_IsSummary]],COUNTIF(Tasks[WBS],Tasks[[#This Row],[WBS]]&amp;".*"),0)</f>
        <v>0</v>
      </c>
      <c r="CA142" s="42" t="n">
        <f aca="false">IF(AND(Tasks[[#This Row],[Task Name]]&lt;&gt;"",NOT(Tasks[[#This Row],[_IsSummary]])),1,0)</f>
        <v>0</v>
      </c>
      <c r="CB142" s="42" t="n">
        <f aca="false">IF(N(Tasks[[#This Row],[_Pred1UID]])=0,0,IFERROR(MATCH(Tasks[[#This Row],[_Pred1UID]],Tasks[UID],0),-1))</f>
        <v>0</v>
      </c>
      <c r="CC142" s="42" t="n">
        <f aca="false">IF(N(Tasks[[#This Row],[_Pred2UID]])=0,0,IFERROR(MATCH(Tasks[[#This Row],[_Pred2UID]],Tasks[UID],0),-1))</f>
        <v>0</v>
      </c>
      <c r="CD142" s="42" t="n">
        <f aca="false">IF(N(Tasks[[#This Row],[_Pred3UID]])=0,0,IFERROR(MATCH(Tasks[[#This Row],[_Pred3UID]],Tasks[UID],0),-1))</f>
        <v>0</v>
      </c>
      <c r="CE142" s="42" t="n">
        <f aca="false">IF(N(Tasks[[#This Row],[_Pred4UID]])=0,0,IFERROR(MATCH(Tasks[[#This Row],[_Pred4UID]],Tasks[UID],0),-1))</f>
        <v>0</v>
      </c>
      <c r="CF14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2" s="89" t="n">
        <f aca="false">IF(OR(Tasks[[#This Row],[_ConstraintCode]]=2,Tasks[[#This Row],[_ConstraintCode]]=3,Tasks[[#This Row],[_ConstraintCode]]=4,Tasks[[#This Row],[_ConstraintCode]]=6),Tasks[[#This Row],[_ConstraintStart]],0)</f>
        <v>0</v>
      </c>
      <c r="CI142" s="89" t="n">
        <f aca="false">IF(OR(Tasks[[#This Row],[_ConstraintCode]]=2,Tasks[[#This Row],[_ConstraintCode]]=3,Tasks[[#This Row],[_ConstraintCode]]=5,Tasks[[#This Row],[_ConstraintCode]]=7),Tasks[[#This Row],[_ConstraintStart]],2958465)</f>
        <v>2958465</v>
      </c>
      <c r="CJ14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2" s="89" t="str">
        <f aca="false">IF(NOT(Tasks[[#This Row],[_IsLeaf]]=1),"",IF(N(Tasks[[#This Row],[_Days]])&lt;=0,Tasks[[#This Row],[_LeafCalcStart]],WORKDAY.INTL(Tasks[[#This Row],[_LeafCalcStart]],Tasks[[#This Row],[_Days]]-1,WorkWeek,Holidays)))</f>
        <v/>
      </c>
      <c r="CL14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2" s="42" t="str">
        <f aca="false">IF(Tasks[[#This Row],[_Predecessors]]="","",TRIM(MID(SUBSTITUTE(SUBSTITUTE(SUBSTITUTE(UPPER(Tasks[[#This Row],[_Predecessors]]),";",",")," ",""),",",REPT(" ",99)),1,99)))</f>
        <v/>
      </c>
      <c r="CO142" s="42" t="str">
        <f aca="false">IF(Tasks[[#This Row],[_Pred1Text]]="","",IFERROR(VALUE(LEFT(Tasks[[#This Row],[_Pred1Text]],MIN(FIND("F",Tasks[[#This Row],[_Pred1Text]]&amp;"F"),FIND("S",Tasks[[#This Row],[_Pred1Text]]&amp;"S"),FIND("+",Tasks[[#This Row],[_Pred1Text]]&amp;"+"),FIND("-",Tasks[[#This Row],[_Pred1Text]]&amp;"-"))-1)),""))</f>
        <v/>
      </c>
      <c r="CP14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2" s="42" t="str">
        <f aca="false">IF(Tasks[[#This Row],[_Pred1Text]]="","",TRIM(MID(SUBSTITUTE(SUBSTITUTE(SUBSTITUTE(UPPER(Tasks[[#This Row],[_Predecessors]]),";",",")," ",""),",",REPT(" ",99)),100,99)))</f>
        <v/>
      </c>
      <c r="CS142" s="42" t="str">
        <f aca="false">IF(Tasks[[#This Row],[_Pred2Text]]="","",IFERROR(VALUE(LEFT(Tasks[[#This Row],[_Pred2Text]],MIN(FIND("F",Tasks[[#This Row],[_Pred2Text]]&amp;"F"),FIND("S",Tasks[[#This Row],[_Pred2Text]]&amp;"S"),FIND("+",Tasks[[#This Row],[_Pred2Text]]&amp;"+"),FIND("-",Tasks[[#This Row],[_Pred2Text]]&amp;"-"))-1)),""))</f>
        <v/>
      </c>
      <c r="CT14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2" s="42" t="str">
        <f aca="false">IF(Tasks[[#This Row],[_Pred2Text]]="","",TRIM(MID(SUBSTITUTE(SUBSTITUTE(SUBSTITUTE(UPPER(Tasks[[#This Row],[_Predecessors]]),";",",")," ",""),",",REPT(" ",99)),199,99)))</f>
        <v/>
      </c>
      <c r="CW142" s="42" t="str">
        <f aca="false">IF(Tasks[[#This Row],[_Pred3Text]]="","",IFERROR(VALUE(LEFT(Tasks[[#This Row],[_Pred3Text]],MIN(FIND("F",Tasks[[#This Row],[_Pred3Text]]&amp;"F"),FIND("S",Tasks[[#This Row],[_Pred3Text]]&amp;"S"),FIND("+",Tasks[[#This Row],[_Pred3Text]]&amp;"+"),FIND("-",Tasks[[#This Row],[_Pred3Text]]&amp;"-"))-1)),""))</f>
        <v/>
      </c>
      <c r="CX14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2" s="42" t="str">
        <f aca="false">IF(Tasks[[#This Row],[_Pred3Text]]="","",TRIM(MID(SUBSTITUTE(SUBSTITUTE(SUBSTITUTE(UPPER(Tasks[[#This Row],[_Predecessors]]),";",",")," ",""),",",REPT(" ",99)),298,99)))</f>
        <v/>
      </c>
      <c r="DA142" s="42" t="str">
        <f aca="false">IF(Tasks[[#This Row],[_Pred4Text]]="","",IFERROR(VALUE(LEFT(Tasks[[#This Row],[_Pred4Text]],MIN(FIND("F",Tasks[[#This Row],[_Pred4Text]]&amp;"F"),FIND("S",Tasks[[#This Row],[_Pred4Text]]&amp;"S"),FIND("+",Tasks[[#This Row],[_Pred4Text]]&amp;"+"),FIND("-",Tasks[[#This Row],[_Pred4Text]]&amp;"-"))-1)),""))</f>
        <v/>
      </c>
      <c r="DB14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2" s="42" t="str">
        <f aca="false">IF(OR(Tasks[[#This Row],[Task Name]]="",Tasks[[#This Row],[_Resources]]=""),"",TRIM(MID(SUBSTITUTE(Tasks[[#This Row],[_Resources]],",",REPT(" ",99)),1,99)))</f>
        <v/>
      </c>
      <c r="DE142" s="42" t="str">
        <f aca="false">IF(Tasks[[#This Row],[_Res1Text]]="","",TRIM(MID(SUBSTITUTE(Tasks[[#This Row],[_Resources]],",",REPT(" ",99)),100,99)))</f>
        <v/>
      </c>
      <c r="DF142" s="42" t="str">
        <f aca="false">IF(Tasks[[#This Row],[_Res2Text]]="","",TRIM(MID(SUBSTITUTE(Tasks[[#This Row],[_Resources]],",",REPT(" ",99)),199,99)))</f>
        <v/>
      </c>
      <c r="DG142" s="42" t="str">
        <f aca="false">IF(Tasks[[#This Row],[_Res3Text]]="","",TRIM(MID(SUBSTITUTE(Tasks[[#This Row],[_Resources]],",",REPT(" ",99)),298,99)))</f>
        <v/>
      </c>
      <c r="DH142" s="42" t="n">
        <f aca="false">IF(Tasks[[#This Row],[_Res1Text]]="",0,IFERROR(MATCH(TRIM(LEFT(Tasks[[#This Row],[_Res1Text]],FIND("[",Tasks[[#This Row],[_Res1Text]]&amp;"[")-1)),res_Name,0),IFERROR(MATCH(TRIM(LEFT(Tasks[[#This Row],[_Res1Text]],FIND("[",Tasks[[#This Row],[_Res1Text]]&amp;"[")-1)),res_Initials,0),0)))</f>
        <v>0</v>
      </c>
      <c r="DI142" s="42" t="n">
        <f aca="false">IF(Tasks[[#This Row],[_Res2Text]]="",0,IFERROR(MATCH(TRIM(LEFT(Tasks[[#This Row],[_Res2Text]],FIND("[",Tasks[[#This Row],[_Res2Text]]&amp;"[")-1)),res_Name,0),IFERROR(MATCH(TRIM(LEFT(Tasks[[#This Row],[_Res2Text]],FIND("[",Tasks[[#This Row],[_Res2Text]]&amp;"[")-1)),res_Initials,0),0)))</f>
        <v>0</v>
      </c>
      <c r="DJ142" s="42" t="n">
        <f aca="false">IF(Tasks[[#This Row],[_Res3Text]]="",0,IFERROR(MATCH(TRIM(LEFT(Tasks[[#This Row],[_Res3Text]],FIND("[",Tasks[[#This Row],[_Res3Text]]&amp;"[")-1)),res_Name,0),IFERROR(MATCH(TRIM(LEFT(Tasks[[#This Row],[_Res3Text]],FIND("[",Tasks[[#This Row],[_Res3Text]]&amp;"[")-1)),res_Initials,0),0)))</f>
        <v>0</v>
      </c>
      <c r="DK142" s="42" t="n">
        <f aca="false">IF(Tasks[[#This Row],[_Res4Text]]="",0,IFERROR(MATCH(TRIM(LEFT(Tasks[[#This Row],[_Res4Text]],FIND("[",Tasks[[#This Row],[_Res4Text]]&amp;"[")-1)),res_Name,0),IFERROR(MATCH(TRIM(LEFT(Tasks[[#This Row],[_Res4Text]],FIND("[",Tasks[[#This Row],[_Res4Text]]&amp;"[")-1)),res_Initials,0),0)))</f>
        <v>0</v>
      </c>
      <c r="DL142" s="42" t="str">
        <f aca="false">IF(Tasks[[#This Row],[_Res1Text]]="","",IF(Tasks[[#This Row],[_Res1Row]]&gt;0,INDEX(res_Name,Tasks[[#This Row],[_Res1Row]]),TRIM(LEFT(Tasks[[#This Row],[_Res1Text]],FIND("[",Tasks[[#This Row],[_Res1Text]]&amp;"[")-1))))</f>
        <v/>
      </c>
      <c r="DM14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2" s="42" t="n">
        <f aca="false">IF(NOT(Tasks[[#This Row],[_IsLeaf]]=1),0,(Tasks[[#This Row],[_Resource1]]&lt;&gt;"")+(Tasks[[#This Row],[_Res2]]&lt;&gt;"")+(Tasks[[#This Row],[_Res3]]&lt;&gt;"")+(Tasks[[#This Row],[_Res4]]&lt;&gt;""))</f>
        <v>0</v>
      </c>
      <c r="DO142" s="42" t="str">
        <f aca="false">IF(Tasks[[#This Row],[_Res2Text]]="","",IF(Tasks[[#This Row],[_Res2Row]]&gt;0,INDEX(res_Name,Tasks[[#This Row],[_Res2Row]]),TRIM(LEFT(Tasks[[#This Row],[_Res2Text]],FIND("[",Tasks[[#This Row],[_Res2Text]]&amp;"[")-1))))</f>
        <v/>
      </c>
      <c r="DP14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2" s="42" t="n">
        <f aca="false">IF(OR(NOT(Tasks[[#This Row],[_IsLeaf]]=1),Tasks[[#This Row],[_Res2Row]]=0),0,N(Tasks[[#This Row],[_Days]])*HoursPerDay*IF(Tasks[[#This Row],[_Res2Units]]="",DefaultUnits,Tasks[[#This Row],[_Res2Units]]))</f>
        <v>0</v>
      </c>
      <c r="DR142" s="42" t="n">
        <f aca="false">IF(AND(AND(Tasks[[#This Row],[_IsLeaf]]=1,Tasks[[#This Row],[_LeafTotalWork]]&gt;0),Tasks[[#This Row],[_Res2Work]]&gt;0),Tasks[[#This Row],[_Res2Work]]/(Tasks[[#This Row],[_FinishWorkday]]-Tasks[[#This Row],[_StartWorkday]]+1),0)</f>
        <v>0</v>
      </c>
      <c r="DS142" s="42" t="n">
        <f aca="false">Tasks[[#This Row],[_Res2WorkPerWD]]*MAX(0,Tasks[[#This Row],[_StartWorkday]]-1)</f>
        <v>0</v>
      </c>
      <c r="DT142" s="42" t="n">
        <f aca="false">Tasks[[#This Row],[_Res2Work]]*Tasks[[#This Row],[_LeafProgress]]</f>
        <v>0</v>
      </c>
      <c r="DU142" s="42" t="str">
        <f aca="false">IF(Tasks[[#This Row],[_Res3Text]]="","",IF(Tasks[[#This Row],[_Res3Row]]&gt;0,INDEX(res_Name,Tasks[[#This Row],[_Res3Row]]),TRIM(LEFT(Tasks[[#This Row],[_Res3Text]],FIND("[",Tasks[[#This Row],[_Res3Text]]&amp;"[")-1))))</f>
        <v/>
      </c>
      <c r="DV14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2" s="42" t="n">
        <f aca="false">IF(OR(NOT(Tasks[[#This Row],[_IsLeaf]]=1),Tasks[[#This Row],[_Res3Row]]=0),0,N(Tasks[[#This Row],[_Days]])*HoursPerDay*IF(Tasks[[#This Row],[_Res3Units]]="",DefaultUnits,Tasks[[#This Row],[_Res3Units]]))</f>
        <v>0</v>
      </c>
      <c r="DX142" s="42" t="n">
        <f aca="false">IF(AND(AND(Tasks[[#This Row],[_IsLeaf]]=1,Tasks[[#This Row],[_LeafTotalWork]]&gt;0),Tasks[[#This Row],[_Res3Work]]&gt;0),Tasks[[#This Row],[_Res3Work]]/(Tasks[[#This Row],[_FinishWorkday]]-Tasks[[#This Row],[_StartWorkday]]+1),0)</f>
        <v>0</v>
      </c>
      <c r="DY142" s="42" t="n">
        <f aca="false">Tasks[[#This Row],[_Res3WorkPerWD]]*MAX(0,Tasks[[#This Row],[_StartWorkday]]-1)</f>
        <v>0</v>
      </c>
      <c r="DZ142" s="42" t="n">
        <f aca="false">Tasks[[#This Row],[_Res3Work]]*Tasks[[#This Row],[_LeafProgress]]</f>
        <v>0</v>
      </c>
      <c r="EA142" s="42" t="str">
        <f aca="false">IF(Tasks[[#This Row],[_Res4Text]]="","",IF(Tasks[[#This Row],[_Res4Row]]&gt;0,INDEX(res_Name,Tasks[[#This Row],[_Res4Row]]),TRIM(LEFT(Tasks[[#This Row],[_Res4Text]],FIND("[",Tasks[[#This Row],[_Res4Text]]&amp;"[")-1))))</f>
        <v/>
      </c>
      <c r="EB14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2" s="42" t="n">
        <f aca="false">IF(OR(NOT(Tasks[[#This Row],[_IsLeaf]]=1),Tasks[[#This Row],[_Res4Row]]=0),0,N(Tasks[[#This Row],[_Days]])*HoursPerDay*IF(Tasks[[#This Row],[_Res4Units]]="",DefaultUnits,Tasks[[#This Row],[_Res4Units]]))</f>
        <v>0</v>
      </c>
      <c r="ED142" s="42" t="n">
        <f aca="false">IF(AND(AND(Tasks[[#This Row],[_IsLeaf]]=1,Tasks[[#This Row],[_LeafTotalWork]]&gt;0),Tasks[[#This Row],[_Res4Work]]&gt;0),Tasks[[#This Row],[_Res4Work]]/(Tasks[[#This Row],[_FinishWorkday]]-Tasks[[#This Row],[_StartWorkday]]+1),0)</f>
        <v>0</v>
      </c>
      <c r="EE142" s="42" t="n">
        <f aca="false">Tasks[[#This Row],[_Res4WorkPerWD]]*MAX(0,Tasks[[#This Row],[_StartWorkday]]-1)</f>
        <v>0</v>
      </c>
      <c r="EF142" s="42" t="n">
        <f aca="false">Tasks[[#This Row],[_Res4Work]]*Tasks[[#This Row],[_LeafProgress]]</f>
        <v>0</v>
      </c>
      <c r="EG142" s="42" t="n">
        <f aca="false">IF(ISNUMBER(Tasks[[#This Row],[% Complete]]),Tasks[[#This Row],[% Complete]],IF(Tasks[[#This Row],[Stage]]="",0,IFERROR(INDEX(stg_Pct,MATCH(Tasks[[#This Row],[Stage]],stg_Name,0)),0)))</f>
        <v>0</v>
      </c>
      <c r="EH142" s="42" t="n">
        <f aca="false">IF(NOT(Tasks[[#This Row],[_IsLeaf]]=1),0,IF(N(Tasks[[#This Row],[Actual Finish]])&gt;0,1,MIN(1,Tasks[[#This Row],[_Pct]])))</f>
        <v>0</v>
      </c>
      <c r="EI142" s="42" t="n">
        <f aca="false">IF(OR(NOT(Tasks[[#This Row],[_IsLeaf]]=1),Tasks[[#This Row],[_Res1Row]]=0),0,N(Tasks[[#This Row],[_Days]])*HoursPerDay*IF(Tasks[[#This Row],[_Units1]]="",DefaultUnits,Tasks[[#This Row],[_Units1]]))</f>
        <v>0</v>
      </c>
      <c r="EJ142" s="42" t="n">
        <f aca="false">Tasks[[#This Row],[_LeafWork]]+Tasks[[#This Row],[_Res2Work]]+Tasks[[#This Row],[_Res3Work]]+Tasks[[#This Row],[_Res4Work]]</f>
        <v>0</v>
      </c>
      <c r="EK14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2" s="42" t="n">
        <f aca="false">IF(NOT(Tasks[[#This Row],[_IsLeaf]]=1),0,MAX(_xlfn.MAXIFS(Tasks[_Row],Tasks[_Pred1UID],Tasks[[#This Row],[UID]]),_xlfn.MAXIFS(Tasks[_Row],Tasks[_Pred2UID],Tasks[[#This Row],[UID]]),_xlfn.MAXIFS(Tasks[_Row],Tasks[_Pred3UID],Tasks[[#This Row],[UID]]),_xlfn.MAXIFS(Tasks[_Row],Tasks[_Pred4UID],Tasks[[#This Row],[UID]])))</f>
        <v>0</v>
      </c>
      <c r="ET14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2" s="89" t="str">
        <f aca="false">IF(NOT(Tasks[[#This Row],[_IsLeaf]]=1),"",IF(N(Tasks[[#This Row],[_Days]])&lt;=0,Tasks[[#This Row],[_LeafLateFinish]],WORKDAY.INTL(Tasks[[#This Row],[_LeafLateFinish]],-(Tasks[[#This Row],[_Days]]-1),WorkWeek,Holidays)))</f>
        <v/>
      </c>
      <c r="EW14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2" s="88" t="b">
        <f aca="false">AND(Tasks[[#This Row],[_IsLeaf]]=1,Tasks[[#This Row],[_LeafProgress]]&lt;1,N(Tasks[[#This Row],[_LeafTotalSlack]])&lt;=CriticalSlackDays)</f>
        <v>0</v>
      </c>
      <c r="EY142" s="42" t="n">
        <f aca="false">IF(AND(Tasks[[#This Row],[_IsLeaf]]=1,Tasks[[#This Row],[_ConstraintCode]]=1,Tasks[[#This Row],[Mode]]&lt;&gt;"Manual",N(Tasks[[#This Row],[Actual Start]])=0),MAX(0,N(Tasks[[#This Row],[Free Slack]])),0)</f>
        <v>0</v>
      </c>
      <c r="EZ142" s="89" t="str">
        <f aca="false">IF(NOT(Tasks[[#This Row],[_IsLeaf]]=1),"",IF(Tasks[[#This Row],[_AlapShift]]=0,Tasks[[#This Row],[_LeafCalcStart]],WORKDAY.INTL(Tasks[[#This Row],[_LeafCalcStart]],Tasks[[#This Row],[_AlapShift]],WorkWeek,Holidays)))</f>
        <v/>
      </c>
      <c r="FA142" s="89" t="str">
        <f aca="false">IF(NOT(Tasks[[#This Row],[_IsLeaf]]=1),"",IF(Tasks[[#This Row],[_AlapShift]]=0,Tasks[[#This Row],[_LeafCalcFinish]],WORKDAY.INTL(Tasks[[#This Row],[_LeafCalcFinish]],Tasks[[#This Row],[_AlapShift]],WorkWeek,Holidays)))</f>
        <v/>
      </c>
      <c r="FB142" s="89" t="str">
        <f aca="false">IF(NOT(Tasks[[#This Row],[_IsLeaf]]=1),"",IF(Tasks[[#This Row],[_AlapShift]]=0,Tasks[[#This Row],[_LeafFcstStart]],WORKDAY.INTL(Tasks[[#This Row],[_LeafFcstStart]],Tasks[[#This Row],[_AlapShift]],WorkWeek,Holidays)))</f>
        <v/>
      </c>
      <c r="FC142" s="89" t="str">
        <f aca="false">IF(NOT(Tasks[[#This Row],[_IsLeaf]]=1),"",IF(Tasks[[#This Row],[_AlapShift]]=0,Tasks[[#This Row],[_LeafFcstFinish]],WORKDAY.INTL(Tasks[[#This Row],[_LeafFcstFinish]],Tasks[[#This Row],[_AlapShift]],WorkWeek,Holidays)))</f>
        <v/>
      </c>
      <c r="FD142" s="89" t="str">
        <f aca="false">IF(Tasks[[#This Row],[Task Name]]="","",IF(Tasks[[#This Row],[_IsSummary]],MIN(INDEX(Tasks[_ShownCalcStart],Tasks[[#This Row],[_Row]]+1):INDEX(Tasks[_ShownCalcStart],Tasks[[#This Row],[_Row]]+Tasks[[#This Row],[_Descendants]])),Tasks[[#This Row],[_ShownCalcStart]]))</f>
        <v/>
      </c>
      <c r="FE142" s="89" t="str">
        <f aca="false">IF(Tasks[[#This Row],[Task Name]]="","",IF(Tasks[[#This Row],[_IsSummary]],MAX(INDEX(Tasks[_ShownCalcFinish],Tasks[[#This Row],[_Row]]+1):INDEX(Tasks[_ShownCalcFinish],Tasks[[#This Row],[_Row]]+Tasks[[#This Row],[_Descendants]])),Tasks[[#This Row],[_ShownCalcFinish]]))</f>
        <v/>
      </c>
      <c r="FF14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2" s="42" t="n">
        <f aca="false">IF(AND(Tasks[[#This Row],[_IsLeaf]]=1,Tasks[[#This Row],[_LeafTotalWork]]&gt;0),NETWORKDAYS.INTL(ProjectStart,Tasks[[#This Row],[_ShownFcstStart]],WorkWeek,Holidays),0)</f>
        <v>0</v>
      </c>
      <c r="FS142" s="42" t="n">
        <f aca="false">IF(AND(Tasks[[#This Row],[_IsLeaf]]=1,Tasks[[#This Row],[_LeafTotalWork]]&gt;0),MAX(Tasks[[#This Row],[_StartWorkday]],NETWORKDAYS.INTL(ProjectStart,Tasks[[#This Row],[_ShownFcstFinish]],WorkWeek,Holidays)),0)</f>
        <v>0</v>
      </c>
      <c r="FT142" s="42" t="n">
        <f aca="false">IF(AND(Tasks[[#This Row],[_IsLeaf]]=1,Tasks[[#This Row],[_LeafTotalWork]]&gt;0),Tasks[[#This Row],[_LeafWork]]/(Tasks[[#This Row],[_FinishWorkday]]-Tasks[[#This Row],[_StartWorkday]]+1),0)</f>
        <v>0</v>
      </c>
      <c r="FU142" s="42" t="n">
        <f aca="false">Tasks[[#This Row],[_WorkPerWorkday]]*(Tasks[[#This Row],[_StartWorkday]]-1)</f>
        <v>-0</v>
      </c>
      <c r="FV142" s="42" t="n">
        <f aca="false">IF(Tasks[[#This Row],[_IsLeaf]]=1,MAX(N(Tasks[[#This Row],[_Days]]),0.1),0)</f>
        <v>0</v>
      </c>
      <c r="FW142" s="42" t="n">
        <f aca="false">Tasks[[#This Row],[_WeightDur]]*Tasks[[#This Row],[_LeafProgress]]</f>
        <v>0</v>
      </c>
      <c r="FX142" s="42" t="n">
        <f aca="false">Tasks[[#This Row],[_WeightDur]]*Tasks[[#This Row],[_PlannedPct]]</f>
        <v>0</v>
      </c>
      <c r="FY14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2" s="42" t="str">
        <f aca="false">IF(AND(Tasks[[#This Row],[_IsLeaf]]=1,N(Tasks[[#This Row],[_Days]])=0,Tasks[[#This Row],[_LeafProgress]]&lt;1),Tasks[[#This Row],[_ShownFcstFinish]]+Tasks[[#This Row],[_Row]]/100000,"")</f>
        <v/>
      </c>
      <c r="GA14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2" s="42" t="str">
        <f aca="false">IF(Tasks[[#This Row],[Task Name]]="","",LEFT(Tasks[[#This Row],[WBS]],FIND(".",Tasks[[#This Row],[WBS]]&amp;".")-1))</f>
        <v/>
      </c>
      <c r="GC142" s="42" t="str">
        <f aca="false">IF(AND(Tasks[[#This Row],[Task Name]]&lt;&gt;"",Tasks[[#This Row],[_Level]]=1),Tasks[[#This Row],[_Row]],"")</f>
        <v/>
      </c>
      <c r="GD142" s="42" t="str">
        <f aca="false">IF(AND(Tasks[[#This Row],[_IsLeaf]]=1,N(Tasks[[#This Row],[_Days]])=0),Tasks[[#This Row],[Planned Finish]]+Tasks[[#This Row],[_Row]]/100000,"")</f>
        <v/>
      </c>
      <c r="GE142" s="42" t="str">
        <f aca="false">IF(AND(Tasks[[#This Row],[_IsLeaf]]=1,Tasks[[#This Row],[_LeafProgress]]&lt;1,OR(N(Tasks[[#This Row],[Finish Var]])&gt;0,Tasks[[#This Row],[Status]]="Late Start")),MAX(0,Tasks[[#This Row],[Finish Var]])+1-Tasks[[#This Row],[_Row]]/1000000,"")</f>
        <v/>
      </c>
      <c r="GF142" s="42" t="str">
        <f aca="false">IF(AND(Tasks[[#This Row],[_IsLeaf]]=1,N(Tasks[[#This Row],[Actual Start]])=0,Tasks[[#This Row],[_ShownFcstStart]]&gt;=StatusDate,Tasks[[#This Row],[_ShownFcstStart]]&lt;=LookaheadEnd),Tasks[[#This Row],[_ShownFcstStart]]+Tasks[[#This Row],[_Row]]/100000,"")</f>
        <v/>
      </c>
      <c r="GG142" s="42" t="str">
        <f aca="false">IF(AND(Tasks[[#This Row],[_IsLeaf]]=1,Tasks[[#This Row],[_LeafProgress]]&lt;1,Tasks[[#This Row],[_ShownFcstFinish]]&gt;=StatusDate,Tasks[[#This Row],[_ShownFcstFinish]]&lt;=LookaheadEnd),Tasks[[#This Row],[_ShownFcstFinish]]+Tasks[[#This Row],[_Row]]/100000,"")</f>
        <v/>
      </c>
      <c r="GH142" s="42" t="str">
        <f aca="false">IF(Tasks[[#This Row],[_LeafCritical]],Tasks[[#This Row],[_ShownFcstStart]]+Tasks[[#This Row],[_Row]]/100000,"")</f>
        <v/>
      </c>
      <c r="GI142" s="42" t="n">
        <f aca="false">Tasks[[#This Row],[_LeafWork]]*Tasks[[#This Row],[_LeafProgress]]</f>
        <v>0</v>
      </c>
      <c r="GJ142" s="89" t="str">
        <f aca="false">IF(AND(Tasks[[#This Row],[_IsLeaf]]=1,Tasks[[#This Row],[_LeafProgress]]&gt;=1),IF(N(Tasks[[#This Row],[Actual Finish]])&gt;0,Tasks[[#This Row],[Actual Finish]],Tasks[[#This Row],[_ShownFcstFinish]]),"")</f>
        <v/>
      </c>
      <c r="GK142" s="42" t="n">
        <f aca="false">IF(Tasks[[#This Row],[_IsLeaf]]=1,N(Tasks[[#This Row],[Story Points]]),0)</f>
        <v>0</v>
      </c>
      <c r="GL142" s="42" t="str">
        <f aca="false">""</f>
        <v/>
      </c>
      <c r="GM142" s="88" t="b">
        <f aca="false">IF(Tasks[[#This Row],[Task Name]]="",FALSE(),AND(Tasks[[#This Row],[_IsLeaf]]=1,N(Tasks[[#This Row],[_Days]])=0))</f>
        <v>0</v>
      </c>
      <c r="GN142" s="89" t="n">
        <f aca="false">IF(Tasks[[#This Row],[Task Name]]="",0,IF(AND(Tasks[[#This Row],[_IsLeaf]]=1,NOT(Tasks[[#This Row],[_IsMilestone]]),N(Tasks[[#This Row],[Progress]])&gt;0),Tasks[[#This Row],[Start]],0))</f>
        <v>0</v>
      </c>
      <c r="GO142" s="89" t="n">
        <f aca="false">IF(Tasks[[#This Row],[_DoneFrom]]=0,0,IF(Tasks[[#This Row],[Progress]]&gt;=1,Tasks[[#This Row],[Finish]],MAX(Tasks[[#This Row],[_DoneFrom]],Tasks[[#This Row],[Start]]+ROUND((Tasks[[#This Row],[Finish]]-Tasks[[#This Row],[Start]]+1)*Tasks[[#This Row],[Progress]],0)-1)))</f>
        <v>0</v>
      </c>
      <c r="GP142" s="89" t="n">
        <f aca="false">IF(Tasks[[#This Row],[Task Name]]="",0,IF(OR(NOT(Tasks[[#This Row],[_IsLeaf]]=1),Tasks[[#This Row],[_IsMilestone]],N(Tasks[[#This Row],[Progress]])&gt;=1),0,IF(Tasks[[#This Row],[_DoneTo]]&gt;0,Tasks[[#This Row],[_DoneTo]]+1,Tasks[[#This Row],[Start]])))</f>
        <v>0</v>
      </c>
      <c r="GQ142" s="89" t="n">
        <f aca="false">IF(Tasks[[#This Row],[_RemFrom]]=0,0,Tasks[[#This Row],[Finish]])</f>
        <v>0</v>
      </c>
      <c r="GR142" s="88" t="b">
        <f aca="false">IF(Tasks[[#This Row],[Task Name]]="",FALSE(),OR(NOT(BaselineSet),N(Tasks[[#This Row],[Baseline Start]])&gt;0))</f>
        <v>0</v>
      </c>
      <c r="GS14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2" s="90" t="str">
        <f aca="false">IF(Tasks[[#This Row],[_IsLeaf]]=1,Tasks[[#This Row],[_Row]],"")</f>
        <v/>
      </c>
      <c r="GW142" s="90" t="str">
        <f aca="false">IFERROR(INDEX(Tasks[UID],SMALL(Tasks[_PickKey],Tasks[[#This Row],[_Row]]))&amp;" "&amp;INDEX(Tasks[Task Name],SMALL(Tasks[_PickKey],Tasks[[#This Row],[_Row]])),"")</f>
        <v/>
      </c>
      <c r="GX142" s="42" t="str">
        <f aca="false">IF(Tasks[[#This Row],[Task Name]]="","",IF(Tasks[[#This Row],[_IsSummary]],NETWORKDAYS.INTL(Tasks[[#This Row],[Start]],Tasks[[#This Row],[Finish]],WorkWeek,Holidays),N(Tasks[[#This Row],[_Days]])))</f>
        <v/>
      </c>
    </row>
    <row r="143" customFormat="false" ht="15" hidden="false" customHeight="false" outlineLevel="0" collapsed="false">
      <c r="A143" s="21" t="str">
        <f aca="false">IF(Tasks[[#This Row],[Task Name]]="","",COUNTA(Tasks[[#Headers],[Task Name]]:Tasks[[#This Row],[Task Name]])-1)</f>
        <v/>
      </c>
      <c r="B143" s="22" t="n">
        <v>151</v>
      </c>
      <c r="C143" s="22"/>
      <c r="D143" s="23"/>
      <c r="E143" s="22"/>
      <c r="F143" s="23"/>
      <c r="G143" s="22"/>
      <c r="H143" s="22"/>
      <c r="I143" s="23"/>
      <c r="J143" s="22"/>
      <c r="K143" s="22"/>
      <c r="L143" s="23"/>
      <c r="M143" s="22"/>
      <c r="N143" s="22"/>
      <c r="O143" s="23"/>
      <c r="P143" s="22"/>
      <c r="Q143" s="22"/>
      <c r="R143" s="23"/>
      <c r="S143" s="23"/>
      <c r="T143" s="83"/>
      <c r="U143" s="23"/>
      <c r="V143" s="83"/>
      <c r="W143" s="23"/>
      <c r="X143" s="83"/>
      <c r="Y143" s="23"/>
      <c r="Z143" s="83"/>
      <c r="AA143" s="23"/>
      <c r="AB143" s="23"/>
      <c r="AC143" s="7"/>
      <c r="AD143" s="7"/>
      <c r="AE143" s="62" t="str">
        <f aca="false">IF(Tasks[[#This Row],[Task Name]]="","",IF(Tasks[[#This Row],[_IsSummary]],MIN(INDEX(Tasks[_ShownFcstStart],Tasks[[#This Row],[_Row]]+1):INDEX(Tasks[_ShownFcstStart],Tasks[[#This Row],[_Row]]+Tasks[[#This Row],[_Descendants]])),Tasks[[#This Row],[_ShownFcstStart]]))</f>
        <v/>
      </c>
      <c r="AF143" s="62" t="str">
        <f aca="false">IF(Tasks[[#This Row],[Task Name]]="","",IF(Tasks[[#This Row],[_IsSummary]],MAX(INDEX(Tasks[_ShownFcstFinish],Tasks[[#This Row],[_Row]]+1):INDEX(Tasks[_ShownFcstFinish],Tasks[[#This Row],[_Row]]+Tasks[[#This Row],[_Descendants]])),Tasks[[#This Row],[_ShownFcstFinish]]))</f>
        <v/>
      </c>
      <c r="AG143" s="21" t="str">
        <f aca="false">""</f>
        <v/>
      </c>
      <c r="AH143" s="23"/>
      <c r="AI14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3" s="7"/>
      <c r="AK143" s="22"/>
      <c r="AL143" s="23"/>
      <c r="AM143" s="7"/>
      <c r="AN143" s="46" t="str">
        <f aca="false">IF(Tasks[[#This Row],[Task Name]]="","",IF(Tasks[[#This Row],[Finish]]&gt;=Tasks[[#This Row],[Planned Finish]],NETWORKDAYS.INTL(Tasks[[#This Row],[Planned Finish]],Tasks[[#This Row],[Finish]],WorkWeek,Holidays)-1,1-NETWORKDAYS.INTL(Tasks[[#This Row],[Finish]],Tasks[[#This Row],[Planned Finish]],WorkWeek,Holidays)))</f>
        <v/>
      </c>
      <c r="AO143" s="21" t="str">
        <f aca="false">IF(Tasks[[#This Row],[Task Name]]="","",IF(Tasks[[#This Row],[Progress]]&gt;=1,"Complete",IF(OR(N(Tasks[[#This Row],[Actual Start]])&gt;0,Tasks[[#This Row],[Progress]]&gt;0),IF(Tasks[[#This Row],[Finish Var]]&gt;0,"Behind","In Progress"),IF(Tasks[[#This Row],[Planned Start]]&lt;StatusDate,"Late Start","Not Started"))))</f>
        <v/>
      </c>
      <c r="AP143" s="21" t="str">
        <f aca="false">IF(Tasks[[#This Row],[Task Name]]="","",IF(IF(Tasks[[#This Row],[_IsSummary]],COUNTIF(INDEX(Tasks[_LeafCritical],Tasks[[#This Row],[_Row]]+1):INDEX(Tasks[_LeafCritical],Tasks[[#This Row],[_Row]]+Tasks[[#This Row],[_Descendants]]),TRUE())&gt;0,Tasks[[#This Row],[_LeafCritical]]),"Yes",""))</f>
        <v/>
      </c>
      <c r="AQ143" s="62" t="str">
        <f aca="false">IF(Tasks[[#This Row],[Task Name]]="","",IF(N(Tasks[[#This Row],[Baseline Start]])&gt;0,Tasks[[#This Row],[Baseline Start]],Tasks[[#This Row],[_CalcStart]]))</f>
        <v/>
      </c>
      <c r="AR143" s="62" t="str">
        <f aca="false">IF(Tasks[[#This Row],[Task Name]]="","",IF(N(Tasks[[#This Row],[Baseline Finish]])&gt;0,Tasks[[#This Row],[Baseline Finish]],Tasks[[#This Row],[_CalcFinish]]))</f>
        <v/>
      </c>
      <c r="AS143" s="46" t="str">
        <f aca="false">IF(Tasks[[#This Row],[Task Name]]="","",IF(Tasks[[#This Row],[Start]]&gt;=Tasks[[#This Row],[Planned Start]],NETWORKDAYS.INTL(Tasks[[#This Row],[Planned Start]],Tasks[[#This Row],[Start]],WorkWeek,Holidays)-1,1-NETWORKDAYS.INTL(Tasks[[#This Row],[Start]],Tasks[[#This Row],[Planned Start]],WorkWeek,Holidays)))</f>
        <v/>
      </c>
      <c r="AT143" s="62" t="str">
        <f aca="false">IF(Tasks[[#This Row],[Task Name]]="","",IF(Tasks[[#This Row],[_IsSummary]],MIN(INDEX(Tasks[_LeafLateStart],Tasks[[#This Row],[_Row]]+1):INDEX(Tasks[_LeafLateStart],Tasks[[#This Row],[_Row]]+Tasks[[#This Row],[_Descendants]])),Tasks[[#This Row],[_LeafLateStart]]))</f>
        <v/>
      </c>
      <c r="AU143" s="62" t="str">
        <f aca="false">IF(Tasks[[#This Row],[Task Name]]="","",IF(Tasks[[#This Row],[_IsSummary]],MAX(INDEX(Tasks[_LeafLateFinish],Tasks[[#This Row],[_Row]]+1):INDEX(Tasks[_LeafLateFinish],Tasks[[#This Row],[_Row]]+Tasks[[#This Row],[_Descendants]])),Tasks[[#This Row],[_LeafLateFinish]]))</f>
        <v/>
      </c>
      <c r="AV143" s="46" t="str">
        <f aca="false">IF(Tasks[[#This Row],[Task Name]]="","",IF(Tasks[[#This Row],[_IsSummary]],MIN(INDEX(Tasks[_LeafTotalSlack],Tasks[[#This Row],[_Row]]+1):INDEX(Tasks[_LeafTotalSlack],Tasks[[#This Row],[_Row]]+Tasks[[#This Row],[_Descendants]])),Tasks[[#This Row],[_LeafTotalSlack]]))</f>
        <v/>
      </c>
      <c r="AW14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4"/>
      <c r="BA14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t="str">
        <f aca="false">IF(Tasks[[#This Row],[Task Name]]="","",IF(Tasks[[#This Row],[_Level]]&lt;=OutlineShowLevel,"Yes","No"))</f>
        <v/>
      </c>
      <c r="BE143" s="85" t="str">
        <f aca="false">IF(Tasks[[#This Row],[Task Name]]="","",IF(Tasks[[#This Row],[_IsSummary]],SUM(INDEX(Tasks[_LeafTotalWork],Tasks[[#This Row],[_Row]]+1):INDEX(Tasks[_LeafTotalWork],Tasks[[#This Row],[_Row]]+Tasks[[#This Row],[_Descendants]])),Tasks[[#This Row],[_LeafTotalWork]]))</f>
        <v/>
      </c>
      <c r="BF143" s="23"/>
      <c r="BG14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t="str">
        <f aca="false">""</f>
        <v/>
      </c>
      <c r="BI143" s="86"/>
      <c r="BJ143" s="22"/>
      <c r="BK143" s="46" t="str">
        <f aca="false">IF(OR(Tasks[[#This Row],[Task Name]]="",Tasks[[#This Row],[Baseline Duration]]=""),"",Tasks[[#This Row],[_SpanDays]]-N(Tasks[[#This Row],[Baseline Duration]]))</f>
        <v/>
      </c>
      <c r="BL143" s="85" t="str">
        <f aca="false">IF(OR(Tasks[[#This Row],[Task Name]]="",Tasks[[#This Row],[Baseline Work]]=""),"",Tasks[[#This Row],[Work]]-N(Tasks[[#This Row],[Baseline Work]]))</f>
        <v/>
      </c>
      <c r="BM143" s="62" t="str">
        <f aca="false">IF(Tasks[[#This Row],[Task Name]]="","",IF(OR(TakeBaseline="Yes",N(Tasks[[#This Row],[Baseline Start]])=0),Tasks[[#This Row],[Start]],Tasks[[#This Row],[Baseline Start]]))</f>
        <v/>
      </c>
      <c r="BN143" s="62" t="str">
        <f aca="false">IF(Tasks[[#This Row],[Task Name]]="","",IF(OR(TakeBaseline="Yes",N(Tasks[[#This Row],[Baseline Finish]])=0),Tasks[[#This Row],[Finish]],Tasks[[#This Row],[Baseline Finish]]))</f>
        <v/>
      </c>
      <c r="BO143" s="21" t="str">
        <f aca="false">IF(Tasks[[#This Row],[Task Name]]="","",IF(OR(TakeBaseline="Yes",N(Tasks[[#This Row],[Baseline Duration]])=0),Tasks[[#This Row],[_SpanDays]],Tasks[[#This Row],[Baseline Duration]]))</f>
        <v/>
      </c>
      <c r="BP143" s="85" t="str">
        <f aca="false">IF(Tasks[[#This Row],[Task Name]]="","",IF(OR(TakeBaseline="Yes",N(Tasks[[#This Row],[Baseline Work]])=0),Tasks[[#This Row],[Work]],Tasks[[#This Row],[Baseline Work]]))</f>
        <v/>
      </c>
      <c r="BQ143" s="7"/>
      <c r="BR143" s="7"/>
      <c r="BS143" s="22"/>
      <c r="BT143" s="87"/>
      <c r="BU143" s="42" t="str">
        <f aca="false">IF(Tasks[[#This Row],[Task Name]]="","",MAX(1,N(Tasks[[#This Row],[Level]])))</f>
        <v/>
      </c>
      <c r="BV143" s="42" t="n">
        <f aca="false">ROW()-ROW(Tasks[[#Headers],[ID]])</f>
        <v>138</v>
      </c>
      <c r="BW143" s="42" t="n">
        <f aca="false">IF(OR(Tasks[[#This Row],[Task Name]]="",Tasks[[#This Row],[_Level]]&lt;=1),0,IFERROR(LOOKUP(2,1/(Tasks[[#Headers],[_Level]]:Tasks[[#This Row],[_Level]]=Tasks[[#This Row],[_Level]]-1),ROW(Tasks[[#Headers],[_Level]]:Tasks[[#This Row],[_Level]])),0))</f>
        <v>0</v>
      </c>
      <c r="BX143" s="42" t="n">
        <f aca="false">IFERROR(N(INDEX(Tasks[_Level],Tasks[[#This Row],[_Row]]+1)),0)</f>
        <v>0</v>
      </c>
      <c r="BY143" s="88" t="b">
        <f aca="false">AND(Tasks[[#This Row],[Task Name]]&lt;&gt;"",Tasks[[#This Row],[_NextLevel]]&gt;Tasks[[#This Row],[_Level]])</f>
        <v>0</v>
      </c>
      <c r="BZ143" s="42" t="n">
        <f aca="false">IF(Tasks[[#This Row],[_IsSummary]],COUNTIF(Tasks[WBS],Tasks[[#This Row],[WBS]]&amp;".*"),0)</f>
        <v>0</v>
      </c>
      <c r="CA143" s="42" t="n">
        <f aca="false">IF(AND(Tasks[[#This Row],[Task Name]]&lt;&gt;"",NOT(Tasks[[#This Row],[_IsSummary]])),1,0)</f>
        <v>0</v>
      </c>
      <c r="CB143" s="42" t="n">
        <f aca="false">IF(N(Tasks[[#This Row],[_Pred1UID]])=0,0,IFERROR(MATCH(Tasks[[#This Row],[_Pred1UID]],Tasks[UID],0),-1))</f>
        <v>0</v>
      </c>
      <c r="CC143" s="42" t="n">
        <f aca="false">IF(N(Tasks[[#This Row],[_Pred2UID]])=0,0,IFERROR(MATCH(Tasks[[#This Row],[_Pred2UID]],Tasks[UID],0),-1))</f>
        <v>0</v>
      </c>
      <c r="CD143" s="42" t="n">
        <f aca="false">IF(N(Tasks[[#This Row],[_Pred3UID]])=0,0,IFERROR(MATCH(Tasks[[#This Row],[_Pred3UID]],Tasks[UID],0),-1))</f>
        <v>0</v>
      </c>
      <c r="CE143" s="42" t="n">
        <f aca="false">IF(N(Tasks[[#This Row],[_Pred4UID]])=0,0,IFERROR(MATCH(Tasks[[#This Row],[_Pred4UID]],Tasks[UID],0),-1))</f>
        <v>0</v>
      </c>
      <c r="CF14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3" s="89" t="n">
        <f aca="false">IF(OR(Tasks[[#This Row],[_ConstraintCode]]=2,Tasks[[#This Row],[_ConstraintCode]]=3,Tasks[[#This Row],[_ConstraintCode]]=4,Tasks[[#This Row],[_ConstraintCode]]=6),Tasks[[#This Row],[_ConstraintStart]],0)</f>
        <v>0</v>
      </c>
      <c r="CI143" s="89" t="n">
        <f aca="false">IF(OR(Tasks[[#This Row],[_ConstraintCode]]=2,Tasks[[#This Row],[_ConstraintCode]]=3,Tasks[[#This Row],[_ConstraintCode]]=5,Tasks[[#This Row],[_ConstraintCode]]=7),Tasks[[#This Row],[_ConstraintStart]],2958465)</f>
        <v>2958465</v>
      </c>
      <c r="CJ14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3" s="89" t="str">
        <f aca="false">IF(NOT(Tasks[[#This Row],[_IsLeaf]]=1),"",IF(N(Tasks[[#This Row],[_Days]])&lt;=0,Tasks[[#This Row],[_LeafCalcStart]],WORKDAY.INTL(Tasks[[#This Row],[_LeafCalcStart]],Tasks[[#This Row],[_Days]]-1,WorkWeek,Holidays)))</f>
        <v/>
      </c>
      <c r="CL14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3" s="42" t="str">
        <f aca="false">IF(Tasks[[#This Row],[_Predecessors]]="","",TRIM(MID(SUBSTITUTE(SUBSTITUTE(SUBSTITUTE(UPPER(Tasks[[#This Row],[_Predecessors]]),";",",")," ",""),",",REPT(" ",99)),1,99)))</f>
        <v/>
      </c>
      <c r="CO143" s="42" t="str">
        <f aca="false">IF(Tasks[[#This Row],[_Pred1Text]]="","",IFERROR(VALUE(LEFT(Tasks[[#This Row],[_Pred1Text]],MIN(FIND("F",Tasks[[#This Row],[_Pred1Text]]&amp;"F"),FIND("S",Tasks[[#This Row],[_Pred1Text]]&amp;"S"),FIND("+",Tasks[[#This Row],[_Pred1Text]]&amp;"+"),FIND("-",Tasks[[#This Row],[_Pred1Text]]&amp;"-"))-1)),""))</f>
        <v/>
      </c>
      <c r="CP14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3" s="42" t="str">
        <f aca="false">IF(Tasks[[#This Row],[_Pred1Text]]="","",TRIM(MID(SUBSTITUTE(SUBSTITUTE(SUBSTITUTE(UPPER(Tasks[[#This Row],[_Predecessors]]),";",",")," ",""),",",REPT(" ",99)),100,99)))</f>
        <v/>
      </c>
      <c r="CS143" s="42" t="str">
        <f aca="false">IF(Tasks[[#This Row],[_Pred2Text]]="","",IFERROR(VALUE(LEFT(Tasks[[#This Row],[_Pred2Text]],MIN(FIND("F",Tasks[[#This Row],[_Pred2Text]]&amp;"F"),FIND("S",Tasks[[#This Row],[_Pred2Text]]&amp;"S"),FIND("+",Tasks[[#This Row],[_Pred2Text]]&amp;"+"),FIND("-",Tasks[[#This Row],[_Pred2Text]]&amp;"-"))-1)),""))</f>
        <v/>
      </c>
      <c r="CT14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3" s="42" t="str">
        <f aca="false">IF(Tasks[[#This Row],[_Pred2Text]]="","",TRIM(MID(SUBSTITUTE(SUBSTITUTE(SUBSTITUTE(UPPER(Tasks[[#This Row],[_Predecessors]]),";",",")," ",""),",",REPT(" ",99)),199,99)))</f>
        <v/>
      </c>
      <c r="CW143" s="42" t="str">
        <f aca="false">IF(Tasks[[#This Row],[_Pred3Text]]="","",IFERROR(VALUE(LEFT(Tasks[[#This Row],[_Pred3Text]],MIN(FIND("F",Tasks[[#This Row],[_Pred3Text]]&amp;"F"),FIND("S",Tasks[[#This Row],[_Pred3Text]]&amp;"S"),FIND("+",Tasks[[#This Row],[_Pred3Text]]&amp;"+"),FIND("-",Tasks[[#This Row],[_Pred3Text]]&amp;"-"))-1)),""))</f>
        <v/>
      </c>
      <c r="CX14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3" s="42" t="str">
        <f aca="false">IF(Tasks[[#This Row],[_Pred3Text]]="","",TRIM(MID(SUBSTITUTE(SUBSTITUTE(SUBSTITUTE(UPPER(Tasks[[#This Row],[_Predecessors]]),";",",")," ",""),",",REPT(" ",99)),298,99)))</f>
        <v/>
      </c>
      <c r="DA143" s="42" t="str">
        <f aca="false">IF(Tasks[[#This Row],[_Pred4Text]]="","",IFERROR(VALUE(LEFT(Tasks[[#This Row],[_Pred4Text]],MIN(FIND("F",Tasks[[#This Row],[_Pred4Text]]&amp;"F"),FIND("S",Tasks[[#This Row],[_Pred4Text]]&amp;"S"),FIND("+",Tasks[[#This Row],[_Pred4Text]]&amp;"+"),FIND("-",Tasks[[#This Row],[_Pred4Text]]&amp;"-"))-1)),""))</f>
        <v/>
      </c>
      <c r="DB14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3" s="42" t="str">
        <f aca="false">IF(OR(Tasks[[#This Row],[Task Name]]="",Tasks[[#This Row],[_Resources]]=""),"",TRIM(MID(SUBSTITUTE(Tasks[[#This Row],[_Resources]],",",REPT(" ",99)),1,99)))</f>
        <v/>
      </c>
      <c r="DE143" s="42" t="str">
        <f aca="false">IF(Tasks[[#This Row],[_Res1Text]]="","",TRIM(MID(SUBSTITUTE(Tasks[[#This Row],[_Resources]],",",REPT(" ",99)),100,99)))</f>
        <v/>
      </c>
      <c r="DF143" s="42" t="str">
        <f aca="false">IF(Tasks[[#This Row],[_Res2Text]]="","",TRIM(MID(SUBSTITUTE(Tasks[[#This Row],[_Resources]],",",REPT(" ",99)),199,99)))</f>
        <v/>
      </c>
      <c r="DG143" s="42" t="str">
        <f aca="false">IF(Tasks[[#This Row],[_Res3Text]]="","",TRIM(MID(SUBSTITUTE(Tasks[[#This Row],[_Resources]],",",REPT(" ",99)),298,99)))</f>
        <v/>
      </c>
      <c r="DH143" s="42" t="n">
        <f aca="false">IF(Tasks[[#This Row],[_Res1Text]]="",0,IFERROR(MATCH(TRIM(LEFT(Tasks[[#This Row],[_Res1Text]],FIND("[",Tasks[[#This Row],[_Res1Text]]&amp;"[")-1)),res_Name,0),IFERROR(MATCH(TRIM(LEFT(Tasks[[#This Row],[_Res1Text]],FIND("[",Tasks[[#This Row],[_Res1Text]]&amp;"[")-1)),res_Initials,0),0)))</f>
        <v>0</v>
      </c>
      <c r="DI143" s="42" t="n">
        <f aca="false">IF(Tasks[[#This Row],[_Res2Text]]="",0,IFERROR(MATCH(TRIM(LEFT(Tasks[[#This Row],[_Res2Text]],FIND("[",Tasks[[#This Row],[_Res2Text]]&amp;"[")-1)),res_Name,0),IFERROR(MATCH(TRIM(LEFT(Tasks[[#This Row],[_Res2Text]],FIND("[",Tasks[[#This Row],[_Res2Text]]&amp;"[")-1)),res_Initials,0),0)))</f>
        <v>0</v>
      </c>
      <c r="DJ143" s="42" t="n">
        <f aca="false">IF(Tasks[[#This Row],[_Res3Text]]="",0,IFERROR(MATCH(TRIM(LEFT(Tasks[[#This Row],[_Res3Text]],FIND("[",Tasks[[#This Row],[_Res3Text]]&amp;"[")-1)),res_Name,0),IFERROR(MATCH(TRIM(LEFT(Tasks[[#This Row],[_Res3Text]],FIND("[",Tasks[[#This Row],[_Res3Text]]&amp;"[")-1)),res_Initials,0),0)))</f>
        <v>0</v>
      </c>
      <c r="DK143" s="42" t="n">
        <f aca="false">IF(Tasks[[#This Row],[_Res4Text]]="",0,IFERROR(MATCH(TRIM(LEFT(Tasks[[#This Row],[_Res4Text]],FIND("[",Tasks[[#This Row],[_Res4Text]]&amp;"[")-1)),res_Name,0),IFERROR(MATCH(TRIM(LEFT(Tasks[[#This Row],[_Res4Text]],FIND("[",Tasks[[#This Row],[_Res4Text]]&amp;"[")-1)),res_Initials,0),0)))</f>
        <v>0</v>
      </c>
      <c r="DL143" s="42" t="str">
        <f aca="false">IF(Tasks[[#This Row],[_Res1Text]]="","",IF(Tasks[[#This Row],[_Res1Row]]&gt;0,INDEX(res_Name,Tasks[[#This Row],[_Res1Row]]),TRIM(LEFT(Tasks[[#This Row],[_Res1Text]],FIND("[",Tasks[[#This Row],[_Res1Text]]&amp;"[")-1))))</f>
        <v/>
      </c>
      <c r="DM14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3" s="42" t="n">
        <f aca="false">IF(NOT(Tasks[[#This Row],[_IsLeaf]]=1),0,(Tasks[[#This Row],[_Resource1]]&lt;&gt;"")+(Tasks[[#This Row],[_Res2]]&lt;&gt;"")+(Tasks[[#This Row],[_Res3]]&lt;&gt;"")+(Tasks[[#This Row],[_Res4]]&lt;&gt;""))</f>
        <v>0</v>
      </c>
      <c r="DO143" s="42" t="str">
        <f aca="false">IF(Tasks[[#This Row],[_Res2Text]]="","",IF(Tasks[[#This Row],[_Res2Row]]&gt;0,INDEX(res_Name,Tasks[[#This Row],[_Res2Row]]),TRIM(LEFT(Tasks[[#This Row],[_Res2Text]],FIND("[",Tasks[[#This Row],[_Res2Text]]&amp;"[")-1))))</f>
        <v/>
      </c>
      <c r="DP14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3" s="42" t="n">
        <f aca="false">IF(OR(NOT(Tasks[[#This Row],[_IsLeaf]]=1),Tasks[[#This Row],[_Res2Row]]=0),0,N(Tasks[[#This Row],[_Days]])*HoursPerDay*IF(Tasks[[#This Row],[_Res2Units]]="",DefaultUnits,Tasks[[#This Row],[_Res2Units]]))</f>
        <v>0</v>
      </c>
      <c r="DR143" s="42" t="n">
        <f aca="false">IF(AND(AND(Tasks[[#This Row],[_IsLeaf]]=1,Tasks[[#This Row],[_LeafTotalWork]]&gt;0),Tasks[[#This Row],[_Res2Work]]&gt;0),Tasks[[#This Row],[_Res2Work]]/(Tasks[[#This Row],[_FinishWorkday]]-Tasks[[#This Row],[_StartWorkday]]+1),0)</f>
        <v>0</v>
      </c>
      <c r="DS143" s="42" t="n">
        <f aca="false">Tasks[[#This Row],[_Res2WorkPerWD]]*MAX(0,Tasks[[#This Row],[_StartWorkday]]-1)</f>
        <v>0</v>
      </c>
      <c r="DT143" s="42" t="n">
        <f aca="false">Tasks[[#This Row],[_Res2Work]]*Tasks[[#This Row],[_LeafProgress]]</f>
        <v>0</v>
      </c>
      <c r="DU143" s="42" t="str">
        <f aca="false">IF(Tasks[[#This Row],[_Res3Text]]="","",IF(Tasks[[#This Row],[_Res3Row]]&gt;0,INDEX(res_Name,Tasks[[#This Row],[_Res3Row]]),TRIM(LEFT(Tasks[[#This Row],[_Res3Text]],FIND("[",Tasks[[#This Row],[_Res3Text]]&amp;"[")-1))))</f>
        <v/>
      </c>
      <c r="DV14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3" s="42" t="n">
        <f aca="false">IF(OR(NOT(Tasks[[#This Row],[_IsLeaf]]=1),Tasks[[#This Row],[_Res3Row]]=0),0,N(Tasks[[#This Row],[_Days]])*HoursPerDay*IF(Tasks[[#This Row],[_Res3Units]]="",DefaultUnits,Tasks[[#This Row],[_Res3Units]]))</f>
        <v>0</v>
      </c>
      <c r="DX143" s="42" t="n">
        <f aca="false">IF(AND(AND(Tasks[[#This Row],[_IsLeaf]]=1,Tasks[[#This Row],[_LeafTotalWork]]&gt;0),Tasks[[#This Row],[_Res3Work]]&gt;0),Tasks[[#This Row],[_Res3Work]]/(Tasks[[#This Row],[_FinishWorkday]]-Tasks[[#This Row],[_StartWorkday]]+1),0)</f>
        <v>0</v>
      </c>
      <c r="DY143" s="42" t="n">
        <f aca="false">Tasks[[#This Row],[_Res3WorkPerWD]]*MAX(0,Tasks[[#This Row],[_StartWorkday]]-1)</f>
        <v>0</v>
      </c>
      <c r="DZ143" s="42" t="n">
        <f aca="false">Tasks[[#This Row],[_Res3Work]]*Tasks[[#This Row],[_LeafProgress]]</f>
        <v>0</v>
      </c>
      <c r="EA143" s="42" t="str">
        <f aca="false">IF(Tasks[[#This Row],[_Res4Text]]="","",IF(Tasks[[#This Row],[_Res4Row]]&gt;0,INDEX(res_Name,Tasks[[#This Row],[_Res4Row]]),TRIM(LEFT(Tasks[[#This Row],[_Res4Text]],FIND("[",Tasks[[#This Row],[_Res4Text]]&amp;"[")-1))))</f>
        <v/>
      </c>
      <c r="EB14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3" s="42" t="n">
        <f aca="false">IF(OR(NOT(Tasks[[#This Row],[_IsLeaf]]=1),Tasks[[#This Row],[_Res4Row]]=0),0,N(Tasks[[#This Row],[_Days]])*HoursPerDay*IF(Tasks[[#This Row],[_Res4Units]]="",DefaultUnits,Tasks[[#This Row],[_Res4Units]]))</f>
        <v>0</v>
      </c>
      <c r="ED143" s="42" t="n">
        <f aca="false">IF(AND(AND(Tasks[[#This Row],[_IsLeaf]]=1,Tasks[[#This Row],[_LeafTotalWork]]&gt;0),Tasks[[#This Row],[_Res4Work]]&gt;0),Tasks[[#This Row],[_Res4Work]]/(Tasks[[#This Row],[_FinishWorkday]]-Tasks[[#This Row],[_StartWorkday]]+1),0)</f>
        <v>0</v>
      </c>
      <c r="EE143" s="42" t="n">
        <f aca="false">Tasks[[#This Row],[_Res4WorkPerWD]]*MAX(0,Tasks[[#This Row],[_StartWorkday]]-1)</f>
        <v>0</v>
      </c>
      <c r="EF143" s="42" t="n">
        <f aca="false">Tasks[[#This Row],[_Res4Work]]*Tasks[[#This Row],[_LeafProgress]]</f>
        <v>0</v>
      </c>
      <c r="EG143" s="42" t="n">
        <f aca="false">IF(ISNUMBER(Tasks[[#This Row],[% Complete]]),Tasks[[#This Row],[% Complete]],IF(Tasks[[#This Row],[Stage]]="",0,IFERROR(INDEX(stg_Pct,MATCH(Tasks[[#This Row],[Stage]],stg_Name,0)),0)))</f>
        <v>0</v>
      </c>
      <c r="EH143" s="42" t="n">
        <f aca="false">IF(NOT(Tasks[[#This Row],[_IsLeaf]]=1),0,IF(N(Tasks[[#This Row],[Actual Finish]])&gt;0,1,MIN(1,Tasks[[#This Row],[_Pct]])))</f>
        <v>0</v>
      </c>
      <c r="EI143" s="42" t="n">
        <f aca="false">IF(OR(NOT(Tasks[[#This Row],[_IsLeaf]]=1),Tasks[[#This Row],[_Res1Row]]=0),0,N(Tasks[[#This Row],[_Days]])*HoursPerDay*IF(Tasks[[#This Row],[_Units1]]="",DefaultUnits,Tasks[[#This Row],[_Units1]]))</f>
        <v>0</v>
      </c>
      <c r="EJ143" s="42" t="n">
        <f aca="false">Tasks[[#This Row],[_LeafWork]]+Tasks[[#This Row],[_Res2Work]]+Tasks[[#This Row],[_Res3Work]]+Tasks[[#This Row],[_Res4Work]]</f>
        <v>0</v>
      </c>
      <c r="EK14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3" s="42" t="n">
        <f aca="false">IF(NOT(Tasks[[#This Row],[_IsLeaf]]=1),0,MAX(_xlfn.MAXIFS(Tasks[_Row],Tasks[_Pred1UID],Tasks[[#This Row],[UID]]),_xlfn.MAXIFS(Tasks[_Row],Tasks[_Pred2UID],Tasks[[#This Row],[UID]]),_xlfn.MAXIFS(Tasks[_Row],Tasks[_Pred3UID],Tasks[[#This Row],[UID]]),_xlfn.MAXIFS(Tasks[_Row],Tasks[_Pred4UID],Tasks[[#This Row],[UID]])))</f>
        <v>0</v>
      </c>
      <c r="ET14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3" s="89" t="str">
        <f aca="false">IF(NOT(Tasks[[#This Row],[_IsLeaf]]=1),"",IF(N(Tasks[[#This Row],[_Days]])&lt;=0,Tasks[[#This Row],[_LeafLateFinish]],WORKDAY.INTL(Tasks[[#This Row],[_LeafLateFinish]],-(Tasks[[#This Row],[_Days]]-1),WorkWeek,Holidays)))</f>
        <v/>
      </c>
      <c r="EW14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3" s="88" t="b">
        <f aca="false">AND(Tasks[[#This Row],[_IsLeaf]]=1,Tasks[[#This Row],[_LeafProgress]]&lt;1,N(Tasks[[#This Row],[_LeafTotalSlack]])&lt;=CriticalSlackDays)</f>
        <v>0</v>
      </c>
      <c r="EY143" s="42" t="n">
        <f aca="false">IF(AND(Tasks[[#This Row],[_IsLeaf]]=1,Tasks[[#This Row],[_ConstraintCode]]=1,Tasks[[#This Row],[Mode]]&lt;&gt;"Manual",N(Tasks[[#This Row],[Actual Start]])=0),MAX(0,N(Tasks[[#This Row],[Free Slack]])),0)</f>
        <v>0</v>
      </c>
      <c r="EZ143" s="89" t="str">
        <f aca="false">IF(NOT(Tasks[[#This Row],[_IsLeaf]]=1),"",IF(Tasks[[#This Row],[_AlapShift]]=0,Tasks[[#This Row],[_LeafCalcStart]],WORKDAY.INTL(Tasks[[#This Row],[_LeafCalcStart]],Tasks[[#This Row],[_AlapShift]],WorkWeek,Holidays)))</f>
        <v/>
      </c>
      <c r="FA143" s="89" t="str">
        <f aca="false">IF(NOT(Tasks[[#This Row],[_IsLeaf]]=1),"",IF(Tasks[[#This Row],[_AlapShift]]=0,Tasks[[#This Row],[_LeafCalcFinish]],WORKDAY.INTL(Tasks[[#This Row],[_LeafCalcFinish]],Tasks[[#This Row],[_AlapShift]],WorkWeek,Holidays)))</f>
        <v/>
      </c>
      <c r="FB143" s="89" t="str">
        <f aca="false">IF(NOT(Tasks[[#This Row],[_IsLeaf]]=1),"",IF(Tasks[[#This Row],[_AlapShift]]=0,Tasks[[#This Row],[_LeafFcstStart]],WORKDAY.INTL(Tasks[[#This Row],[_LeafFcstStart]],Tasks[[#This Row],[_AlapShift]],WorkWeek,Holidays)))</f>
        <v/>
      </c>
      <c r="FC143" s="89" t="str">
        <f aca="false">IF(NOT(Tasks[[#This Row],[_IsLeaf]]=1),"",IF(Tasks[[#This Row],[_AlapShift]]=0,Tasks[[#This Row],[_LeafFcstFinish]],WORKDAY.INTL(Tasks[[#This Row],[_LeafFcstFinish]],Tasks[[#This Row],[_AlapShift]],WorkWeek,Holidays)))</f>
        <v/>
      </c>
      <c r="FD143" s="89" t="str">
        <f aca="false">IF(Tasks[[#This Row],[Task Name]]="","",IF(Tasks[[#This Row],[_IsSummary]],MIN(INDEX(Tasks[_ShownCalcStart],Tasks[[#This Row],[_Row]]+1):INDEX(Tasks[_ShownCalcStart],Tasks[[#This Row],[_Row]]+Tasks[[#This Row],[_Descendants]])),Tasks[[#This Row],[_ShownCalcStart]]))</f>
        <v/>
      </c>
      <c r="FE143" s="89" t="str">
        <f aca="false">IF(Tasks[[#This Row],[Task Name]]="","",IF(Tasks[[#This Row],[_IsSummary]],MAX(INDEX(Tasks[_ShownCalcFinish],Tasks[[#This Row],[_Row]]+1):INDEX(Tasks[_ShownCalcFinish],Tasks[[#This Row],[_Row]]+Tasks[[#This Row],[_Descendants]])),Tasks[[#This Row],[_ShownCalcFinish]]))</f>
        <v/>
      </c>
      <c r="FF14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3" s="42" t="n">
        <f aca="false">IF(AND(Tasks[[#This Row],[_IsLeaf]]=1,Tasks[[#This Row],[_LeafTotalWork]]&gt;0),NETWORKDAYS.INTL(ProjectStart,Tasks[[#This Row],[_ShownFcstStart]],WorkWeek,Holidays),0)</f>
        <v>0</v>
      </c>
      <c r="FS143" s="42" t="n">
        <f aca="false">IF(AND(Tasks[[#This Row],[_IsLeaf]]=1,Tasks[[#This Row],[_LeafTotalWork]]&gt;0),MAX(Tasks[[#This Row],[_StartWorkday]],NETWORKDAYS.INTL(ProjectStart,Tasks[[#This Row],[_ShownFcstFinish]],WorkWeek,Holidays)),0)</f>
        <v>0</v>
      </c>
      <c r="FT143" s="42" t="n">
        <f aca="false">IF(AND(Tasks[[#This Row],[_IsLeaf]]=1,Tasks[[#This Row],[_LeafTotalWork]]&gt;0),Tasks[[#This Row],[_LeafWork]]/(Tasks[[#This Row],[_FinishWorkday]]-Tasks[[#This Row],[_StartWorkday]]+1),0)</f>
        <v>0</v>
      </c>
      <c r="FU143" s="42" t="n">
        <f aca="false">Tasks[[#This Row],[_WorkPerWorkday]]*(Tasks[[#This Row],[_StartWorkday]]-1)</f>
        <v>-0</v>
      </c>
      <c r="FV143" s="42" t="n">
        <f aca="false">IF(Tasks[[#This Row],[_IsLeaf]]=1,MAX(N(Tasks[[#This Row],[_Days]]),0.1),0)</f>
        <v>0</v>
      </c>
      <c r="FW143" s="42" t="n">
        <f aca="false">Tasks[[#This Row],[_WeightDur]]*Tasks[[#This Row],[_LeafProgress]]</f>
        <v>0</v>
      </c>
      <c r="FX143" s="42" t="n">
        <f aca="false">Tasks[[#This Row],[_WeightDur]]*Tasks[[#This Row],[_PlannedPct]]</f>
        <v>0</v>
      </c>
      <c r="FY14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3" s="42" t="str">
        <f aca="false">IF(AND(Tasks[[#This Row],[_IsLeaf]]=1,N(Tasks[[#This Row],[_Days]])=0,Tasks[[#This Row],[_LeafProgress]]&lt;1),Tasks[[#This Row],[_ShownFcstFinish]]+Tasks[[#This Row],[_Row]]/100000,"")</f>
        <v/>
      </c>
      <c r="GA14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3" s="42" t="str">
        <f aca="false">IF(Tasks[[#This Row],[Task Name]]="","",LEFT(Tasks[[#This Row],[WBS]],FIND(".",Tasks[[#This Row],[WBS]]&amp;".")-1))</f>
        <v/>
      </c>
      <c r="GC143" s="42" t="str">
        <f aca="false">IF(AND(Tasks[[#This Row],[Task Name]]&lt;&gt;"",Tasks[[#This Row],[_Level]]=1),Tasks[[#This Row],[_Row]],"")</f>
        <v/>
      </c>
      <c r="GD143" s="42" t="str">
        <f aca="false">IF(AND(Tasks[[#This Row],[_IsLeaf]]=1,N(Tasks[[#This Row],[_Days]])=0),Tasks[[#This Row],[Planned Finish]]+Tasks[[#This Row],[_Row]]/100000,"")</f>
        <v/>
      </c>
      <c r="GE143" s="42" t="str">
        <f aca="false">IF(AND(Tasks[[#This Row],[_IsLeaf]]=1,Tasks[[#This Row],[_LeafProgress]]&lt;1,OR(N(Tasks[[#This Row],[Finish Var]])&gt;0,Tasks[[#This Row],[Status]]="Late Start")),MAX(0,Tasks[[#This Row],[Finish Var]])+1-Tasks[[#This Row],[_Row]]/1000000,"")</f>
        <v/>
      </c>
      <c r="GF143" s="42" t="str">
        <f aca="false">IF(AND(Tasks[[#This Row],[_IsLeaf]]=1,N(Tasks[[#This Row],[Actual Start]])=0,Tasks[[#This Row],[_ShownFcstStart]]&gt;=StatusDate,Tasks[[#This Row],[_ShownFcstStart]]&lt;=LookaheadEnd),Tasks[[#This Row],[_ShownFcstStart]]+Tasks[[#This Row],[_Row]]/100000,"")</f>
        <v/>
      </c>
      <c r="GG143" s="42" t="str">
        <f aca="false">IF(AND(Tasks[[#This Row],[_IsLeaf]]=1,Tasks[[#This Row],[_LeafProgress]]&lt;1,Tasks[[#This Row],[_ShownFcstFinish]]&gt;=StatusDate,Tasks[[#This Row],[_ShownFcstFinish]]&lt;=LookaheadEnd),Tasks[[#This Row],[_ShownFcstFinish]]+Tasks[[#This Row],[_Row]]/100000,"")</f>
        <v/>
      </c>
      <c r="GH143" s="42" t="str">
        <f aca="false">IF(Tasks[[#This Row],[_LeafCritical]],Tasks[[#This Row],[_ShownFcstStart]]+Tasks[[#This Row],[_Row]]/100000,"")</f>
        <v/>
      </c>
      <c r="GI143" s="42" t="n">
        <f aca="false">Tasks[[#This Row],[_LeafWork]]*Tasks[[#This Row],[_LeafProgress]]</f>
        <v>0</v>
      </c>
      <c r="GJ143" s="89" t="str">
        <f aca="false">IF(AND(Tasks[[#This Row],[_IsLeaf]]=1,Tasks[[#This Row],[_LeafProgress]]&gt;=1),IF(N(Tasks[[#This Row],[Actual Finish]])&gt;0,Tasks[[#This Row],[Actual Finish]],Tasks[[#This Row],[_ShownFcstFinish]]),"")</f>
        <v/>
      </c>
      <c r="GK143" s="42" t="n">
        <f aca="false">IF(Tasks[[#This Row],[_IsLeaf]]=1,N(Tasks[[#This Row],[Story Points]]),0)</f>
        <v>0</v>
      </c>
      <c r="GL143" s="42" t="str">
        <f aca="false">""</f>
        <v/>
      </c>
      <c r="GM143" s="88" t="b">
        <f aca="false">IF(Tasks[[#This Row],[Task Name]]="",FALSE(),AND(Tasks[[#This Row],[_IsLeaf]]=1,N(Tasks[[#This Row],[_Days]])=0))</f>
        <v>0</v>
      </c>
      <c r="GN143" s="89" t="n">
        <f aca="false">IF(Tasks[[#This Row],[Task Name]]="",0,IF(AND(Tasks[[#This Row],[_IsLeaf]]=1,NOT(Tasks[[#This Row],[_IsMilestone]]),N(Tasks[[#This Row],[Progress]])&gt;0),Tasks[[#This Row],[Start]],0))</f>
        <v>0</v>
      </c>
      <c r="GO143" s="89" t="n">
        <f aca="false">IF(Tasks[[#This Row],[_DoneFrom]]=0,0,IF(Tasks[[#This Row],[Progress]]&gt;=1,Tasks[[#This Row],[Finish]],MAX(Tasks[[#This Row],[_DoneFrom]],Tasks[[#This Row],[Start]]+ROUND((Tasks[[#This Row],[Finish]]-Tasks[[#This Row],[Start]]+1)*Tasks[[#This Row],[Progress]],0)-1)))</f>
        <v>0</v>
      </c>
      <c r="GP143" s="89" t="n">
        <f aca="false">IF(Tasks[[#This Row],[Task Name]]="",0,IF(OR(NOT(Tasks[[#This Row],[_IsLeaf]]=1),Tasks[[#This Row],[_IsMilestone]],N(Tasks[[#This Row],[Progress]])&gt;=1),0,IF(Tasks[[#This Row],[_DoneTo]]&gt;0,Tasks[[#This Row],[_DoneTo]]+1,Tasks[[#This Row],[Start]])))</f>
        <v>0</v>
      </c>
      <c r="GQ143" s="89" t="n">
        <f aca="false">IF(Tasks[[#This Row],[_RemFrom]]=0,0,Tasks[[#This Row],[Finish]])</f>
        <v>0</v>
      </c>
      <c r="GR143" s="88" t="b">
        <f aca="false">IF(Tasks[[#This Row],[Task Name]]="",FALSE(),OR(NOT(BaselineSet),N(Tasks[[#This Row],[Baseline Start]])&gt;0))</f>
        <v>0</v>
      </c>
      <c r="GS14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3" s="90" t="str">
        <f aca="false">IF(Tasks[[#This Row],[_IsLeaf]]=1,Tasks[[#This Row],[_Row]],"")</f>
        <v/>
      </c>
      <c r="GW143" s="90" t="str">
        <f aca="false">IFERROR(INDEX(Tasks[UID],SMALL(Tasks[_PickKey],Tasks[[#This Row],[_Row]]))&amp;" "&amp;INDEX(Tasks[Task Name],SMALL(Tasks[_PickKey],Tasks[[#This Row],[_Row]])),"")</f>
        <v/>
      </c>
      <c r="GX143" s="42" t="str">
        <f aca="false">IF(Tasks[[#This Row],[Task Name]]="","",IF(Tasks[[#This Row],[_IsSummary]],NETWORKDAYS.INTL(Tasks[[#This Row],[Start]],Tasks[[#This Row],[Finish]],WorkWeek,Holidays),N(Tasks[[#This Row],[_Days]])))</f>
        <v/>
      </c>
    </row>
    <row r="144" customFormat="false" ht="15" hidden="false" customHeight="false" outlineLevel="0" collapsed="false">
      <c r="A144" s="21" t="str">
        <f aca="false">IF(Tasks[[#This Row],[Task Name]]="","",COUNTA(Tasks[[#Headers],[Task Name]]:Tasks[[#This Row],[Task Name]])-1)</f>
        <v/>
      </c>
      <c r="B144" s="22" t="n">
        <v>152</v>
      </c>
      <c r="C144" s="22"/>
      <c r="D144" s="23"/>
      <c r="E144" s="22"/>
      <c r="F144" s="23"/>
      <c r="G144" s="22"/>
      <c r="H144" s="22"/>
      <c r="I144" s="23"/>
      <c r="J144" s="22"/>
      <c r="K144" s="22"/>
      <c r="L144" s="23"/>
      <c r="M144" s="22"/>
      <c r="N144" s="22"/>
      <c r="O144" s="23"/>
      <c r="P144" s="22"/>
      <c r="Q144" s="22"/>
      <c r="R144" s="23"/>
      <c r="S144" s="23"/>
      <c r="T144" s="83"/>
      <c r="U144" s="23"/>
      <c r="V144" s="83"/>
      <c r="W144" s="23"/>
      <c r="X144" s="83"/>
      <c r="Y144" s="23"/>
      <c r="Z144" s="83"/>
      <c r="AA144" s="23"/>
      <c r="AB144" s="23"/>
      <c r="AC144" s="7"/>
      <c r="AD144" s="7"/>
      <c r="AE144" s="62" t="str">
        <f aca="false">IF(Tasks[[#This Row],[Task Name]]="","",IF(Tasks[[#This Row],[_IsSummary]],MIN(INDEX(Tasks[_ShownFcstStart],Tasks[[#This Row],[_Row]]+1):INDEX(Tasks[_ShownFcstStart],Tasks[[#This Row],[_Row]]+Tasks[[#This Row],[_Descendants]])),Tasks[[#This Row],[_ShownFcstStart]]))</f>
        <v/>
      </c>
      <c r="AF144" s="62" t="str">
        <f aca="false">IF(Tasks[[#This Row],[Task Name]]="","",IF(Tasks[[#This Row],[_IsSummary]],MAX(INDEX(Tasks[_ShownFcstFinish],Tasks[[#This Row],[_Row]]+1):INDEX(Tasks[_ShownFcstFinish],Tasks[[#This Row],[_Row]]+Tasks[[#This Row],[_Descendants]])),Tasks[[#This Row],[_ShownFcstFinish]]))</f>
        <v/>
      </c>
      <c r="AG144" s="21" t="str">
        <f aca="false">""</f>
        <v/>
      </c>
      <c r="AH144" s="23"/>
      <c r="AI14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4" s="7"/>
      <c r="AK144" s="22"/>
      <c r="AL144" s="23"/>
      <c r="AM144" s="7"/>
      <c r="AN144" s="46" t="str">
        <f aca="false">IF(Tasks[[#This Row],[Task Name]]="","",IF(Tasks[[#This Row],[Finish]]&gt;=Tasks[[#This Row],[Planned Finish]],NETWORKDAYS.INTL(Tasks[[#This Row],[Planned Finish]],Tasks[[#This Row],[Finish]],WorkWeek,Holidays)-1,1-NETWORKDAYS.INTL(Tasks[[#This Row],[Finish]],Tasks[[#This Row],[Planned Finish]],WorkWeek,Holidays)))</f>
        <v/>
      </c>
      <c r="AO144" s="21" t="str">
        <f aca="false">IF(Tasks[[#This Row],[Task Name]]="","",IF(Tasks[[#This Row],[Progress]]&gt;=1,"Complete",IF(OR(N(Tasks[[#This Row],[Actual Start]])&gt;0,Tasks[[#This Row],[Progress]]&gt;0),IF(Tasks[[#This Row],[Finish Var]]&gt;0,"Behind","In Progress"),IF(Tasks[[#This Row],[Planned Start]]&lt;StatusDate,"Late Start","Not Started"))))</f>
        <v/>
      </c>
      <c r="AP144" s="21" t="str">
        <f aca="false">IF(Tasks[[#This Row],[Task Name]]="","",IF(IF(Tasks[[#This Row],[_IsSummary]],COUNTIF(INDEX(Tasks[_LeafCritical],Tasks[[#This Row],[_Row]]+1):INDEX(Tasks[_LeafCritical],Tasks[[#This Row],[_Row]]+Tasks[[#This Row],[_Descendants]]),TRUE())&gt;0,Tasks[[#This Row],[_LeafCritical]]),"Yes",""))</f>
        <v/>
      </c>
      <c r="AQ144" s="62" t="str">
        <f aca="false">IF(Tasks[[#This Row],[Task Name]]="","",IF(N(Tasks[[#This Row],[Baseline Start]])&gt;0,Tasks[[#This Row],[Baseline Start]],Tasks[[#This Row],[_CalcStart]]))</f>
        <v/>
      </c>
      <c r="AR144" s="62" t="str">
        <f aca="false">IF(Tasks[[#This Row],[Task Name]]="","",IF(N(Tasks[[#This Row],[Baseline Finish]])&gt;0,Tasks[[#This Row],[Baseline Finish]],Tasks[[#This Row],[_CalcFinish]]))</f>
        <v/>
      </c>
      <c r="AS144" s="46" t="str">
        <f aca="false">IF(Tasks[[#This Row],[Task Name]]="","",IF(Tasks[[#This Row],[Start]]&gt;=Tasks[[#This Row],[Planned Start]],NETWORKDAYS.INTL(Tasks[[#This Row],[Planned Start]],Tasks[[#This Row],[Start]],WorkWeek,Holidays)-1,1-NETWORKDAYS.INTL(Tasks[[#This Row],[Start]],Tasks[[#This Row],[Planned Start]],WorkWeek,Holidays)))</f>
        <v/>
      </c>
      <c r="AT144" s="62" t="str">
        <f aca="false">IF(Tasks[[#This Row],[Task Name]]="","",IF(Tasks[[#This Row],[_IsSummary]],MIN(INDEX(Tasks[_LeafLateStart],Tasks[[#This Row],[_Row]]+1):INDEX(Tasks[_LeafLateStart],Tasks[[#This Row],[_Row]]+Tasks[[#This Row],[_Descendants]])),Tasks[[#This Row],[_LeafLateStart]]))</f>
        <v/>
      </c>
      <c r="AU144" s="62" t="str">
        <f aca="false">IF(Tasks[[#This Row],[Task Name]]="","",IF(Tasks[[#This Row],[_IsSummary]],MAX(INDEX(Tasks[_LeafLateFinish],Tasks[[#This Row],[_Row]]+1):INDEX(Tasks[_LeafLateFinish],Tasks[[#This Row],[_Row]]+Tasks[[#This Row],[_Descendants]])),Tasks[[#This Row],[_LeafLateFinish]]))</f>
        <v/>
      </c>
      <c r="AV144" s="46" t="str">
        <f aca="false">IF(Tasks[[#This Row],[Task Name]]="","",IF(Tasks[[#This Row],[_IsSummary]],MIN(INDEX(Tasks[_LeafTotalSlack],Tasks[[#This Row],[_Row]]+1):INDEX(Tasks[_LeafTotalSlack],Tasks[[#This Row],[_Row]]+Tasks[[#This Row],[_Descendants]])),Tasks[[#This Row],[_LeafTotalSlack]]))</f>
        <v/>
      </c>
      <c r="AW14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4"/>
      <c r="BA14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t="str">
        <f aca="false">IF(Tasks[[#This Row],[Task Name]]="","",IF(Tasks[[#This Row],[_Level]]&lt;=OutlineShowLevel,"Yes","No"))</f>
        <v/>
      </c>
      <c r="BE144" s="85" t="str">
        <f aca="false">IF(Tasks[[#This Row],[Task Name]]="","",IF(Tasks[[#This Row],[_IsSummary]],SUM(INDEX(Tasks[_LeafTotalWork],Tasks[[#This Row],[_Row]]+1):INDEX(Tasks[_LeafTotalWork],Tasks[[#This Row],[_Row]]+Tasks[[#This Row],[_Descendants]])),Tasks[[#This Row],[_LeafTotalWork]]))</f>
        <v/>
      </c>
      <c r="BF144" s="23"/>
      <c r="BG14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t="str">
        <f aca="false">""</f>
        <v/>
      </c>
      <c r="BI144" s="86"/>
      <c r="BJ144" s="22"/>
      <c r="BK144" s="46" t="str">
        <f aca="false">IF(OR(Tasks[[#This Row],[Task Name]]="",Tasks[[#This Row],[Baseline Duration]]=""),"",Tasks[[#This Row],[_SpanDays]]-N(Tasks[[#This Row],[Baseline Duration]]))</f>
        <v/>
      </c>
      <c r="BL144" s="85" t="str">
        <f aca="false">IF(OR(Tasks[[#This Row],[Task Name]]="",Tasks[[#This Row],[Baseline Work]]=""),"",Tasks[[#This Row],[Work]]-N(Tasks[[#This Row],[Baseline Work]]))</f>
        <v/>
      </c>
      <c r="BM144" s="62" t="str">
        <f aca="false">IF(Tasks[[#This Row],[Task Name]]="","",IF(OR(TakeBaseline="Yes",N(Tasks[[#This Row],[Baseline Start]])=0),Tasks[[#This Row],[Start]],Tasks[[#This Row],[Baseline Start]]))</f>
        <v/>
      </c>
      <c r="BN144" s="62" t="str">
        <f aca="false">IF(Tasks[[#This Row],[Task Name]]="","",IF(OR(TakeBaseline="Yes",N(Tasks[[#This Row],[Baseline Finish]])=0),Tasks[[#This Row],[Finish]],Tasks[[#This Row],[Baseline Finish]]))</f>
        <v/>
      </c>
      <c r="BO144" s="21" t="str">
        <f aca="false">IF(Tasks[[#This Row],[Task Name]]="","",IF(OR(TakeBaseline="Yes",N(Tasks[[#This Row],[Baseline Duration]])=0),Tasks[[#This Row],[_SpanDays]],Tasks[[#This Row],[Baseline Duration]]))</f>
        <v/>
      </c>
      <c r="BP144" s="85" t="str">
        <f aca="false">IF(Tasks[[#This Row],[Task Name]]="","",IF(OR(TakeBaseline="Yes",N(Tasks[[#This Row],[Baseline Work]])=0),Tasks[[#This Row],[Work]],Tasks[[#This Row],[Baseline Work]]))</f>
        <v/>
      </c>
      <c r="BQ144" s="7"/>
      <c r="BR144" s="7"/>
      <c r="BS144" s="22"/>
      <c r="BT144" s="87"/>
      <c r="BU144" s="42" t="str">
        <f aca="false">IF(Tasks[[#This Row],[Task Name]]="","",MAX(1,N(Tasks[[#This Row],[Level]])))</f>
        <v/>
      </c>
      <c r="BV144" s="42" t="n">
        <f aca="false">ROW()-ROW(Tasks[[#Headers],[ID]])</f>
        <v>139</v>
      </c>
      <c r="BW144" s="42" t="n">
        <f aca="false">IF(OR(Tasks[[#This Row],[Task Name]]="",Tasks[[#This Row],[_Level]]&lt;=1),0,IFERROR(LOOKUP(2,1/(Tasks[[#Headers],[_Level]]:Tasks[[#This Row],[_Level]]=Tasks[[#This Row],[_Level]]-1),ROW(Tasks[[#Headers],[_Level]]:Tasks[[#This Row],[_Level]])),0))</f>
        <v>0</v>
      </c>
      <c r="BX144" s="42" t="n">
        <f aca="false">IFERROR(N(INDEX(Tasks[_Level],Tasks[[#This Row],[_Row]]+1)),0)</f>
        <v>0</v>
      </c>
      <c r="BY144" s="88" t="b">
        <f aca="false">AND(Tasks[[#This Row],[Task Name]]&lt;&gt;"",Tasks[[#This Row],[_NextLevel]]&gt;Tasks[[#This Row],[_Level]])</f>
        <v>0</v>
      </c>
      <c r="BZ144" s="42" t="n">
        <f aca="false">IF(Tasks[[#This Row],[_IsSummary]],COUNTIF(Tasks[WBS],Tasks[[#This Row],[WBS]]&amp;".*"),0)</f>
        <v>0</v>
      </c>
      <c r="CA144" s="42" t="n">
        <f aca="false">IF(AND(Tasks[[#This Row],[Task Name]]&lt;&gt;"",NOT(Tasks[[#This Row],[_IsSummary]])),1,0)</f>
        <v>0</v>
      </c>
      <c r="CB144" s="42" t="n">
        <f aca="false">IF(N(Tasks[[#This Row],[_Pred1UID]])=0,0,IFERROR(MATCH(Tasks[[#This Row],[_Pred1UID]],Tasks[UID],0),-1))</f>
        <v>0</v>
      </c>
      <c r="CC144" s="42" t="n">
        <f aca="false">IF(N(Tasks[[#This Row],[_Pred2UID]])=0,0,IFERROR(MATCH(Tasks[[#This Row],[_Pred2UID]],Tasks[UID],0),-1))</f>
        <v>0</v>
      </c>
      <c r="CD144" s="42" t="n">
        <f aca="false">IF(N(Tasks[[#This Row],[_Pred3UID]])=0,0,IFERROR(MATCH(Tasks[[#This Row],[_Pred3UID]],Tasks[UID],0),-1))</f>
        <v>0</v>
      </c>
      <c r="CE144" s="42" t="n">
        <f aca="false">IF(N(Tasks[[#This Row],[_Pred4UID]])=0,0,IFERROR(MATCH(Tasks[[#This Row],[_Pred4UID]],Tasks[UID],0),-1))</f>
        <v>0</v>
      </c>
      <c r="CF14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4" s="89" t="n">
        <f aca="false">IF(OR(Tasks[[#This Row],[_ConstraintCode]]=2,Tasks[[#This Row],[_ConstraintCode]]=3,Tasks[[#This Row],[_ConstraintCode]]=4,Tasks[[#This Row],[_ConstraintCode]]=6),Tasks[[#This Row],[_ConstraintStart]],0)</f>
        <v>0</v>
      </c>
      <c r="CI144" s="89" t="n">
        <f aca="false">IF(OR(Tasks[[#This Row],[_ConstraintCode]]=2,Tasks[[#This Row],[_ConstraintCode]]=3,Tasks[[#This Row],[_ConstraintCode]]=5,Tasks[[#This Row],[_ConstraintCode]]=7),Tasks[[#This Row],[_ConstraintStart]],2958465)</f>
        <v>2958465</v>
      </c>
      <c r="CJ14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4" s="89" t="str">
        <f aca="false">IF(NOT(Tasks[[#This Row],[_IsLeaf]]=1),"",IF(N(Tasks[[#This Row],[_Days]])&lt;=0,Tasks[[#This Row],[_LeafCalcStart]],WORKDAY.INTL(Tasks[[#This Row],[_LeafCalcStart]],Tasks[[#This Row],[_Days]]-1,WorkWeek,Holidays)))</f>
        <v/>
      </c>
      <c r="CL14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4" s="42" t="str">
        <f aca="false">IF(Tasks[[#This Row],[_Predecessors]]="","",TRIM(MID(SUBSTITUTE(SUBSTITUTE(SUBSTITUTE(UPPER(Tasks[[#This Row],[_Predecessors]]),";",",")," ",""),",",REPT(" ",99)),1,99)))</f>
        <v/>
      </c>
      <c r="CO144" s="42" t="str">
        <f aca="false">IF(Tasks[[#This Row],[_Pred1Text]]="","",IFERROR(VALUE(LEFT(Tasks[[#This Row],[_Pred1Text]],MIN(FIND("F",Tasks[[#This Row],[_Pred1Text]]&amp;"F"),FIND("S",Tasks[[#This Row],[_Pred1Text]]&amp;"S"),FIND("+",Tasks[[#This Row],[_Pred1Text]]&amp;"+"),FIND("-",Tasks[[#This Row],[_Pred1Text]]&amp;"-"))-1)),""))</f>
        <v/>
      </c>
      <c r="CP14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4" s="42" t="str">
        <f aca="false">IF(Tasks[[#This Row],[_Pred1Text]]="","",TRIM(MID(SUBSTITUTE(SUBSTITUTE(SUBSTITUTE(UPPER(Tasks[[#This Row],[_Predecessors]]),";",",")," ",""),",",REPT(" ",99)),100,99)))</f>
        <v/>
      </c>
      <c r="CS144" s="42" t="str">
        <f aca="false">IF(Tasks[[#This Row],[_Pred2Text]]="","",IFERROR(VALUE(LEFT(Tasks[[#This Row],[_Pred2Text]],MIN(FIND("F",Tasks[[#This Row],[_Pred2Text]]&amp;"F"),FIND("S",Tasks[[#This Row],[_Pred2Text]]&amp;"S"),FIND("+",Tasks[[#This Row],[_Pred2Text]]&amp;"+"),FIND("-",Tasks[[#This Row],[_Pred2Text]]&amp;"-"))-1)),""))</f>
        <v/>
      </c>
      <c r="CT14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4" s="42" t="str">
        <f aca="false">IF(Tasks[[#This Row],[_Pred2Text]]="","",TRIM(MID(SUBSTITUTE(SUBSTITUTE(SUBSTITUTE(UPPER(Tasks[[#This Row],[_Predecessors]]),";",",")," ",""),",",REPT(" ",99)),199,99)))</f>
        <v/>
      </c>
      <c r="CW144" s="42" t="str">
        <f aca="false">IF(Tasks[[#This Row],[_Pred3Text]]="","",IFERROR(VALUE(LEFT(Tasks[[#This Row],[_Pred3Text]],MIN(FIND("F",Tasks[[#This Row],[_Pred3Text]]&amp;"F"),FIND("S",Tasks[[#This Row],[_Pred3Text]]&amp;"S"),FIND("+",Tasks[[#This Row],[_Pred3Text]]&amp;"+"),FIND("-",Tasks[[#This Row],[_Pred3Text]]&amp;"-"))-1)),""))</f>
        <v/>
      </c>
      <c r="CX14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4" s="42" t="str">
        <f aca="false">IF(Tasks[[#This Row],[_Pred3Text]]="","",TRIM(MID(SUBSTITUTE(SUBSTITUTE(SUBSTITUTE(UPPER(Tasks[[#This Row],[_Predecessors]]),";",",")," ",""),",",REPT(" ",99)),298,99)))</f>
        <v/>
      </c>
      <c r="DA144" s="42" t="str">
        <f aca="false">IF(Tasks[[#This Row],[_Pred4Text]]="","",IFERROR(VALUE(LEFT(Tasks[[#This Row],[_Pred4Text]],MIN(FIND("F",Tasks[[#This Row],[_Pred4Text]]&amp;"F"),FIND("S",Tasks[[#This Row],[_Pred4Text]]&amp;"S"),FIND("+",Tasks[[#This Row],[_Pred4Text]]&amp;"+"),FIND("-",Tasks[[#This Row],[_Pred4Text]]&amp;"-"))-1)),""))</f>
        <v/>
      </c>
      <c r="DB14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4" s="42" t="str">
        <f aca="false">IF(OR(Tasks[[#This Row],[Task Name]]="",Tasks[[#This Row],[_Resources]]=""),"",TRIM(MID(SUBSTITUTE(Tasks[[#This Row],[_Resources]],",",REPT(" ",99)),1,99)))</f>
        <v/>
      </c>
      <c r="DE144" s="42" t="str">
        <f aca="false">IF(Tasks[[#This Row],[_Res1Text]]="","",TRIM(MID(SUBSTITUTE(Tasks[[#This Row],[_Resources]],",",REPT(" ",99)),100,99)))</f>
        <v/>
      </c>
      <c r="DF144" s="42" t="str">
        <f aca="false">IF(Tasks[[#This Row],[_Res2Text]]="","",TRIM(MID(SUBSTITUTE(Tasks[[#This Row],[_Resources]],",",REPT(" ",99)),199,99)))</f>
        <v/>
      </c>
      <c r="DG144" s="42" t="str">
        <f aca="false">IF(Tasks[[#This Row],[_Res3Text]]="","",TRIM(MID(SUBSTITUTE(Tasks[[#This Row],[_Resources]],",",REPT(" ",99)),298,99)))</f>
        <v/>
      </c>
      <c r="DH144" s="42" t="n">
        <f aca="false">IF(Tasks[[#This Row],[_Res1Text]]="",0,IFERROR(MATCH(TRIM(LEFT(Tasks[[#This Row],[_Res1Text]],FIND("[",Tasks[[#This Row],[_Res1Text]]&amp;"[")-1)),res_Name,0),IFERROR(MATCH(TRIM(LEFT(Tasks[[#This Row],[_Res1Text]],FIND("[",Tasks[[#This Row],[_Res1Text]]&amp;"[")-1)),res_Initials,0),0)))</f>
        <v>0</v>
      </c>
      <c r="DI144" s="42" t="n">
        <f aca="false">IF(Tasks[[#This Row],[_Res2Text]]="",0,IFERROR(MATCH(TRIM(LEFT(Tasks[[#This Row],[_Res2Text]],FIND("[",Tasks[[#This Row],[_Res2Text]]&amp;"[")-1)),res_Name,0),IFERROR(MATCH(TRIM(LEFT(Tasks[[#This Row],[_Res2Text]],FIND("[",Tasks[[#This Row],[_Res2Text]]&amp;"[")-1)),res_Initials,0),0)))</f>
        <v>0</v>
      </c>
      <c r="DJ144" s="42" t="n">
        <f aca="false">IF(Tasks[[#This Row],[_Res3Text]]="",0,IFERROR(MATCH(TRIM(LEFT(Tasks[[#This Row],[_Res3Text]],FIND("[",Tasks[[#This Row],[_Res3Text]]&amp;"[")-1)),res_Name,0),IFERROR(MATCH(TRIM(LEFT(Tasks[[#This Row],[_Res3Text]],FIND("[",Tasks[[#This Row],[_Res3Text]]&amp;"[")-1)),res_Initials,0),0)))</f>
        <v>0</v>
      </c>
      <c r="DK144" s="42" t="n">
        <f aca="false">IF(Tasks[[#This Row],[_Res4Text]]="",0,IFERROR(MATCH(TRIM(LEFT(Tasks[[#This Row],[_Res4Text]],FIND("[",Tasks[[#This Row],[_Res4Text]]&amp;"[")-1)),res_Name,0),IFERROR(MATCH(TRIM(LEFT(Tasks[[#This Row],[_Res4Text]],FIND("[",Tasks[[#This Row],[_Res4Text]]&amp;"[")-1)),res_Initials,0),0)))</f>
        <v>0</v>
      </c>
      <c r="DL144" s="42" t="str">
        <f aca="false">IF(Tasks[[#This Row],[_Res1Text]]="","",IF(Tasks[[#This Row],[_Res1Row]]&gt;0,INDEX(res_Name,Tasks[[#This Row],[_Res1Row]]),TRIM(LEFT(Tasks[[#This Row],[_Res1Text]],FIND("[",Tasks[[#This Row],[_Res1Text]]&amp;"[")-1))))</f>
        <v/>
      </c>
      <c r="DM14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4" s="42" t="n">
        <f aca="false">IF(NOT(Tasks[[#This Row],[_IsLeaf]]=1),0,(Tasks[[#This Row],[_Resource1]]&lt;&gt;"")+(Tasks[[#This Row],[_Res2]]&lt;&gt;"")+(Tasks[[#This Row],[_Res3]]&lt;&gt;"")+(Tasks[[#This Row],[_Res4]]&lt;&gt;""))</f>
        <v>0</v>
      </c>
      <c r="DO144" s="42" t="str">
        <f aca="false">IF(Tasks[[#This Row],[_Res2Text]]="","",IF(Tasks[[#This Row],[_Res2Row]]&gt;0,INDEX(res_Name,Tasks[[#This Row],[_Res2Row]]),TRIM(LEFT(Tasks[[#This Row],[_Res2Text]],FIND("[",Tasks[[#This Row],[_Res2Text]]&amp;"[")-1))))</f>
        <v/>
      </c>
      <c r="DP14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4" s="42" t="n">
        <f aca="false">IF(OR(NOT(Tasks[[#This Row],[_IsLeaf]]=1),Tasks[[#This Row],[_Res2Row]]=0),0,N(Tasks[[#This Row],[_Days]])*HoursPerDay*IF(Tasks[[#This Row],[_Res2Units]]="",DefaultUnits,Tasks[[#This Row],[_Res2Units]]))</f>
        <v>0</v>
      </c>
      <c r="DR144" s="42" t="n">
        <f aca="false">IF(AND(AND(Tasks[[#This Row],[_IsLeaf]]=1,Tasks[[#This Row],[_LeafTotalWork]]&gt;0),Tasks[[#This Row],[_Res2Work]]&gt;0),Tasks[[#This Row],[_Res2Work]]/(Tasks[[#This Row],[_FinishWorkday]]-Tasks[[#This Row],[_StartWorkday]]+1),0)</f>
        <v>0</v>
      </c>
      <c r="DS144" s="42" t="n">
        <f aca="false">Tasks[[#This Row],[_Res2WorkPerWD]]*MAX(0,Tasks[[#This Row],[_StartWorkday]]-1)</f>
        <v>0</v>
      </c>
      <c r="DT144" s="42" t="n">
        <f aca="false">Tasks[[#This Row],[_Res2Work]]*Tasks[[#This Row],[_LeafProgress]]</f>
        <v>0</v>
      </c>
      <c r="DU144" s="42" t="str">
        <f aca="false">IF(Tasks[[#This Row],[_Res3Text]]="","",IF(Tasks[[#This Row],[_Res3Row]]&gt;0,INDEX(res_Name,Tasks[[#This Row],[_Res3Row]]),TRIM(LEFT(Tasks[[#This Row],[_Res3Text]],FIND("[",Tasks[[#This Row],[_Res3Text]]&amp;"[")-1))))</f>
        <v/>
      </c>
      <c r="DV14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4" s="42" t="n">
        <f aca="false">IF(OR(NOT(Tasks[[#This Row],[_IsLeaf]]=1),Tasks[[#This Row],[_Res3Row]]=0),0,N(Tasks[[#This Row],[_Days]])*HoursPerDay*IF(Tasks[[#This Row],[_Res3Units]]="",DefaultUnits,Tasks[[#This Row],[_Res3Units]]))</f>
        <v>0</v>
      </c>
      <c r="DX144" s="42" t="n">
        <f aca="false">IF(AND(AND(Tasks[[#This Row],[_IsLeaf]]=1,Tasks[[#This Row],[_LeafTotalWork]]&gt;0),Tasks[[#This Row],[_Res3Work]]&gt;0),Tasks[[#This Row],[_Res3Work]]/(Tasks[[#This Row],[_FinishWorkday]]-Tasks[[#This Row],[_StartWorkday]]+1),0)</f>
        <v>0</v>
      </c>
      <c r="DY144" s="42" t="n">
        <f aca="false">Tasks[[#This Row],[_Res3WorkPerWD]]*MAX(0,Tasks[[#This Row],[_StartWorkday]]-1)</f>
        <v>0</v>
      </c>
      <c r="DZ144" s="42" t="n">
        <f aca="false">Tasks[[#This Row],[_Res3Work]]*Tasks[[#This Row],[_LeafProgress]]</f>
        <v>0</v>
      </c>
      <c r="EA144" s="42" t="str">
        <f aca="false">IF(Tasks[[#This Row],[_Res4Text]]="","",IF(Tasks[[#This Row],[_Res4Row]]&gt;0,INDEX(res_Name,Tasks[[#This Row],[_Res4Row]]),TRIM(LEFT(Tasks[[#This Row],[_Res4Text]],FIND("[",Tasks[[#This Row],[_Res4Text]]&amp;"[")-1))))</f>
        <v/>
      </c>
      <c r="EB14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4" s="42" t="n">
        <f aca="false">IF(OR(NOT(Tasks[[#This Row],[_IsLeaf]]=1),Tasks[[#This Row],[_Res4Row]]=0),0,N(Tasks[[#This Row],[_Days]])*HoursPerDay*IF(Tasks[[#This Row],[_Res4Units]]="",DefaultUnits,Tasks[[#This Row],[_Res4Units]]))</f>
        <v>0</v>
      </c>
      <c r="ED144" s="42" t="n">
        <f aca="false">IF(AND(AND(Tasks[[#This Row],[_IsLeaf]]=1,Tasks[[#This Row],[_LeafTotalWork]]&gt;0),Tasks[[#This Row],[_Res4Work]]&gt;0),Tasks[[#This Row],[_Res4Work]]/(Tasks[[#This Row],[_FinishWorkday]]-Tasks[[#This Row],[_StartWorkday]]+1),0)</f>
        <v>0</v>
      </c>
      <c r="EE144" s="42" t="n">
        <f aca="false">Tasks[[#This Row],[_Res4WorkPerWD]]*MAX(0,Tasks[[#This Row],[_StartWorkday]]-1)</f>
        <v>0</v>
      </c>
      <c r="EF144" s="42" t="n">
        <f aca="false">Tasks[[#This Row],[_Res4Work]]*Tasks[[#This Row],[_LeafProgress]]</f>
        <v>0</v>
      </c>
      <c r="EG144" s="42" t="n">
        <f aca="false">IF(ISNUMBER(Tasks[[#This Row],[% Complete]]),Tasks[[#This Row],[% Complete]],IF(Tasks[[#This Row],[Stage]]="",0,IFERROR(INDEX(stg_Pct,MATCH(Tasks[[#This Row],[Stage]],stg_Name,0)),0)))</f>
        <v>0</v>
      </c>
      <c r="EH144" s="42" t="n">
        <f aca="false">IF(NOT(Tasks[[#This Row],[_IsLeaf]]=1),0,IF(N(Tasks[[#This Row],[Actual Finish]])&gt;0,1,MIN(1,Tasks[[#This Row],[_Pct]])))</f>
        <v>0</v>
      </c>
      <c r="EI144" s="42" t="n">
        <f aca="false">IF(OR(NOT(Tasks[[#This Row],[_IsLeaf]]=1),Tasks[[#This Row],[_Res1Row]]=0),0,N(Tasks[[#This Row],[_Days]])*HoursPerDay*IF(Tasks[[#This Row],[_Units1]]="",DefaultUnits,Tasks[[#This Row],[_Units1]]))</f>
        <v>0</v>
      </c>
      <c r="EJ144" s="42" t="n">
        <f aca="false">Tasks[[#This Row],[_LeafWork]]+Tasks[[#This Row],[_Res2Work]]+Tasks[[#This Row],[_Res3Work]]+Tasks[[#This Row],[_Res4Work]]</f>
        <v>0</v>
      </c>
      <c r="EK14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4" s="42" t="n">
        <f aca="false">IF(NOT(Tasks[[#This Row],[_IsLeaf]]=1),0,MAX(_xlfn.MAXIFS(Tasks[_Row],Tasks[_Pred1UID],Tasks[[#This Row],[UID]]),_xlfn.MAXIFS(Tasks[_Row],Tasks[_Pred2UID],Tasks[[#This Row],[UID]]),_xlfn.MAXIFS(Tasks[_Row],Tasks[_Pred3UID],Tasks[[#This Row],[UID]]),_xlfn.MAXIFS(Tasks[_Row],Tasks[_Pred4UID],Tasks[[#This Row],[UID]])))</f>
        <v>0</v>
      </c>
      <c r="ET14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4" s="89" t="str">
        <f aca="false">IF(NOT(Tasks[[#This Row],[_IsLeaf]]=1),"",IF(N(Tasks[[#This Row],[_Days]])&lt;=0,Tasks[[#This Row],[_LeafLateFinish]],WORKDAY.INTL(Tasks[[#This Row],[_LeafLateFinish]],-(Tasks[[#This Row],[_Days]]-1),WorkWeek,Holidays)))</f>
        <v/>
      </c>
      <c r="EW14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4" s="88" t="b">
        <f aca="false">AND(Tasks[[#This Row],[_IsLeaf]]=1,Tasks[[#This Row],[_LeafProgress]]&lt;1,N(Tasks[[#This Row],[_LeafTotalSlack]])&lt;=CriticalSlackDays)</f>
        <v>0</v>
      </c>
      <c r="EY144" s="42" t="n">
        <f aca="false">IF(AND(Tasks[[#This Row],[_IsLeaf]]=1,Tasks[[#This Row],[_ConstraintCode]]=1,Tasks[[#This Row],[Mode]]&lt;&gt;"Manual",N(Tasks[[#This Row],[Actual Start]])=0),MAX(0,N(Tasks[[#This Row],[Free Slack]])),0)</f>
        <v>0</v>
      </c>
      <c r="EZ144" s="89" t="str">
        <f aca="false">IF(NOT(Tasks[[#This Row],[_IsLeaf]]=1),"",IF(Tasks[[#This Row],[_AlapShift]]=0,Tasks[[#This Row],[_LeafCalcStart]],WORKDAY.INTL(Tasks[[#This Row],[_LeafCalcStart]],Tasks[[#This Row],[_AlapShift]],WorkWeek,Holidays)))</f>
        <v/>
      </c>
      <c r="FA144" s="89" t="str">
        <f aca="false">IF(NOT(Tasks[[#This Row],[_IsLeaf]]=1),"",IF(Tasks[[#This Row],[_AlapShift]]=0,Tasks[[#This Row],[_LeafCalcFinish]],WORKDAY.INTL(Tasks[[#This Row],[_LeafCalcFinish]],Tasks[[#This Row],[_AlapShift]],WorkWeek,Holidays)))</f>
        <v/>
      </c>
      <c r="FB144" s="89" t="str">
        <f aca="false">IF(NOT(Tasks[[#This Row],[_IsLeaf]]=1),"",IF(Tasks[[#This Row],[_AlapShift]]=0,Tasks[[#This Row],[_LeafFcstStart]],WORKDAY.INTL(Tasks[[#This Row],[_LeafFcstStart]],Tasks[[#This Row],[_AlapShift]],WorkWeek,Holidays)))</f>
        <v/>
      </c>
      <c r="FC144" s="89" t="str">
        <f aca="false">IF(NOT(Tasks[[#This Row],[_IsLeaf]]=1),"",IF(Tasks[[#This Row],[_AlapShift]]=0,Tasks[[#This Row],[_LeafFcstFinish]],WORKDAY.INTL(Tasks[[#This Row],[_LeafFcstFinish]],Tasks[[#This Row],[_AlapShift]],WorkWeek,Holidays)))</f>
        <v/>
      </c>
      <c r="FD144" s="89" t="str">
        <f aca="false">IF(Tasks[[#This Row],[Task Name]]="","",IF(Tasks[[#This Row],[_IsSummary]],MIN(INDEX(Tasks[_ShownCalcStart],Tasks[[#This Row],[_Row]]+1):INDEX(Tasks[_ShownCalcStart],Tasks[[#This Row],[_Row]]+Tasks[[#This Row],[_Descendants]])),Tasks[[#This Row],[_ShownCalcStart]]))</f>
        <v/>
      </c>
      <c r="FE144" s="89" t="str">
        <f aca="false">IF(Tasks[[#This Row],[Task Name]]="","",IF(Tasks[[#This Row],[_IsSummary]],MAX(INDEX(Tasks[_ShownCalcFinish],Tasks[[#This Row],[_Row]]+1):INDEX(Tasks[_ShownCalcFinish],Tasks[[#This Row],[_Row]]+Tasks[[#This Row],[_Descendants]])),Tasks[[#This Row],[_ShownCalcFinish]]))</f>
        <v/>
      </c>
      <c r="FF14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4" s="42" t="n">
        <f aca="false">IF(AND(Tasks[[#This Row],[_IsLeaf]]=1,Tasks[[#This Row],[_LeafTotalWork]]&gt;0),NETWORKDAYS.INTL(ProjectStart,Tasks[[#This Row],[_ShownFcstStart]],WorkWeek,Holidays),0)</f>
        <v>0</v>
      </c>
      <c r="FS144" s="42" t="n">
        <f aca="false">IF(AND(Tasks[[#This Row],[_IsLeaf]]=1,Tasks[[#This Row],[_LeafTotalWork]]&gt;0),MAX(Tasks[[#This Row],[_StartWorkday]],NETWORKDAYS.INTL(ProjectStart,Tasks[[#This Row],[_ShownFcstFinish]],WorkWeek,Holidays)),0)</f>
        <v>0</v>
      </c>
      <c r="FT144" s="42" t="n">
        <f aca="false">IF(AND(Tasks[[#This Row],[_IsLeaf]]=1,Tasks[[#This Row],[_LeafTotalWork]]&gt;0),Tasks[[#This Row],[_LeafWork]]/(Tasks[[#This Row],[_FinishWorkday]]-Tasks[[#This Row],[_StartWorkday]]+1),0)</f>
        <v>0</v>
      </c>
      <c r="FU144" s="42" t="n">
        <f aca="false">Tasks[[#This Row],[_WorkPerWorkday]]*(Tasks[[#This Row],[_StartWorkday]]-1)</f>
        <v>-0</v>
      </c>
      <c r="FV144" s="42" t="n">
        <f aca="false">IF(Tasks[[#This Row],[_IsLeaf]]=1,MAX(N(Tasks[[#This Row],[_Days]]),0.1),0)</f>
        <v>0</v>
      </c>
      <c r="FW144" s="42" t="n">
        <f aca="false">Tasks[[#This Row],[_WeightDur]]*Tasks[[#This Row],[_LeafProgress]]</f>
        <v>0</v>
      </c>
      <c r="FX144" s="42" t="n">
        <f aca="false">Tasks[[#This Row],[_WeightDur]]*Tasks[[#This Row],[_PlannedPct]]</f>
        <v>0</v>
      </c>
      <c r="FY14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4" s="42" t="str">
        <f aca="false">IF(AND(Tasks[[#This Row],[_IsLeaf]]=1,N(Tasks[[#This Row],[_Days]])=0,Tasks[[#This Row],[_LeafProgress]]&lt;1),Tasks[[#This Row],[_ShownFcstFinish]]+Tasks[[#This Row],[_Row]]/100000,"")</f>
        <v/>
      </c>
      <c r="GA14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4" s="42" t="str">
        <f aca="false">IF(Tasks[[#This Row],[Task Name]]="","",LEFT(Tasks[[#This Row],[WBS]],FIND(".",Tasks[[#This Row],[WBS]]&amp;".")-1))</f>
        <v/>
      </c>
      <c r="GC144" s="42" t="str">
        <f aca="false">IF(AND(Tasks[[#This Row],[Task Name]]&lt;&gt;"",Tasks[[#This Row],[_Level]]=1),Tasks[[#This Row],[_Row]],"")</f>
        <v/>
      </c>
      <c r="GD144" s="42" t="str">
        <f aca="false">IF(AND(Tasks[[#This Row],[_IsLeaf]]=1,N(Tasks[[#This Row],[_Days]])=0),Tasks[[#This Row],[Planned Finish]]+Tasks[[#This Row],[_Row]]/100000,"")</f>
        <v/>
      </c>
      <c r="GE144" s="42" t="str">
        <f aca="false">IF(AND(Tasks[[#This Row],[_IsLeaf]]=1,Tasks[[#This Row],[_LeafProgress]]&lt;1,OR(N(Tasks[[#This Row],[Finish Var]])&gt;0,Tasks[[#This Row],[Status]]="Late Start")),MAX(0,Tasks[[#This Row],[Finish Var]])+1-Tasks[[#This Row],[_Row]]/1000000,"")</f>
        <v/>
      </c>
      <c r="GF144" s="42" t="str">
        <f aca="false">IF(AND(Tasks[[#This Row],[_IsLeaf]]=1,N(Tasks[[#This Row],[Actual Start]])=0,Tasks[[#This Row],[_ShownFcstStart]]&gt;=StatusDate,Tasks[[#This Row],[_ShownFcstStart]]&lt;=LookaheadEnd),Tasks[[#This Row],[_ShownFcstStart]]+Tasks[[#This Row],[_Row]]/100000,"")</f>
        <v/>
      </c>
      <c r="GG144" s="42" t="str">
        <f aca="false">IF(AND(Tasks[[#This Row],[_IsLeaf]]=1,Tasks[[#This Row],[_LeafProgress]]&lt;1,Tasks[[#This Row],[_ShownFcstFinish]]&gt;=StatusDate,Tasks[[#This Row],[_ShownFcstFinish]]&lt;=LookaheadEnd),Tasks[[#This Row],[_ShownFcstFinish]]+Tasks[[#This Row],[_Row]]/100000,"")</f>
        <v/>
      </c>
      <c r="GH144" s="42" t="str">
        <f aca="false">IF(Tasks[[#This Row],[_LeafCritical]],Tasks[[#This Row],[_ShownFcstStart]]+Tasks[[#This Row],[_Row]]/100000,"")</f>
        <v/>
      </c>
      <c r="GI144" s="42" t="n">
        <f aca="false">Tasks[[#This Row],[_LeafWork]]*Tasks[[#This Row],[_LeafProgress]]</f>
        <v>0</v>
      </c>
      <c r="GJ144" s="89" t="str">
        <f aca="false">IF(AND(Tasks[[#This Row],[_IsLeaf]]=1,Tasks[[#This Row],[_LeafProgress]]&gt;=1),IF(N(Tasks[[#This Row],[Actual Finish]])&gt;0,Tasks[[#This Row],[Actual Finish]],Tasks[[#This Row],[_ShownFcstFinish]]),"")</f>
        <v/>
      </c>
      <c r="GK144" s="42" t="n">
        <f aca="false">IF(Tasks[[#This Row],[_IsLeaf]]=1,N(Tasks[[#This Row],[Story Points]]),0)</f>
        <v>0</v>
      </c>
      <c r="GL144" s="42" t="str">
        <f aca="false">""</f>
        <v/>
      </c>
      <c r="GM144" s="88" t="b">
        <f aca="false">IF(Tasks[[#This Row],[Task Name]]="",FALSE(),AND(Tasks[[#This Row],[_IsLeaf]]=1,N(Tasks[[#This Row],[_Days]])=0))</f>
        <v>0</v>
      </c>
      <c r="GN144" s="89" t="n">
        <f aca="false">IF(Tasks[[#This Row],[Task Name]]="",0,IF(AND(Tasks[[#This Row],[_IsLeaf]]=1,NOT(Tasks[[#This Row],[_IsMilestone]]),N(Tasks[[#This Row],[Progress]])&gt;0),Tasks[[#This Row],[Start]],0))</f>
        <v>0</v>
      </c>
      <c r="GO144" s="89" t="n">
        <f aca="false">IF(Tasks[[#This Row],[_DoneFrom]]=0,0,IF(Tasks[[#This Row],[Progress]]&gt;=1,Tasks[[#This Row],[Finish]],MAX(Tasks[[#This Row],[_DoneFrom]],Tasks[[#This Row],[Start]]+ROUND((Tasks[[#This Row],[Finish]]-Tasks[[#This Row],[Start]]+1)*Tasks[[#This Row],[Progress]],0)-1)))</f>
        <v>0</v>
      </c>
      <c r="GP144" s="89" t="n">
        <f aca="false">IF(Tasks[[#This Row],[Task Name]]="",0,IF(OR(NOT(Tasks[[#This Row],[_IsLeaf]]=1),Tasks[[#This Row],[_IsMilestone]],N(Tasks[[#This Row],[Progress]])&gt;=1),0,IF(Tasks[[#This Row],[_DoneTo]]&gt;0,Tasks[[#This Row],[_DoneTo]]+1,Tasks[[#This Row],[Start]])))</f>
        <v>0</v>
      </c>
      <c r="GQ144" s="89" t="n">
        <f aca="false">IF(Tasks[[#This Row],[_RemFrom]]=0,0,Tasks[[#This Row],[Finish]])</f>
        <v>0</v>
      </c>
      <c r="GR144" s="88" t="b">
        <f aca="false">IF(Tasks[[#This Row],[Task Name]]="",FALSE(),OR(NOT(BaselineSet),N(Tasks[[#This Row],[Baseline Start]])&gt;0))</f>
        <v>0</v>
      </c>
      <c r="GS14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4" s="90" t="str">
        <f aca="false">IF(Tasks[[#This Row],[_IsLeaf]]=1,Tasks[[#This Row],[_Row]],"")</f>
        <v/>
      </c>
      <c r="GW144" s="90" t="str">
        <f aca="false">IFERROR(INDEX(Tasks[UID],SMALL(Tasks[_PickKey],Tasks[[#This Row],[_Row]]))&amp;" "&amp;INDEX(Tasks[Task Name],SMALL(Tasks[_PickKey],Tasks[[#This Row],[_Row]])),"")</f>
        <v/>
      </c>
      <c r="GX144" s="42" t="str">
        <f aca="false">IF(Tasks[[#This Row],[Task Name]]="","",IF(Tasks[[#This Row],[_IsSummary]],NETWORKDAYS.INTL(Tasks[[#This Row],[Start]],Tasks[[#This Row],[Finish]],WorkWeek,Holidays),N(Tasks[[#This Row],[_Days]])))</f>
        <v/>
      </c>
    </row>
    <row r="145" customFormat="false" ht="15" hidden="false" customHeight="false" outlineLevel="0" collapsed="false">
      <c r="A145" s="21" t="str">
        <f aca="false">IF(Tasks[[#This Row],[Task Name]]="","",COUNTA(Tasks[[#Headers],[Task Name]]:Tasks[[#This Row],[Task Name]])-1)</f>
        <v/>
      </c>
      <c r="B145" s="22" t="n">
        <v>153</v>
      </c>
      <c r="C145" s="22"/>
      <c r="D145" s="23"/>
      <c r="E145" s="22"/>
      <c r="F145" s="23"/>
      <c r="G145" s="22"/>
      <c r="H145" s="22"/>
      <c r="I145" s="23"/>
      <c r="J145" s="22"/>
      <c r="K145" s="22"/>
      <c r="L145" s="23"/>
      <c r="M145" s="22"/>
      <c r="N145" s="22"/>
      <c r="O145" s="23"/>
      <c r="P145" s="22"/>
      <c r="Q145" s="22"/>
      <c r="R145" s="23"/>
      <c r="S145" s="23"/>
      <c r="T145" s="83"/>
      <c r="U145" s="23"/>
      <c r="V145" s="83"/>
      <c r="W145" s="23"/>
      <c r="X145" s="83"/>
      <c r="Y145" s="23"/>
      <c r="Z145" s="83"/>
      <c r="AA145" s="23"/>
      <c r="AB145" s="23"/>
      <c r="AC145" s="7"/>
      <c r="AD145" s="7"/>
      <c r="AE145" s="62" t="str">
        <f aca="false">IF(Tasks[[#This Row],[Task Name]]="","",IF(Tasks[[#This Row],[_IsSummary]],MIN(INDEX(Tasks[_ShownFcstStart],Tasks[[#This Row],[_Row]]+1):INDEX(Tasks[_ShownFcstStart],Tasks[[#This Row],[_Row]]+Tasks[[#This Row],[_Descendants]])),Tasks[[#This Row],[_ShownFcstStart]]))</f>
        <v/>
      </c>
      <c r="AF145" s="62" t="str">
        <f aca="false">IF(Tasks[[#This Row],[Task Name]]="","",IF(Tasks[[#This Row],[_IsSummary]],MAX(INDEX(Tasks[_ShownFcstFinish],Tasks[[#This Row],[_Row]]+1):INDEX(Tasks[_ShownFcstFinish],Tasks[[#This Row],[_Row]]+Tasks[[#This Row],[_Descendants]])),Tasks[[#This Row],[_ShownFcstFinish]]))</f>
        <v/>
      </c>
      <c r="AG145" s="21" t="str">
        <f aca="false">""</f>
        <v/>
      </c>
      <c r="AH145" s="23"/>
      <c r="AI14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5" s="7"/>
      <c r="AK145" s="22"/>
      <c r="AL145" s="23"/>
      <c r="AM145" s="7"/>
      <c r="AN145" s="46" t="str">
        <f aca="false">IF(Tasks[[#This Row],[Task Name]]="","",IF(Tasks[[#This Row],[Finish]]&gt;=Tasks[[#This Row],[Planned Finish]],NETWORKDAYS.INTL(Tasks[[#This Row],[Planned Finish]],Tasks[[#This Row],[Finish]],WorkWeek,Holidays)-1,1-NETWORKDAYS.INTL(Tasks[[#This Row],[Finish]],Tasks[[#This Row],[Planned Finish]],WorkWeek,Holidays)))</f>
        <v/>
      </c>
      <c r="AO145" s="21" t="str">
        <f aca="false">IF(Tasks[[#This Row],[Task Name]]="","",IF(Tasks[[#This Row],[Progress]]&gt;=1,"Complete",IF(OR(N(Tasks[[#This Row],[Actual Start]])&gt;0,Tasks[[#This Row],[Progress]]&gt;0),IF(Tasks[[#This Row],[Finish Var]]&gt;0,"Behind","In Progress"),IF(Tasks[[#This Row],[Planned Start]]&lt;StatusDate,"Late Start","Not Started"))))</f>
        <v/>
      </c>
      <c r="AP145" s="21" t="str">
        <f aca="false">IF(Tasks[[#This Row],[Task Name]]="","",IF(IF(Tasks[[#This Row],[_IsSummary]],COUNTIF(INDEX(Tasks[_LeafCritical],Tasks[[#This Row],[_Row]]+1):INDEX(Tasks[_LeafCritical],Tasks[[#This Row],[_Row]]+Tasks[[#This Row],[_Descendants]]),TRUE())&gt;0,Tasks[[#This Row],[_LeafCritical]]),"Yes",""))</f>
        <v/>
      </c>
      <c r="AQ145" s="62" t="str">
        <f aca="false">IF(Tasks[[#This Row],[Task Name]]="","",IF(N(Tasks[[#This Row],[Baseline Start]])&gt;0,Tasks[[#This Row],[Baseline Start]],Tasks[[#This Row],[_CalcStart]]))</f>
        <v/>
      </c>
      <c r="AR145" s="62" t="str">
        <f aca="false">IF(Tasks[[#This Row],[Task Name]]="","",IF(N(Tasks[[#This Row],[Baseline Finish]])&gt;0,Tasks[[#This Row],[Baseline Finish]],Tasks[[#This Row],[_CalcFinish]]))</f>
        <v/>
      </c>
      <c r="AS145" s="46" t="str">
        <f aca="false">IF(Tasks[[#This Row],[Task Name]]="","",IF(Tasks[[#This Row],[Start]]&gt;=Tasks[[#This Row],[Planned Start]],NETWORKDAYS.INTL(Tasks[[#This Row],[Planned Start]],Tasks[[#This Row],[Start]],WorkWeek,Holidays)-1,1-NETWORKDAYS.INTL(Tasks[[#This Row],[Start]],Tasks[[#This Row],[Planned Start]],WorkWeek,Holidays)))</f>
        <v/>
      </c>
      <c r="AT145" s="62" t="str">
        <f aca="false">IF(Tasks[[#This Row],[Task Name]]="","",IF(Tasks[[#This Row],[_IsSummary]],MIN(INDEX(Tasks[_LeafLateStart],Tasks[[#This Row],[_Row]]+1):INDEX(Tasks[_LeafLateStart],Tasks[[#This Row],[_Row]]+Tasks[[#This Row],[_Descendants]])),Tasks[[#This Row],[_LeafLateStart]]))</f>
        <v/>
      </c>
      <c r="AU145" s="62" t="str">
        <f aca="false">IF(Tasks[[#This Row],[Task Name]]="","",IF(Tasks[[#This Row],[_IsSummary]],MAX(INDEX(Tasks[_LeafLateFinish],Tasks[[#This Row],[_Row]]+1):INDEX(Tasks[_LeafLateFinish],Tasks[[#This Row],[_Row]]+Tasks[[#This Row],[_Descendants]])),Tasks[[#This Row],[_LeafLateFinish]]))</f>
        <v/>
      </c>
      <c r="AV145" s="46" t="str">
        <f aca="false">IF(Tasks[[#This Row],[Task Name]]="","",IF(Tasks[[#This Row],[_IsSummary]],MIN(INDEX(Tasks[_LeafTotalSlack],Tasks[[#This Row],[_Row]]+1):INDEX(Tasks[_LeafTotalSlack],Tasks[[#This Row],[_Row]]+Tasks[[#This Row],[_Descendants]])),Tasks[[#This Row],[_LeafTotalSlack]]))</f>
        <v/>
      </c>
      <c r="AW14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4"/>
      <c r="BA14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t="str">
        <f aca="false">IF(Tasks[[#This Row],[Task Name]]="","",IF(Tasks[[#This Row],[_Level]]&lt;=OutlineShowLevel,"Yes","No"))</f>
        <v/>
      </c>
      <c r="BE145" s="85" t="str">
        <f aca="false">IF(Tasks[[#This Row],[Task Name]]="","",IF(Tasks[[#This Row],[_IsSummary]],SUM(INDEX(Tasks[_LeafTotalWork],Tasks[[#This Row],[_Row]]+1):INDEX(Tasks[_LeafTotalWork],Tasks[[#This Row],[_Row]]+Tasks[[#This Row],[_Descendants]])),Tasks[[#This Row],[_LeafTotalWork]]))</f>
        <v/>
      </c>
      <c r="BF145" s="23"/>
      <c r="BG14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t="str">
        <f aca="false">""</f>
        <v/>
      </c>
      <c r="BI145" s="86"/>
      <c r="BJ145" s="22"/>
      <c r="BK145" s="46" t="str">
        <f aca="false">IF(OR(Tasks[[#This Row],[Task Name]]="",Tasks[[#This Row],[Baseline Duration]]=""),"",Tasks[[#This Row],[_SpanDays]]-N(Tasks[[#This Row],[Baseline Duration]]))</f>
        <v/>
      </c>
      <c r="BL145" s="85" t="str">
        <f aca="false">IF(OR(Tasks[[#This Row],[Task Name]]="",Tasks[[#This Row],[Baseline Work]]=""),"",Tasks[[#This Row],[Work]]-N(Tasks[[#This Row],[Baseline Work]]))</f>
        <v/>
      </c>
      <c r="BM145" s="62" t="str">
        <f aca="false">IF(Tasks[[#This Row],[Task Name]]="","",IF(OR(TakeBaseline="Yes",N(Tasks[[#This Row],[Baseline Start]])=0),Tasks[[#This Row],[Start]],Tasks[[#This Row],[Baseline Start]]))</f>
        <v/>
      </c>
      <c r="BN145" s="62" t="str">
        <f aca="false">IF(Tasks[[#This Row],[Task Name]]="","",IF(OR(TakeBaseline="Yes",N(Tasks[[#This Row],[Baseline Finish]])=0),Tasks[[#This Row],[Finish]],Tasks[[#This Row],[Baseline Finish]]))</f>
        <v/>
      </c>
      <c r="BO145" s="21" t="str">
        <f aca="false">IF(Tasks[[#This Row],[Task Name]]="","",IF(OR(TakeBaseline="Yes",N(Tasks[[#This Row],[Baseline Duration]])=0),Tasks[[#This Row],[_SpanDays]],Tasks[[#This Row],[Baseline Duration]]))</f>
        <v/>
      </c>
      <c r="BP145" s="85" t="str">
        <f aca="false">IF(Tasks[[#This Row],[Task Name]]="","",IF(OR(TakeBaseline="Yes",N(Tasks[[#This Row],[Baseline Work]])=0),Tasks[[#This Row],[Work]],Tasks[[#This Row],[Baseline Work]]))</f>
        <v/>
      </c>
      <c r="BQ145" s="7"/>
      <c r="BR145" s="7"/>
      <c r="BS145" s="22"/>
      <c r="BT145" s="87"/>
      <c r="BU145" s="42" t="str">
        <f aca="false">IF(Tasks[[#This Row],[Task Name]]="","",MAX(1,N(Tasks[[#This Row],[Level]])))</f>
        <v/>
      </c>
      <c r="BV145" s="42" t="n">
        <f aca="false">ROW()-ROW(Tasks[[#Headers],[ID]])</f>
        <v>140</v>
      </c>
      <c r="BW145" s="42" t="n">
        <f aca="false">IF(OR(Tasks[[#This Row],[Task Name]]="",Tasks[[#This Row],[_Level]]&lt;=1),0,IFERROR(LOOKUP(2,1/(Tasks[[#Headers],[_Level]]:Tasks[[#This Row],[_Level]]=Tasks[[#This Row],[_Level]]-1),ROW(Tasks[[#Headers],[_Level]]:Tasks[[#This Row],[_Level]])),0))</f>
        <v>0</v>
      </c>
      <c r="BX145" s="42" t="n">
        <f aca="false">IFERROR(N(INDEX(Tasks[_Level],Tasks[[#This Row],[_Row]]+1)),0)</f>
        <v>0</v>
      </c>
      <c r="BY145" s="88" t="b">
        <f aca="false">AND(Tasks[[#This Row],[Task Name]]&lt;&gt;"",Tasks[[#This Row],[_NextLevel]]&gt;Tasks[[#This Row],[_Level]])</f>
        <v>0</v>
      </c>
      <c r="BZ145" s="42" t="n">
        <f aca="false">IF(Tasks[[#This Row],[_IsSummary]],COUNTIF(Tasks[WBS],Tasks[[#This Row],[WBS]]&amp;".*"),0)</f>
        <v>0</v>
      </c>
      <c r="CA145" s="42" t="n">
        <f aca="false">IF(AND(Tasks[[#This Row],[Task Name]]&lt;&gt;"",NOT(Tasks[[#This Row],[_IsSummary]])),1,0)</f>
        <v>0</v>
      </c>
      <c r="CB145" s="42" t="n">
        <f aca="false">IF(N(Tasks[[#This Row],[_Pred1UID]])=0,0,IFERROR(MATCH(Tasks[[#This Row],[_Pred1UID]],Tasks[UID],0),-1))</f>
        <v>0</v>
      </c>
      <c r="CC145" s="42" t="n">
        <f aca="false">IF(N(Tasks[[#This Row],[_Pred2UID]])=0,0,IFERROR(MATCH(Tasks[[#This Row],[_Pred2UID]],Tasks[UID],0),-1))</f>
        <v>0</v>
      </c>
      <c r="CD145" s="42" t="n">
        <f aca="false">IF(N(Tasks[[#This Row],[_Pred3UID]])=0,0,IFERROR(MATCH(Tasks[[#This Row],[_Pred3UID]],Tasks[UID],0),-1))</f>
        <v>0</v>
      </c>
      <c r="CE145" s="42" t="n">
        <f aca="false">IF(N(Tasks[[#This Row],[_Pred4UID]])=0,0,IFERROR(MATCH(Tasks[[#This Row],[_Pred4UID]],Tasks[UID],0),-1))</f>
        <v>0</v>
      </c>
      <c r="CF14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5" s="89" t="n">
        <f aca="false">IF(OR(Tasks[[#This Row],[_ConstraintCode]]=2,Tasks[[#This Row],[_ConstraintCode]]=3,Tasks[[#This Row],[_ConstraintCode]]=4,Tasks[[#This Row],[_ConstraintCode]]=6),Tasks[[#This Row],[_ConstraintStart]],0)</f>
        <v>0</v>
      </c>
      <c r="CI145" s="89" t="n">
        <f aca="false">IF(OR(Tasks[[#This Row],[_ConstraintCode]]=2,Tasks[[#This Row],[_ConstraintCode]]=3,Tasks[[#This Row],[_ConstraintCode]]=5,Tasks[[#This Row],[_ConstraintCode]]=7),Tasks[[#This Row],[_ConstraintStart]],2958465)</f>
        <v>2958465</v>
      </c>
      <c r="CJ14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5" s="89" t="str">
        <f aca="false">IF(NOT(Tasks[[#This Row],[_IsLeaf]]=1),"",IF(N(Tasks[[#This Row],[_Days]])&lt;=0,Tasks[[#This Row],[_LeafCalcStart]],WORKDAY.INTL(Tasks[[#This Row],[_LeafCalcStart]],Tasks[[#This Row],[_Days]]-1,WorkWeek,Holidays)))</f>
        <v/>
      </c>
      <c r="CL14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5" s="42" t="str">
        <f aca="false">IF(Tasks[[#This Row],[_Predecessors]]="","",TRIM(MID(SUBSTITUTE(SUBSTITUTE(SUBSTITUTE(UPPER(Tasks[[#This Row],[_Predecessors]]),";",",")," ",""),",",REPT(" ",99)),1,99)))</f>
        <v/>
      </c>
      <c r="CO145" s="42" t="str">
        <f aca="false">IF(Tasks[[#This Row],[_Pred1Text]]="","",IFERROR(VALUE(LEFT(Tasks[[#This Row],[_Pred1Text]],MIN(FIND("F",Tasks[[#This Row],[_Pred1Text]]&amp;"F"),FIND("S",Tasks[[#This Row],[_Pred1Text]]&amp;"S"),FIND("+",Tasks[[#This Row],[_Pred1Text]]&amp;"+"),FIND("-",Tasks[[#This Row],[_Pred1Text]]&amp;"-"))-1)),""))</f>
        <v/>
      </c>
      <c r="CP14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5" s="42" t="str">
        <f aca="false">IF(Tasks[[#This Row],[_Pred1Text]]="","",TRIM(MID(SUBSTITUTE(SUBSTITUTE(SUBSTITUTE(UPPER(Tasks[[#This Row],[_Predecessors]]),";",",")," ",""),",",REPT(" ",99)),100,99)))</f>
        <v/>
      </c>
      <c r="CS145" s="42" t="str">
        <f aca="false">IF(Tasks[[#This Row],[_Pred2Text]]="","",IFERROR(VALUE(LEFT(Tasks[[#This Row],[_Pred2Text]],MIN(FIND("F",Tasks[[#This Row],[_Pred2Text]]&amp;"F"),FIND("S",Tasks[[#This Row],[_Pred2Text]]&amp;"S"),FIND("+",Tasks[[#This Row],[_Pred2Text]]&amp;"+"),FIND("-",Tasks[[#This Row],[_Pred2Text]]&amp;"-"))-1)),""))</f>
        <v/>
      </c>
      <c r="CT14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5" s="42" t="str">
        <f aca="false">IF(Tasks[[#This Row],[_Pred2Text]]="","",TRIM(MID(SUBSTITUTE(SUBSTITUTE(SUBSTITUTE(UPPER(Tasks[[#This Row],[_Predecessors]]),";",",")," ",""),",",REPT(" ",99)),199,99)))</f>
        <v/>
      </c>
      <c r="CW145" s="42" t="str">
        <f aca="false">IF(Tasks[[#This Row],[_Pred3Text]]="","",IFERROR(VALUE(LEFT(Tasks[[#This Row],[_Pred3Text]],MIN(FIND("F",Tasks[[#This Row],[_Pred3Text]]&amp;"F"),FIND("S",Tasks[[#This Row],[_Pred3Text]]&amp;"S"),FIND("+",Tasks[[#This Row],[_Pred3Text]]&amp;"+"),FIND("-",Tasks[[#This Row],[_Pred3Text]]&amp;"-"))-1)),""))</f>
        <v/>
      </c>
      <c r="CX14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5" s="42" t="str">
        <f aca="false">IF(Tasks[[#This Row],[_Pred3Text]]="","",TRIM(MID(SUBSTITUTE(SUBSTITUTE(SUBSTITUTE(UPPER(Tasks[[#This Row],[_Predecessors]]),";",",")," ",""),",",REPT(" ",99)),298,99)))</f>
        <v/>
      </c>
      <c r="DA145" s="42" t="str">
        <f aca="false">IF(Tasks[[#This Row],[_Pred4Text]]="","",IFERROR(VALUE(LEFT(Tasks[[#This Row],[_Pred4Text]],MIN(FIND("F",Tasks[[#This Row],[_Pred4Text]]&amp;"F"),FIND("S",Tasks[[#This Row],[_Pred4Text]]&amp;"S"),FIND("+",Tasks[[#This Row],[_Pred4Text]]&amp;"+"),FIND("-",Tasks[[#This Row],[_Pred4Text]]&amp;"-"))-1)),""))</f>
        <v/>
      </c>
      <c r="DB14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5" s="42" t="str">
        <f aca="false">IF(OR(Tasks[[#This Row],[Task Name]]="",Tasks[[#This Row],[_Resources]]=""),"",TRIM(MID(SUBSTITUTE(Tasks[[#This Row],[_Resources]],",",REPT(" ",99)),1,99)))</f>
        <v/>
      </c>
      <c r="DE145" s="42" t="str">
        <f aca="false">IF(Tasks[[#This Row],[_Res1Text]]="","",TRIM(MID(SUBSTITUTE(Tasks[[#This Row],[_Resources]],",",REPT(" ",99)),100,99)))</f>
        <v/>
      </c>
      <c r="DF145" s="42" t="str">
        <f aca="false">IF(Tasks[[#This Row],[_Res2Text]]="","",TRIM(MID(SUBSTITUTE(Tasks[[#This Row],[_Resources]],",",REPT(" ",99)),199,99)))</f>
        <v/>
      </c>
      <c r="DG145" s="42" t="str">
        <f aca="false">IF(Tasks[[#This Row],[_Res3Text]]="","",TRIM(MID(SUBSTITUTE(Tasks[[#This Row],[_Resources]],",",REPT(" ",99)),298,99)))</f>
        <v/>
      </c>
      <c r="DH145" s="42" t="n">
        <f aca="false">IF(Tasks[[#This Row],[_Res1Text]]="",0,IFERROR(MATCH(TRIM(LEFT(Tasks[[#This Row],[_Res1Text]],FIND("[",Tasks[[#This Row],[_Res1Text]]&amp;"[")-1)),res_Name,0),IFERROR(MATCH(TRIM(LEFT(Tasks[[#This Row],[_Res1Text]],FIND("[",Tasks[[#This Row],[_Res1Text]]&amp;"[")-1)),res_Initials,0),0)))</f>
        <v>0</v>
      </c>
      <c r="DI145" s="42" t="n">
        <f aca="false">IF(Tasks[[#This Row],[_Res2Text]]="",0,IFERROR(MATCH(TRIM(LEFT(Tasks[[#This Row],[_Res2Text]],FIND("[",Tasks[[#This Row],[_Res2Text]]&amp;"[")-1)),res_Name,0),IFERROR(MATCH(TRIM(LEFT(Tasks[[#This Row],[_Res2Text]],FIND("[",Tasks[[#This Row],[_Res2Text]]&amp;"[")-1)),res_Initials,0),0)))</f>
        <v>0</v>
      </c>
      <c r="DJ145" s="42" t="n">
        <f aca="false">IF(Tasks[[#This Row],[_Res3Text]]="",0,IFERROR(MATCH(TRIM(LEFT(Tasks[[#This Row],[_Res3Text]],FIND("[",Tasks[[#This Row],[_Res3Text]]&amp;"[")-1)),res_Name,0),IFERROR(MATCH(TRIM(LEFT(Tasks[[#This Row],[_Res3Text]],FIND("[",Tasks[[#This Row],[_Res3Text]]&amp;"[")-1)),res_Initials,0),0)))</f>
        <v>0</v>
      </c>
      <c r="DK145" s="42" t="n">
        <f aca="false">IF(Tasks[[#This Row],[_Res4Text]]="",0,IFERROR(MATCH(TRIM(LEFT(Tasks[[#This Row],[_Res4Text]],FIND("[",Tasks[[#This Row],[_Res4Text]]&amp;"[")-1)),res_Name,0),IFERROR(MATCH(TRIM(LEFT(Tasks[[#This Row],[_Res4Text]],FIND("[",Tasks[[#This Row],[_Res4Text]]&amp;"[")-1)),res_Initials,0),0)))</f>
        <v>0</v>
      </c>
      <c r="DL145" s="42" t="str">
        <f aca="false">IF(Tasks[[#This Row],[_Res1Text]]="","",IF(Tasks[[#This Row],[_Res1Row]]&gt;0,INDEX(res_Name,Tasks[[#This Row],[_Res1Row]]),TRIM(LEFT(Tasks[[#This Row],[_Res1Text]],FIND("[",Tasks[[#This Row],[_Res1Text]]&amp;"[")-1))))</f>
        <v/>
      </c>
      <c r="DM14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5" s="42" t="n">
        <f aca="false">IF(NOT(Tasks[[#This Row],[_IsLeaf]]=1),0,(Tasks[[#This Row],[_Resource1]]&lt;&gt;"")+(Tasks[[#This Row],[_Res2]]&lt;&gt;"")+(Tasks[[#This Row],[_Res3]]&lt;&gt;"")+(Tasks[[#This Row],[_Res4]]&lt;&gt;""))</f>
        <v>0</v>
      </c>
      <c r="DO145" s="42" t="str">
        <f aca="false">IF(Tasks[[#This Row],[_Res2Text]]="","",IF(Tasks[[#This Row],[_Res2Row]]&gt;0,INDEX(res_Name,Tasks[[#This Row],[_Res2Row]]),TRIM(LEFT(Tasks[[#This Row],[_Res2Text]],FIND("[",Tasks[[#This Row],[_Res2Text]]&amp;"[")-1))))</f>
        <v/>
      </c>
      <c r="DP14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5" s="42" t="n">
        <f aca="false">IF(OR(NOT(Tasks[[#This Row],[_IsLeaf]]=1),Tasks[[#This Row],[_Res2Row]]=0),0,N(Tasks[[#This Row],[_Days]])*HoursPerDay*IF(Tasks[[#This Row],[_Res2Units]]="",DefaultUnits,Tasks[[#This Row],[_Res2Units]]))</f>
        <v>0</v>
      </c>
      <c r="DR145" s="42" t="n">
        <f aca="false">IF(AND(AND(Tasks[[#This Row],[_IsLeaf]]=1,Tasks[[#This Row],[_LeafTotalWork]]&gt;0),Tasks[[#This Row],[_Res2Work]]&gt;0),Tasks[[#This Row],[_Res2Work]]/(Tasks[[#This Row],[_FinishWorkday]]-Tasks[[#This Row],[_StartWorkday]]+1),0)</f>
        <v>0</v>
      </c>
      <c r="DS145" s="42" t="n">
        <f aca="false">Tasks[[#This Row],[_Res2WorkPerWD]]*MAX(0,Tasks[[#This Row],[_StartWorkday]]-1)</f>
        <v>0</v>
      </c>
      <c r="DT145" s="42" t="n">
        <f aca="false">Tasks[[#This Row],[_Res2Work]]*Tasks[[#This Row],[_LeafProgress]]</f>
        <v>0</v>
      </c>
      <c r="DU145" s="42" t="str">
        <f aca="false">IF(Tasks[[#This Row],[_Res3Text]]="","",IF(Tasks[[#This Row],[_Res3Row]]&gt;0,INDEX(res_Name,Tasks[[#This Row],[_Res3Row]]),TRIM(LEFT(Tasks[[#This Row],[_Res3Text]],FIND("[",Tasks[[#This Row],[_Res3Text]]&amp;"[")-1))))</f>
        <v/>
      </c>
      <c r="DV14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5" s="42" t="n">
        <f aca="false">IF(OR(NOT(Tasks[[#This Row],[_IsLeaf]]=1),Tasks[[#This Row],[_Res3Row]]=0),0,N(Tasks[[#This Row],[_Days]])*HoursPerDay*IF(Tasks[[#This Row],[_Res3Units]]="",DefaultUnits,Tasks[[#This Row],[_Res3Units]]))</f>
        <v>0</v>
      </c>
      <c r="DX145" s="42" t="n">
        <f aca="false">IF(AND(AND(Tasks[[#This Row],[_IsLeaf]]=1,Tasks[[#This Row],[_LeafTotalWork]]&gt;0),Tasks[[#This Row],[_Res3Work]]&gt;0),Tasks[[#This Row],[_Res3Work]]/(Tasks[[#This Row],[_FinishWorkday]]-Tasks[[#This Row],[_StartWorkday]]+1),0)</f>
        <v>0</v>
      </c>
      <c r="DY145" s="42" t="n">
        <f aca="false">Tasks[[#This Row],[_Res3WorkPerWD]]*MAX(0,Tasks[[#This Row],[_StartWorkday]]-1)</f>
        <v>0</v>
      </c>
      <c r="DZ145" s="42" t="n">
        <f aca="false">Tasks[[#This Row],[_Res3Work]]*Tasks[[#This Row],[_LeafProgress]]</f>
        <v>0</v>
      </c>
      <c r="EA145" s="42" t="str">
        <f aca="false">IF(Tasks[[#This Row],[_Res4Text]]="","",IF(Tasks[[#This Row],[_Res4Row]]&gt;0,INDEX(res_Name,Tasks[[#This Row],[_Res4Row]]),TRIM(LEFT(Tasks[[#This Row],[_Res4Text]],FIND("[",Tasks[[#This Row],[_Res4Text]]&amp;"[")-1))))</f>
        <v/>
      </c>
      <c r="EB14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5" s="42" t="n">
        <f aca="false">IF(OR(NOT(Tasks[[#This Row],[_IsLeaf]]=1),Tasks[[#This Row],[_Res4Row]]=0),0,N(Tasks[[#This Row],[_Days]])*HoursPerDay*IF(Tasks[[#This Row],[_Res4Units]]="",DefaultUnits,Tasks[[#This Row],[_Res4Units]]))</f>
        <v>0</v>
      </c>
      <c r="ED145" s="42" t="n">
        <f aca="false">IF(AND(AND(Tasks[[#This Row],[_IsLeaf]]=1,Tasks[[#This Row],[_LeafTotalWork]]&gt;0),Tasks[[#This Row],[_Res4Work]]&gt;0),Tasks[[#This Row],[_Res4Work]]/(Tasks[[#This Row],[_FinishWorkday]]-Tasks[[#This Row],[_StartWorkday]]+1),0)</f>
        <v>0</v>
      </c>
      <c r="EE145" s="42" t="n">
        <f aca="false">Tasks[[#This Row],[_Res4WorkPerWD]]*MAX(0,Tasks[[#This Row],[_StartWorkday]]-1)</f>
        <v>0</v>
      </c>
      <c r="EF145" s="42" t="n">
        <f aca="false">Tasks[[#This Row],[_Res4Work]]*Tasks[[#This Row],[_LeafProgress]]</f>
        <v>0</v>
      </c>
      <c r="EG145" s="42" t="n">
        <f aca="false">IF(ISNUMBER(Tasks[[#This Row],[% Complete]]),Tasks[[#This Row],[% Complete]],IF(Tasks[[#This Row],[Stage]]="",0,IFERROR(INDEX(stg_Pct,MATCH(Tasks[[#This Row],[Stage]],stg_Name,0)),0)))</f>
        <v>0</v>
      </c>
      <c r="EH145" s="42" t="n">
        <f aca="false">IF(NOT(Tasks[[#This Row],[_IsLeaf]]=1),0,IF(N(Tasks[[#This Row],[Actual Finish]])&gt;0,1,MIN(1,Tasks[[#This Row],[_Pct]])))</f>
        <v>0</v>
      </c>
      <c r="EI145" s="42" t="n">
        <f aca="false">IF(OR(NOT(Tasks[[#This Row],[_IsLeaf]]=1),Tasks[[#This Row],[_Res1Row]]=0),0,N(Tasks[[#This Row],[_Days]])*HoursPerDay*IF(Tasks[[#This Row],[_Units1]]="",DefaultUnits,Tasks[[#This Row],[_Units1]]))</f>
        <v>0</v>
      </c>
      <c r="EJ145" s="42" t="n">
        <f aca="false">Tasks[[#This Row],[_LeafWork]]+Tasks[[#This Row],[_Res2Work]]+Tasks[[#This Row],[_Res3Work]]+Tasks[[#This Row],[_Res4Work]]</f>
        <v>0</v>
      </c>
      <c r="EK14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5" s="42" t="n">
        <f aca="false">IF(NOT(Tasks[[#This Row],[_IsLeaf]]=1),0,MAX(_xlfn.MAXIFS(Tasks[_Row],Tasks[_Pred1UID],Tasks[[#This Row],[UID]]),_xlfn.MAXIFS(Tasks[_Row],Tasks[_Pred2UID],Tasks[[#This Row],[UID]]),_xlfn.MAXIFS(Tasks[_Row],Tasks[_Pred3UID],Tasks[[#This Row],[UID]]),_xlfn.MAXIFS(Tasks[_Row],Tasks[_Pred4UID],Tasks[[#This Row],[UID]])))</f>
        <v>0</v>
      </c>
      <c r="ET14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5" s="89" t="str">
        <f aca="false">IF(NOT(Tasks[[#This Row],[_IsLeaf]]=1),"",IF(N(Tasks[[#This Row],[_Days]])&lt;=0,Tasks[[#This Row],[_LeafLateFinish]],WORKDAY.INTL(Tasks[[#This Row],[_LeafLateFinish]],-(Tasks[[#This Row],[_Days]]-1),WorkWeek,Holidays)))</f>
        <v/>
      </c>
      <c r="EW14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5" s="88" t="b">
        <f aca="false">AND(Tasks[[#This Row],[_IsLeaf]]=1,Tasks[[#This Row],[_LeafProgress]]&lt;1,N(Tasks[[#This Row],[_LeafTotalSlack]])&lt;=CriticalSlackDays)</f>
        <v>0</v>
      </c>
      <c r="EY145" s="42" t="n">
        <f aca="false">IF(AND(Tasks[[#This Row],[_IsLeaf]]=1,Tasks[[#This Row],[_ConstraintCode]]=1,Tasks[[#This Row],[Mode]]&lt;&gt;"Manual",N(Tasks[[#This Row],[Actual Start]])=0),MAX(0,N(Tasks[[#This Row],[Free Slack]])),0)</f>
        <v>0</v>
      </c>
      <c r="EZ145" s="89" t="str">
        <f aca="false">IF(NOT(Tasks[[#This Row],[_IsLeaf]]=1),"",IF(Tasks[[#This Row],[_AlapShift]]=0,Tasks[[#This Row],[_LeafCalcStart]],WORKDAY.INTL(Tasks[[#This Row],[_LeafCalcStart]],Tasks[[#This Row],[_AlapShift]],WorkWeek,Holidays)))</f>
        <v/>
      </c>
      <c r="FA145" s="89" t="str">
        <f aca="false">IF(NOT(Tasks[[#This Row],[_IsLeaf]]=1),"",IF(Tasks[[#This Row],[_AlapShift]]=0,Tasks[[#This Row],[_LeafCalcFinish]],WORKDAY.INTL(Tasks[[#This Row],[_LeafCalcFinish]],Tasks[[#This Row],[_AlapShift]],WorkWeek,Holidays)))</f>
        <v/>
      </c>
      <c r="FB145" s="89" t="str">
        <f aca="false">IF(NOT(Tasks[[#This Row],[_IsLeaf]]=1),"",IF(Tasks[[#This Row],[_AlapShift]]=0,Tasks[[#This Row],[_LeafFcstStart]],WORKDAY.INTL(Tasks[[#This Row],[_LeafFcstStart]],Tasks[[#This Row],[_AlapShift]],WorkWeek,Holidays)))</f>
        <v/>
      </c>
      <c r="FC145" s="89" t="str">
        <f aca="false">IF(NOT(Tasks[[#This Row],[_IsLeaf]]=1),"",IF(Tasks[[#This Row],[_AlapShift]]=0,Tasks[[#This Row],[_LeafFcstFinish]],WORKDAY.INTL(Tasks[[#This Row],[_LeafFcstFinish]],Tasks[[#This Row],[_AlapShift]],WorkWeek,Holidays)))</f>
        <v/>
      </c>
      <c r="FD145" s="89" t="str">
        <f aca="false">IF(Tasks[[#This Row],[Task Name]]="","",IF(Tasks[[#This Row],[_IsSummary]],MIN(INDEX(Tasks[_ShownCalcStart],Tasks[[#This Row],[_Row]]+1):INDEX(Tasks[_ShownCalcStart],Tasks[[#This Row],[_Row]]+Tasks[[#This Row],[_Descendants]])),Tasks[[#This Row],[_ShownCalcStart]]))</f>
        <v/>
      </c>
      <c r="FE145" s="89" t="str">
        <f aca="false">IF(Tasks[[#This Row],[Task Name]]="","",IF(Tasks[[#This Row],[_IsSummary]],MAX(INDEX(Tasks[_ShownCalcFinish],Tasks[[#This Row],[_Row]]+1):INDEX(Tasks[_ShownCalcFinish],Tasks[[#This Row],[_Row]]+Tasks[[#This Row],[_Descendants]])),Tasks[[#This Row],[_ShownCalcFinish]]))</f>
        <v/>
      </c>
      <c r="FF14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5" s="42" t="n">
        <f aca="false">IF(AND(Tasks[[#This Row],[_IsLeaf]]=1,Tasks[[#This Row],[_LeafTotalWork]]&gt;0),NETWORKDAYS.INTL(ProjectStart,Tasks[[#This Row],[_ShownFcstStart]],WorkWeek,Holidays),0)</f>
        <v>0</v>
      </c>
      <c r="FS145" s="42" t="n">
        <f aca="false">IF(AND(Tasks[[#This Row],[_IsLeaf]]=1,Tasks[[#This Row],[_LeafTotalWork]]&gt;0),MAX(Tasks[[#This Row],[_StartWorkday]],NETWORKDAYS.INTL(ProjectStart,Tasks[[#This Row],[_ShownFcstFinish]],WorkWeek,Holidays)),0)</f>
        <v>0</v>
      </c>
      <c r="FT145" s="42" t="n">
        <f aca="false">IF(AND(Tasks[[#This Row],[_IsLeaf]]=1,Tasks[[#This Row],[_LeafTotalWork]]&gt;0),Tasks[[#This Row],[_LeafWork]]/(Tasks[[#This Row],[_FinishWorkday]]-Tasks[[#This Row],[_StartWorkday]]+1),0)</f>
        <v>0</v>
      </c>
      <c r="FU145" s="42" t="n">
        <f aca="false">Tasks[[#This Row],[_WorkPerWorkday]]*(Tasks[[#This Row],[_StartWorkday]]-1)</f>
        <v>-0</v>
      </c>
      <c r="FV145" s="42" t="n">
        <f aca="false">IF(Tasks[[#This Row],[_IsLeaf]]=1,MAX(N(Tasks[[#This Row],[_Days]]),0.1),0)</f>
        <v>0</v>
      </c>
      <c r="FW145" s="42" t="n">
        <f aca="false">Tasks[[#This Row],[_WeightDur]]*Tasks[[#This Row],[_LeafProgress]]</f>
        <v>0</v>
      </c>
      <c r="FX145" s="42" t="n">
        <f aca="false">Tasks[[#This Row],[_WeightDur]]*Tasks[[#This Row],[_PlannedPct]]</f>
        <v>0</v>
      </c>
      <c r="FY14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5" s="42" t="str">
        <f aca="false">IF(AND(Tasks[[#This Row],[_IsLeaf]]=1,N(Tasks[[#This Row],[_Days]])=0,Tasks[[#This Row],[_LeafProgress]]&lt;1),Tasks[[#This Row],[_ShownFcstFinish]]+Tasks[[#This Row],[_Row]]/100000,"")</f>
        <v/>
      </c>
      <c r="GA14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5" s="42" t="str">
        <f aca="false">IF(Tasks[[#This Row],[Task Name]]="","",LEFT(Tasks[[#This Row],[WBS]],FIND(".",Tasks[[#This Row],[WBS]]&amp;".")-1))</f>
        <v/>
      </c>
      <c r="GC145" s="42" t="str">
        <f aca="false">IF(AND(Tasks[[#This Row],[Task Name]]&lt;&gt;"",Tasks[[#This Row],[_Level]]=1),Tasks[[#This Row],[_Row]],"")</f>
        <v/>
      </c>
      <c r="GD145" s="42" t="str">
        <f aca="false">IF(AND(Tasks[[#This Row],[_IsLeaf]]=1,N(Tasks[[#This Row],[_Days]])=0),Tasks[[#This Row],[Planned Finish]]+Tasks[[#This Row],[_Row]]/100000,"")</f>
        <v/>
      </c>
      <c r="GE145" s="42" t="str">
        <f aca="false">IF(AND(Tasks[[#This Row],[_IsLeaf]]=1,Tasks[[#This Row],[_LeafProgress]]&lt;1,OR(N(Tasks[[#This Row],[Finish Var]])&gt;0,Tasks[[#This Row],[Status]]="Late Start")),MAX(0,Tasks[[#This Row],[Finish Var]])+1-Tasks[[#This Row],[_Row]]/1000000,"")</f>
        <v/>
      </c>
      <c r="GF145" s="42" t="str">
        <f aca="false">IF(AND(Tasks[[#This Row],[_IsLeaf]]=1,N(Tasks[[#This Row],[Actual Start]])=0,Tasks[[#This Row],[_ShownFcstStart]]&gt;=StatusDate,Tasks[[#This Row],[_ShownFcstStart]]&lt;=LookaheadEnd),Tasks[[#This Row],[_ShownFcstStart]]+Tasks[[#This Row],[_Row]]/100000,"")</f>
        <v/>
      </c>
      <c r="GG145" s="42" t="str">
        <f aca="false">IF(AND(Tasks[[#This Row],[_IsLeaf]]=1,Tasks[[#This Row],[_LeafProgress]]&lt;1,Tasks[[#This Row],[_ShownFcstFinish]]&gt;=StatusDate,Tasks[[#This Row],[_ShownFcstFinish]]&lt;=LookaheadEnd),Tasks[[#This Row],[_ShownFcstFinish]]+Tasks[[#This Row],[_Row]]/100000,"")</f>
        <v/>
      </c>
      <c r="GH145" s="42" t="str">
        <f aca="false">IF(Tasks[[#This Row],[_LeafCritical]],Tasks[[#This Row],[_ShownFcstStart]]+Tasks[[#This Row],[_Row]]/100000,"")</f>
        <v/>
      </c>
      <c r="GI145" s="42" t="n">
        <f aca="false">Tasks[[#This Row],[_LeafWork]]*Tasks[[#This Row],[_LeafProgress]]</f>
        <v>0</v>
      </c>
      <c r="GJ145" s="89" t="str">
        <f aca="false">IF(AND(Tasks[[#This Row],[_IsLeaf]]=1,Tasks[[#This Row],[_LeafProgress]]&gt;=1),IF(N(Tasks[[#This Row],[Actual Finish]])&gt;0,Tasks[[#This Row],[Actual Finish]],Tasks[[#This Row],[_ShownFcstFinish]]),"")</f>
        <v/>
      </c>
      <c r="GK145" s="42" t="n">
        <f aca="false">IF(Tasks[[#This Row],[_IsLeaf]]=1,N(Tasks[[#This Row],[Story Points]]),0)</f>
        <v>0</v>
      </c>
      <c r="GL145" s="42" t="str">
        <f aca="false">""</f>
        <v/>
      </c>
      <c r="GM145" s="88" t="b">
        <f aca="false">IF(Tasks[[#This Row],[Task Name]]="",FALSE(),AND(Tasks[[#This Row],[_IsLeaf]]=1,N(Tasks[[#This Row],[_Days]])=0))</f>
        <v>0</v>
      </c>
      <c r="GN145" s="89" t="n">
        <f aca="false">IF(Tasks[[#This Row],[Task Name]]="",0,IF(AND(Tasks[[#This Row],[_IsLeaf]]=1,NOT(Tasks[[#This Row],[_IsMilestone]]),N(Tasks[[#This Row],[Progress]])&gt;0),Tasks[[#This Row],[Start]],0))</f>
        <v>0</v>
      </c>
      <c r="GO145" s="89" t="n">
        <f aca="false">IF(Tasks[[#This Row],[_DoneFrom]]=0,0,IF(Tasks[[#This Row],[Progress]]&gt;=1,Tasks[[#This Row],[Finish]],MAX(Tasks[[#This Row],[_DoneFrom]],Tasks[[#This Row],[Start]]+ROUND((Tasks[[#This Row],[Finish]]-Tasks[[#This Row],[Start]]+1)*Tasks[[#This Row],[Progress]],0)-1)))</f>
        <v>0</v>
      </c>
      <c r="GP145" s="89" t="n">
        <f aca="false">IF(Tasks[[#This Row],[Task Name]]="",0,IF(OR(NOT(Tasks[[#This Row],[_IsLeaf]]=1),Tasks[[#This Row],[_IsMilestone]],N(Tasks[[#This Row],[Progress]])&gt;=1),0,IF(Tasks[[#This Row],[_DoneTo]]&gt;0,Tasks[[#This Row],[_DoneTo]]+1,Tasks[[#This Row],[Start]])))</f>
        <v>0</v>
      </c>
      <c r="GQ145" s="89" t="n">
        <f aca="false">IF(Tasks[[#This Row],[_RemFrom]]=0,0,Tasks[[#This Row],[Finish]])</f>
        <v>0</v>
      </c>
      <c r="GR145" s="88" t="b">
        <f aca="false">IF(Tasks[[#This Row],[Task Name]]="",FALSE(),OR(NOT(BaselineSet),N(Tasks[[#This Row],[Baseline Start]])&gt;0))</f>
        <v>0</v>
      </c>
      <c r="GS14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5" s="90" t="str">
        <f aca="false">IF(Tasks[[#This Row],[_IsLeaf]]=1,Tasks[[#This Row],[_Row]],"")</f>
        <v/>
      </c>
      <c r="GW145" s="90" t="str">
        <f aca="false">IFERROR(INDEX(Tasks[UID],SMALL(Tasks[_PickKey],Tasks[[#This Row],[_Row]]))&amp;" "&amp;INDEX(Tasks[Task Name],SMALL(Tasks[_PickKey],Tasks[[#This Row],[_Row]])),"")</f>
        <v/>
      </c>
      <c r="GX145" s="42" t="str">
        <f aca="false">IF(Tasks[[#This Row],[Task Name]]="","",IF(Tasks[[#This Row],[_IsSummary]],NETWORKDAYS.INTL(Tasks[[#This Row],[Start]],Tasks[[#This Row],[Finish]],WorkWeek,Holidays),N(Tasks[[#This Row],[_Days]])))</f>
        <v/>
      </c>
    </row>
    <row r="146" customFormat="false" ht="15" hidden="false" customHeight="false" outlineLevel="0" collapsed="false">
      <c r="A146" s="21" t="str">
        <f aca="false">IF(Tasks[[#This Row],[Task Name]]="","",COUNTA(Tasks[[#Headers],[Task Name]]:Tasks[[#This Row],[Task Name]])-1)</f>
        <v/>
      </c>
      <c r="B146" s="22" t="n">
        <v>154</v>
      </c>
      <c r="C146" s="22"/>
      <c r="D146" s="23"/>
      <c r="E146" s="22"/>
      <c r="F146" s="23"/>
      <c r="G146" s="22"/>
      <c r="H146" s="22"/>
      <c r="I146" s="23"/>
      <c r="J146" s="22"/>
      <c r="K146" s="22"/>
      <c r="L146" s="23"/>
      <c r="M146" s="22"/>
      <c r="N146" s="22"/>
      <c r="O146" s="23"/>
      <c r="P146" s="22"/>
      <c r="Q146" s="22"/>
      <c r="R146" s="23"/>
      <c r="S146" s="23"/>
      <c r="T146" s="83"/>
      <c r="U146" s="23"/>
      <c r="V146" s="83"/>
      <c r="W146" s="23"/>
      <c r="X146" s="83"/>
      <c r="Y146" s="23"/>
      <c r="Z146" s="83"/>
      <c r="AA146" s="23"/>
      <c r="AB146" s="23"/>
      <c r="AC146" s="7"/>
      <c r="AD146" s="7"/>
      <c r="AE146" s="62" t="str">
        <f aca="false">IF(Tasks[[#This Row],[Task Name]]="","",IF(Tasks[[#This Row],[_IsSummary]],MIN(INDEX(Tasks[_ShownFcstStart],Tasks[[#This Row],[_Row]]+1):INDEX(Tasks[_ShownFcstStart],Tasks[[#This Row],[_Row]]+Tasks[[#This Row],[_Descendants]])),Tasks[[#This Row],[_ShownFcstStart]]))</f>
        <v/>
      </c>
      <c r="AF146" s="62" t="str">
        <f aca="false">IF(Tasks[[#This Row],[Task Name]]="","",IF(Tasks[[#This Row],[_IsSummary]],MAX(INDEX(Tasks[_ShownFcstFinish],Tasks[[#This Row],[_Row]]+1):INDEX(Tasks[_ShownFcstFinish],Tasks[[#This Row],[_Row]]+Tasks[[#This Row],[_Descendants]])),Tasks[[#This Row],[_ShownFcstFinish]]))</f>
        <v/>
      </c>
      <c r="AG146" s="21" t="str">
        <f aca="false">""</f>
        <v/>
      </c>
      <c r="AH146" s="23"/>
      <c r="AI14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6" s="7"/>
      <c r="AK146" s="22"/>
      <c r="AL146" s="23"/>
      <c r="AM146" s="7"/>
      <c r="AN146" s="46" t="str">
        <f aca="false">IF(Tasks[[#This Row],[Task Name]]="","",IF(Tasks[[#This Row],[Finish]]&gt;=Tasks[[#This Row],[Planned Finish]],NETWORKDAYS.INTL(Tasks[[#This Row],[Planned Finish]],Tasks[[#This Row],[Finish]],WorkWeek,Holidays)-1,1-NETWORKDAYS.INTL(Tasks[[#This Row],[Finish]],Tasks[[#This Row],[Planned Finish]],WorkWeek,Holidays)))</f>
        <v/>
      </c>
      <c r="AO146" s="21" t="str">
        <f aca="false">IF(Tasks[[#This Row],[Task Name]]="","",IF(Tasks[[#This Row],[Progress]]&gt;=1,"Complete",IF(OR(N(Tasks[[#This Row],[Actual Start]])&gt;0,Tasks[[#This Row],[Progress]]&gt;0),IF(Tasks[[#This Row],[Finish Var]]&gt;0,"Behind","In Progress"),IF(Tasks[[#This Row],[Planned Start]]&lt;StatusDate,"Late Start","Not Started"))))</f>
        <v/>
      </c>
      <c r="AP146" s="21" t="str">
        <f aca="false">IF(Tasks[[#This Row],[Task Name]]="","",IF(IF(Tasks[[#This Row],[_IsSummary]],COUNTIF(INDEX(Tasks[_LeafCritical],Tasks[[#This Row],[_Row]]+1):INDEX(Tasks[_LeafCritical],Tasks[[#This Row],[_Row]]+Tasks[[#This Row],[_Descendants]]),TRUE())&gt;0,Tasks[[#This Row],[_LeafCritical]]),"Yes",""))</f>
        <v/>
      </c>
      <c r="AQ146" s="62" t="str">
        <f aca="false">IF(Tasks[[#This Row],[Task Name]]="","",IF(N(Tasks[[#This Row],[Baseline Start]])&gt;0,Tasks[[#This Row],[Baseline Start]],Tasks[[#This Row],[_CalcStart]]))</f>
        <v/>
      </c>
      <c r="AR146" s="62" t="str">
        <f aca="false">IF(Tasks[[#This Row],[Task Name]]="","",IF(N(Tasks[[#This Row],[Baseline Finish]])&gt;0,Tasks[[#This Row],[Baseline Finish]],Tasks[[#This Row],[_CalcFinish]]))</f>
        <v/>
      </c>
      <c r="AS146" s="46" t="str">
        <f aca="false">IF(Tasks[[#This Row],[Task Name]]="","",IF(Tasks[[#This Row],[Start]]&gt;=Tasks[[#This Row],[Planned Start]],NETWORKDAYS.INTL(Tasks[[#This Row],[Planned Start]],Tasks[[#This Row],[Start]],WorkWeek,Holidays)-1,1-NETWORKDAYS.INTL(Tasks[[#This Row],[Start]],Tasks[[#This Row],[Planned Start]],WorkWeek,Holidays)))</f>
        <v/>
      </c>
      <c r="AT146" s="62" t="str">
        <f aca="false">IF(Tasks[[#This Row],[Task Name]]="","",IF(Tasks[[#This Row],[_IsSummary]],MIN(INDEX(Tasks[_LeafLateStart],Tasks[[#This Row],[_Row]]+1):INDEX(Tasks[_LeafLateStart],Tasks[[#This Row],[_Row]]+Tasks[[#This Row],[_Descendants]])),Tasks[[#This Row],[_LeafLateStart]]))</f>
        <v/>
      </c>
      <c r="AU146" s="62" t="str">
        <f aca="false">IF(Tasks[[#This Row],[Task Name]]="","",IF(Tasks[[#This Row],[_IsSummary]],MAX(INDEX(Tasks[_LeafLateFinish],Tasks[[#This Row],[_Row]]+1):INDEX(Tasks[_LeafLateFinish],Tasks[[#This Row],[_Row]]+Tasks[[#This Row],[_Descendants]])),Tasks[[#This Row],[_LeafLateFinish]]))</f>
        <v/>
      </c>
      <c r="AV146" s="46" t="str">
        <f aca="false">IF(Tasks[[#This Row],[Task Name]]="","",IF(Tasks[[#This Row],[_IsSummary]],MIN(INDEX(Tasks[_LeafTotalSlack],Tasks[[#This Row],[_Row]]+1):INDEX(Tasks[_LeafTotalSlack],Tasks[[#This Row],[_Row]]+Tasks[[#This Row],[_Descendants]])),Tasks[[#This Row],[_LeafTotalSlack]]))</f>
        <v/>
      </c>
      <c r="AW14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4"/>
      <c r="BA14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t="str">
        <f aca="false">IF(Tasks[[#This Row],[Task Name]]="","",IF(Tasks[[#This Row],[_Level]]&lt;=OutlineShowLevel,"Yes","No"))</f>
        <v/>
      </c>
      <c r="BE146" s="85" t="str">
        <f aca="false">IF(Tasks[[#This Row],[Task Name]]="","",IF(Tasks[[#This Row],[_IsSummary]],SUM(INDEX(Tasks[_LeafTotalWork],Tasks[[#This Row],[_Row]]+1):INDEX(Tasks[_LeafTotalWork],Tasks[[#This Row],[_Row]]+Tasks[[#This Row],[_Descendants]])),Tasks[[#This Row],[_LeafTotalWork]]))</f>
        <v/>
      </c>
      <c r="BF146" s="23"/>
      <c r="BG14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t="str">
        <f aca="false">""</f>
        <v/>
      </c>
      <c r="BI146" s="86"/>
      <c r="BJ146" s="22"/>
      <c r="BK146" s="46" t="str">
        <f aca="false">IF(OR(Tasks[[#This Row],[Task Name]]="",Tasks[[#This Row],[Baseline Duration]]=""),"",Tasks[[#This Row],[_SpanDays]]-N(Tasks[[#This Row],[Baseline Duration]]))</f>
        <v/>
      </c>
      <c r="BL146" s="85" t="str">
        <f aca="false">IF(OR(Tasks[[#This Row],[Task Name]]="",Tasks[[#This Row],[Baseline Work]]=""),"",Tasks[[#This Row],[Work]]-N(Tasks[[#This Row],[Baseline Work]]))</f>
        <v/>
      </c>
      <c r="BM146" s="62" t="str">
        <f aca="false">IF(Tasks[[#This Row],[Task Name]]="","",IF(OR(TakeBaseline="Yes",N(Tasks[[#This Row],[Baseline Start]])=0),Tasks[[#This Row],[Start]],Tasks[[#This Row],[Baseline Start]]))</f>
        <v/>
      </c>
      <c r="BN146" s="62" t="str">
        <f aca="false">IF(Tasks[[#This Row],[Task Name]]="","",IF(OR(TakeBaseline="Yes",N(Tasks[[#This Row],[Baseline Finish]])=0),Tasks[[#This Row],[Finish]],Tasks[[#This Row],[Baseline Finish]]))</f>
        <v/>
      </c>
      <c r="BO146" s="21" t="str">
        <f aca="false">IF(Tasks[[#This Row],[Task Name]]="","",IF(OR(TakeBaseline="Yes",N(Tasks[[#This Row],[Baseline Duration]])=0),Tasks[[#This Row],[_SpanDays]],Tasks[[#This Row],[Baseline Duration]]))</f>
        <v/>
      </c>
      <c r="BP146" s="85" t="str">
        <f aca="false">IF(Tasks[[#This Row],[Task Name]]="","",IF(OR(TakeBaseline="Yes",N(Tasks[[#This Row],[Baseline Work]])=0),Tasks[[#This Row],[Work]],Tasks[[#This Row],[Baseline Work]]))</f>
        <v/>
      </c>
      <c r="BQ146" s="7"/>
      <c r="BR146" s="7"/>
      <c r="BS146" s="22"/>
      <c r="BT146" s="87"/>
      <c r="BU146" s="42" t="str">
        <f aca="false">IF(Tasks[[#This Row],[Task Name]]="","",MAX(1,N(Tasks[[#This Row],[Level]])))</f>
        <v/>
      </c>
      <c r="BV146" s="42" t="n">
        <f aca="false">ROW()-ROW(Tasks[[#Headers],[ID]])</f>
        <v>141</v>
      </c>
      <c r="BW146" s="42" t="n">
        <f aca="false">IF(OR(Tasks[[#This Row],[Task Name]]="",Tasks[[#This Row],[_Level]]&lt;=1),0,IFERROR(LOOKUP(2,1/(Tasks[[#Headers],[_Level]]:Tasks[[#This Row],[_Level]]=Tasks[[#This Row],[_Level]]-1),ROW(Tasks[[#Headers],[_Level]]:Tasks[[#This Row],[_Level]])),0))</f>
        <v>0</v>
      </c>
      <c r="BX146" s="42" t="n">
        <f aca="false">IFERROR(N(INDEX(Tasks[_Level],Tasks[[#This Row],[_Row]]+1)),0)</f>
        <v>0</v>
      </c>
      <c r="BY146" s="88" t="b">
        <f aca="false">AND(Tasks[[#This Row],[Task Name]]&lt;&gt;"",Tasks[[#This Row],[_NextLevel]]&gt;Tasks[[#This Row],[_Level]])</f>
        <v>0</v>
      </c>
      <c r="BZ146" s="42" t="n">
        <f aca="false">IF(Tasks[[#This Row],[_IsSummary]],COUNTIF(Tasks[WBS],Tasks[[#This Row],[WBS]]&amp;".*"),0)</f>
        <v>0</v>
      </c>
      <c r="CA146" s="42" t="n">
        <f aca="false">IF(AND(Tasks[[#This Row],[Task Name]]&lt;&gt;"",NOT(Tasks[[#This Row],[_IsSummary]])),1,0)</f>
        <v>0</v>
      </c>
      <c r="CB146" s="42" t="n">
        <f aca="false">IF(N(Tasks[[#This Row],[_Pred1UID]])=0,0,IFERROR(MATCH(Tasks[[#This Row],[_Pred1UID]],Tasks[UID],0),-1))</f>
        <v>0</v>
      </c>
      <c r="CC146" s="42" t="n">
        <f aca="false">IF(N(Tasks[[#This Row],[_Pred2UID]])=0,0,IFERROR(MATCH(Tasks[[#This Row],[_Pred2UID]],Tasks[UID],0),-1))</f>
        <v>0</v>
      </c>
      <c r="CD146" s="42" t="n">
        <f aca="false">IF(N(Tasks[[#This Row],[_Pred3UID]])=0,0,IFERROR(MATCH(Tasks[[#This Row],[_Pred3UID]],Tasks[UID],0),-1))</f>
        <v>0</v>
      </c>
      <c r="CE146" s="42" t="n">
        <f aca="false">IF(N(Tasks[[#This Row],[_Pred4UID]])=0,0,IFERROR(MATCH(Tasks[[#This Row],[_Pred4UID]],Tasks[UID],0),-1))</f>
        <v>0</v>
      </c>
      <c r="CF14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6" s="89" t="n">
        <f aca="false">IF(OR(Tasks[[#This Row],[_ConstraintCode]]=2,Tasks[[#This Row],[_ConstraintCode]]=3,Tasks[[#This Row],[_ConstraintCode]]=4,Tasks[[#This Row],[_ConstraintCode]]=6),Tasks[[#This Row],[_ConstraintStart]],0)</f>
        <v>0</v>
      </c>
      <c r="CI146" s="89" t="n">
        <f aca="false">IF(OR(Tasks[[#This Row],[_ConstraintCode]]=2,Tasks[[#This Row],[_ConstraintCode]]=3,Tasks[[#This Row],[_ConstraintCode]]=5,Tasks[[#This Row],[_ConstraintCode]]=7),Tasks[[#This Row],[_ConstraintStart]],2958465)</f>
        <v>2958465</v>
      </c>
      <c r="CJ14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6" s="89" t="str">
        <f aca="false">IF(NOT(Tasks[[#This Row],[_IsLeaf]]=1),"",IF(N(Tasks[[#This Row],[_Days]])&lt;=0,Tasks[[#This Row],[_LeafCalcStart]],WORKDAY.INTL(Tasks[[#This Row],[_LeafCalcStart]],Tasks[[#This Row],[_Days]]-1,WorkWeek,Holidays)))</f>
        <v/>
      </c>
      <c r="CL14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6" s="42" t="str">
        <f aca="false">IF(Tasks[[#This Row],[_Predecessors]]="","",TRIM(MID(SUBSTITUTE(SUBSTITUTE(SUBSTITUTE(UPPER(Tasks[[#This Row],[_Predecessors]]),";",",")," ",""),",",REPT(" ",99)),1,99)))</f>
        <v/>
      </c>
      <c r="CO146" s="42" t="str">
        <f aca="false">IF(Tasks[[#This Row],[_Pred1Text]]="","",IFERROR(VALUE(LEFT(Tasks[[#This Row],[_Pred1Text]],MIN(FIND("F",Tasks[[#This Row],[_Pred1Text]]&amp;"F"),FIND("S",Tasks[[#This Row],[_Pred1Text]]&amp;"S"),FIND("+",Tasks[[#This Row],[_Pred1Text]]&amp;"+"),FIND("-",Tasks[[#This Row],[_Pred1Text]]&amp;"-"))-1)),""))</f>
        <v/>
      </c>
      <c r="CP14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6" s="42" t="str">
        <f aca="false">IF(Tasks[[#This Row],[_Pred1Text]]="","",TRIM(MID(SUBSTITUTE(SUBSTITUTE(SUBSTITUTE(UPPER(Tasks[[#This Row],[_Predecessors]]),";",",")," ",""),",",REPT(" ",99)),100,99)))</f>
        <v/>
      </c>
      <c r="CS146" s="42" t="str">
        <f aca="false">IF(Tasks[[#This Row],[_Pred2Text]]="","",IFERROR(VALUE(LEFT(Tasks[[#This Row],[_Pred2Text]],MIN(FIND("F",Tasks[[#This Row],[_Pred2Text]]&amp;"F"),FIND("S",Tasks[[#This Row],[_Pred2Text]]&amp;"S"),FIND("+",Tasks[[#This Row],[_Pred2Text]]&amp;"+"),FIND("-",Tasks[[#This Row],[_Pred2Text]]&amp;"-"))-1)),""))</f>
        <v/>
      </c>
      <c r="CT14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6" s="42" t="str">
        <f aca="false">IF(Tasks[[#This Row],[_Pred2Text]]="","",TRIM(MID(SUBSTITUTE(SUBSTITUTE(SUBSTITUTE(UPPER(Tasks[[#This Row],[_Predecessors]]),";",",")," ",""),",",REPT(" ",99)),199,99)))</f>
        <v/>
      </c>
      <c r="CW146" s="42" t="str">
        <f aca="false">IF(Tasks[[#This Row],[_Pred3Text]]="","",IFERROR(VALUE(LEFT(Tasks[[#This Row],[_Pred3Text]],MIN(FIND("F",Tasks[[#This Row],[_Pred3Text]]&amp;"F"),FIND("S",Tasks[[#This Row],[_Pred3Text]]&amp;"S"),FIND("+",Tasks[[#This Row],[_Pred3Text]]&amp;"+"),FIND("-",Tasks[[#This Row],[_Pred3Text]]&amp;"-"))-1)),""))</f>
        <v/>
      </c>
      <c r="CX14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6" s="42" t="str">
        <f aca="false">IF(Tasks[[#This Row],[_Pred3Text]]="","",TRIM(MID(SUBSTITUTE(SUBSTITUTE(SUBSTITUTE(UPPER(Tasks[[#This Row],[_Predecessors]]),";",",")," ",""),",",REPT(" ",99)),298,99)))</f>
        <v/>
      </c>
      <c r="DA146" s="42" t="str">
        <f aca="false">IF(Tasks[[#This Row],[_Pred4Text]]="","",IFERROR(VALUE(LEFT(Tasks[[#This Row],[_Pred4Text]],MIN(FIND("F",Tasks[[#This Row],[_Pred4Text]]&amp;"F"),FIND("S",Tasks[[#This Row],[_Pred4Text]]&amp;"S"),FIND("+",Tasks[[#This Row],[_Pred4Text]]&amp;"+"),FIND("-",Tasks[[#This Row],[_Pred4Text]]&amp;"-"))-1)),""))</f>
        <v/>
      </c>
      <c r="DB14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6" s="42" t="str">
        <f aca="false">IF(OR(Tasks[[#This Row],[Task Name]]="",Tasks[[#This Row],[_Resources]]=""),"",TRIM(MID(SUBSTITUTE(Tasks[[#This Row],[_Resources]],",",REPT(" ",99)),1,99)))</f>
        <v/>
      </c>
      <c r="DE146" s="42" t="str">
        <f aca="false">IF(Tasks[[#This Row],[_Res1Text]]="","",TRIM(MID(SUBSTITUTE(Tasks[[#This Row],[_Resources]],",",REPT(" ",99)),100,99)))</f>
        <v/>
      </c>
      <c r="DF146" s="42" t="str">
        <f aca="false">IF(Tasks[[#This Row],[_Res2Text]]="","",TRIM(MID(SUBSTITUTE(Tasks[[#This Row],[_Resources]],",",REPT(" ",99)),199,99)))</f>
        <v/>
      </c>
      <c r="DG146" s="42" t="str">
        <f aca="false">IF(Tasks[[#This Row],[_Res3Text]]="","",TRIM(MID(SUBSTITUTE(Tasks[[#This Row],[_Resources]],",",REPT(" ",99)),298,99)))</f>
        <v/>
      </c>
      <c r="DH146" s="42" t="n">
        <f aca="false">IF(Tasks[[#This Row],[_Res1Text]]="",0,IFERROR(MATCH(TRIM(LEFT(Tasks[[#This Row],[_Res1Text]],FIND("[",Tasks[[#This Row],[_Res1Text]]&amp;"[")-1)),res_Name,0),IFERROR(MATCH(TRIM(LEFT(Tasks[[#This Row],[_Res1Text]],FIND("[",Tasks[[#This Row],[_Res1Text]]&amp;"[")-1)),res_Initials,0),0)))</f>
        <v>0</v>
      </c>
      <c r="DI146" s="42" t="n">
        <f aca="false">IF(Tasks[[#This Row],[_Res2Text]]="",0,IFERROR(MATCH(TRIM(LEFT(Tasks[[#This Row],[_Res2Text]],FIND("[",Tasks[[#This Row],[_Res2Text]]&amp;"[")-1)),res_Name,0),IFERROR(MATCH(TRIM(LEFT(Tasks[[#This Row],[_Res2Text]],FIND("[",Tasks[[#This Row],[_Res2Text]]&amp;"[")-1)),res_Initials,0),0)))</f>
        <v>0</v>
      </c>
      <c r="DJ146" s="42" t="n">
        <f aca="false">IF(Tasks[[#This Row],[_Res3Text]]="",0,IFERROR(MATCH(TRIM(LEFT(Tasks[[#This Row],[_Res3Text]],FIND("[",Tasks[[#This Row],[_Res3Text]]&amp;"[")-1)),res_Name,0),IFERROR(MATCH(TRIM(LEFT(Tasks[[#This Row],[_Res3Text]],FIND("[",Tasks[[#This Row],[_Res3Text]]&amp;"[")-1)),res_Initials,0),0)))</f>
        <v>0</v>
      </c>
      <c r="DK146" s="42" t="n">
        <f aca="false">IF(Tasks[[#This Row],[_Res4Text]]="",0,IFERROR(MATCH(TRIM(LEFT(Tasks[[#This Row],[_Res4Text]],FIND("[",Tasks[[#This Row],[_Res4Text]]&amp;"[")-1)),res_Name,0),IFERROR(MATCH(TRIM(LEFT(Tasks[[#This Row],[_Res4Text]],FIND("[",Tasks[[#This Row],[_Res4Text]]&amp;"[")-1)),res_Initials,0),0)))</f>
        <v>0</v>
      </c>
      <c r="DL146" s="42" t="str">
        <f aca="false">IF(Tasks[[#This Row],[_Res1Text]]="","",IF(Tasks[[#This Row],[_Res1Row]]&gt;0,INDEX(res_Name,Tasks[[#This Row],[_Res1Row]]),TRIM(LEFT(Tasks[[#This Row],[_Res1Text]],FIND("[",Tasks[[#This Row],[_Res1Text]]&amp;"[")-1))))</f>
        <v/>
      </c>
      <c r="DM14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6" s="42" t="n">
        <f aca="false">IF(NOT(Tasks[[#This Row],[_IsLeaf]]=1),0,(Tasks[[#This Row],[_Resource1]]&lt;&gt;"")+(Tasks[[#This Row],[_Res2]]&lt;&gt;"")+(Tasks[[#This Row],[_Res3]]&lt;&gt;"")+(Tasks[[#This Row],[_Res4]]&lt;&gt;""))</f>
        <v>0</v>
      </c>
      <c r="DO146" s="42" t="str">
        <f aca="false">IF(Tasks[[#This Row],[_Res2Text]]="","",IF(Tasks[[#This Row],[_Res2Row]]&gt;0,INDEX(res_Name,Tasks[[#This Row],[_Res2Row]]),TRIM(LEFT(Tasks[[#This Row],[_Res2Text]],FIND("[",Tasks[[#This Row],[_Res2Text]]&amp;"[")-1))))</f>
        <v/>
      </c>
      <c r="DP14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6" s="42" t="n">
        <f aca="false">IF(OR(NOT(Tasks[[#This Row],[_IsLeaf]]=1),Tasks[[#This Row],[_Res2Row]]=0),0,N(Tasks[[#This Row],[_Days]])*HoursPerDay*IF(Tasks[[#This Row],[_Res2Units]]="",DefaultUnits,Tasks[[#This Row],[_Res2Units]]))</f>
        <v>0</v>
      </c>
      <c r="DR146" s="42" t="n">
        <f aca="false">IF(AND(AND(Tasks[[#This Row],[_IsLeaf]]=1,Tasks[[#This Row],[_LeafTotalWork]]&gt;0),Tasks[[#This Row],[_Res2Work]]&gt;0),Tasks[[#This Row],[_Res2Work]]/(Tasks[[#This Row],[_FinishWorkday]]-Tasks[[#This Row],[_StartWorkday]]+1),0)</f>
        <v>0</v>
      </c>
      <c r="DS146" s="42" t="n">
        <f aca="false">Tasks[[#This Row],[_Res2WorkPerWD]]*MAX(0,Tasks[[#This Row],[_StartWorkday]]-1)</f>
        <v>0</v>
      </c>
      <c r="DT146" s="42" t="n">
        <f aca="false">Tasks[[#This Row],[_Res2Work]]*Tasks[[#This Row],[_LeafProgress]]</f>
        <v>0</v>
      </c>
      <c r="DU146" s="42" t="str">
        <f aca="false">IF(Tasks[[#This Row],[_Res3Text]]="","",IF(Tasks[[#This Row],[_Res3Row]]&gt;0,INDEX(res_Name,Tasks[[#This Row],[_Res3Row]]),TRIM(LEFT(Tasks[[#This Row],[_Res3Text]],FIND("[",Tasks[[#This Row],[_Res3Text]]&amp;"[")-1))))</f>
        <v/>
      </c>
      <c r="DV14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6" s="42" t="n">
        <f aca="false">IF(OR(NOT(Tasks[[#This Row],[_IsLeaf]]=1),Tasks[[#This Row],[_Res3Row]]=0),0,N(Tasks[[#This Row],[_Days]])*HoursPerDay*IF(Tasks[[#This Row],[_Res3Units]]="",DefaultUnits,Tasks[[#This Row],[_Res3Units]]))</f>
        <v>0</v>
      </c>
      <c r="DX146" s="42" t="n">
        <f aca="false">IF(AND(AND(Tasks[[#This Row],[_IsLeaf]]=1,Tasks[[#This Row],[_LeafTotalWork]]&gt;0),Tasks[[#This Row],[_Res3Work]]&gt;0),Tasks[[#This Row],[_Res3Work]]/(Tasks[[#This Row],[_FinishWorkday]]-Tasks[[#This Row],[_StartWorkday]]+1),0)</f>
        <v>0</v>
      </c>
      <c r="DY146" s="42" t="n">
        <f aca="false">Tasks[[#This Row],[_Res3WorkPerWD]]*MAX(0,Tasks[[#This Row],[_StartWorkday]]-1)</f>
        <v>0</v>
      </c>
      <c r="DZ146" s="42" t="n">
        <f aca="false">Tasks[[#This Row],[_Res3Work]]*Tasks[[#This Row],[_LeafProgress]]</f>
        <v>0</v>
      </c>
      <c r="EA146" s="42" t="str">
        <f aca="false">IF(Tasks[[#This Row],[_Res4Text]]="","",IF(Tasks[[#This Row],[_Res4Row]]&gt;0,INDEX(res_Name,Tasks[[#This Row],[_Res4Row]]),TRIM(LEFT(Tasks[[#This Row],[_Res4Text]],FIND("[",Tasks[[#This Row],[_Res4Text]]&amp;"[")-1))))</f>
        <v/>
      </c>
      <c r="EB14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6" s="42" t="n">
        <f aca="false">IF(OR(NOT(Tasks[[#This Row],[_IsLeaf]]=1),Tasks[[#This Row],[_Res4Row]]=0),0,N(Tasks[[#This Row],[_Days]])*HoursPerDay*IF(Tasks[[#This Row],[_Res4Units]]="",DefaultUnits,Tasks[[#This Row],[_Res4Units]]))</f>
        <v>0</v>
      </c>
      <c r="ED146" s="42" t="n">
        <f aca="false">IF(AND(AND(Tasks[[#This Row],[_IsLeaf]]=1,Tasks[[#This Row],[_LeafTotalWork]]&gt;0),Tasks[[#This Row],[_Res4Work]]&gt;0),Tasks[[#This Row],[_Res4Work]]/(Tasks[[#This Row],[_FinishWorkday]]-Tasks[[#This Row],[_StartWorkday]]+1),0)</f>
        <v>0</v>
      </c>
      <c r="EE146" s="42" t="n">
        <f aca="false">Tasks[[#This Row],[_Res4WorkPerWD]]*MAX(0,Tasks[[#This Row],[_StartWorkday]]-1)</f>
        <v>0</v>
      </c>
      <c r="EF146" s="42" t="n">
        <f aca="false">Tasks[[#This Row],[_Res4Work]]*Tasks[[#This Row],[_LeafProgress]]</f>
        <v>0</v>
      </c>
      <c r="EG146" s="42" t="n">
        <f aca="false">IF(ISNUMBER(Tasks[[#This Row],[% Complete]]),Tasks[[#This Row],[% Complete]],IF(Tasks[[#This Row],[Stage]]="",0,IFERROR(INDEX(stg_Pct,MATCH(Tasks[[#This Row],[Stage]],stg_Name,0)),0)))</f>
        <v>0</v>
      </c>
      <c r="EH146" s="42" t="n">
        <f aca="false">IF(NOT(Tasks[[#This Row],[_IsLeaf]]=1),0,IF(N(Tasks[[#This Row],[Actual Finish]])&gt;0,1,MIN(1,Tasks[[#This Row],[_Pct]])))</f>
        <v>0</v>
      </c>
      <c r="EI146" s="42" t="n">
        <f aca="false">IF(OR(NOT(Tasks[[#This Row],[_IsLeaf]]=1),Tasks[[#This Row],[_Res1Row]]=0),0,N(Tasks[[#This Row],[_Days]])*HoursPerDay*IF(Tasks[[#This Row],[_Units1]]="",DefaultUnits,Tasks[[#This Row],[_Units1]]))</f>
        <v>0</v>
      </c>
      <c r="EJ146" s="42" t="n">
        <f aca="false">Tasks[[#This Row],[_LeafWork]]+Tasks[[#This Row],[_Res2Work]]+Tasks[[#This Row],[_Res3Work]]+Tasks[[#This Row],[_Res4Work]]</f>
        <v>0</v>
      </c>
      <c r="EK14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6" s="42" t="n">
        <f aca="false">IF(NOT(Tasks[[#This Row],[_IsLeaf]]=1),0,MAX(_xlfn.MAXIFS(Tasks[_Row],Tasks[_Pred1UID],Tasks[[#This Row],[UID]]),_xlfn.MAXIFS(Tasks[_Row],Tasks[_Pred2UID],Tasks[[#This Row],[UID]]),_xlfn.MAXIFS(Tasks[_Row],Tasks[_Pred3UID],Tasks[[#This Row],[UID]]),_xlfn.MAXIFS(Tasks[_Row],Tasks[_Pred4UID],Tasks[[#This Row],[UID]])))</f>
        <v>0</v>
      </c>
      <c r="ET14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6" s="89" t="str">
        <f aca="false">IF(NOT(Tasks[[#This Row],[_IsLeaf]]=1),"",IF(N(Tasks[[#This Row],[_Days]])&lt;=0,Tasks[[#This Row],[_LeafLateFinish]],WORKDAY.INTL(Tasks[[#This Row],[_LeafLateFinish]],-(Tasks[[#This Row],[_Days]]-1),WorkWeek,Holidays)))</f>
        <v/>
      </c>
      <c r="EW14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6" s="88" t="b">
        <f aca="false">AND(Tasks[[#This Row],[_IsLeaf]]=1,Tasks[[#This Row],[_LeafProgress]]&lt;1,N(Tasks[[#This Row],[_LeafTotalSlack]])&lt;=CriticalSlackDays)</f>
        <v>0</v>
      </c>
      <c r="EY146" s="42" t="n">
        <f aca="false">IF(AND(Tasks[[#This Row],[_IsLeaf]]=1,Tasks[[#This Row],[_ConstraintCode]]=1,Tasks[[#This Row],[Mode]]&lt;&gt;"Manual",N(Tasks[[#This Row],[Actual Start]])=0),MAX(0,N(Tasks[[#This Row],[Free Slack]])),0)</f>
        <v>0</v>
      </c>
      <c r="EZ146" s="89" t="str">
        <f aca="false">IF(NOT(Tasks[[#This Row],[_IsLeaf]]=1),"",IF(Tasks[[#This Row],[_AlapShift]]=0,Tasks[[#This Row],[_LeafCalcStart]],WORKDAY.INTL(Tasks[[#This Row],[_LeafCalcStart]],Tasks[[#This Row],[_AlapShift]],WorkWeek,Holidays)))</f>
        <v/>
      </c>
      <c r="FA146" s="89" t="str">
        <f aca="false">IF(NOT(Tasks[[#This Row],[_IsLeaf]]=1),"",IF(Tasks[[#This Row],[_AlapShift]]=0,Tasks[[#This Row],[_LeafCalcFinish]],WORKDAY.INTL(Tasks[[#This Row],[_LeafCalcFinish]],Tasks[[#This Row],[_AlapShift]],WorkWeek,Holidays)))</f>
        <v/>
      </c>
      <c r="FB146" s="89" t="str">
        <f aca="false">IF(NOT(Tasks[[#This Row],[_IsLeaf]]=1),"",IF(Tasks[[#This Row],[_AlapShift]]=0,Tasks[[#This Row],[_LeafFcstStart]],WORKDAY.INTL(Tasks[[#This Row],[_LeafFcstStart]],Tasks[[#This Row],[_AlapShift]],WorkWeek,Holidays)))</f>
        <v/>
      </c>
      <c r="FC146" s="89" t="str">
        <f aca="false">IF(NOT(Tasks[[#This Row],[_IsLeaf]]=1),"",IF(Tasks[[#This Row],[_AlapShift]]=0,Tasks[[#This Row],[_LeafFcstFinish]],WORKDAY.INTL(Tasks[[#This Row],[_LeafFcstFinish]],Tasks[[#This Row],[_AlapShift]],WorkWeek,Holidays)))</f>
        <v/>
      </c>
      <c r="FD146" s="89" t="str">
        <f aca="false">IF(Tasks[[#This Row],[Task Name]]="","",IF(Tasks[[#This Row],[_IsSummary]],MIN(INDEX(Tasks[_ShownCalcStart],Tasks[[#This Row],[_Row]]+1):INDEX(Tasks[_ShownCalcStart],Tasks[[#This Row],[_Row]]+Tasks[[#This Row],[_Descendants]])),Tasks[[#This Row],[_ShownCalcStart]]))</f>
        <v/>
      </c>
      <c r="FE146" s="89" t="str">
        <f aca="false">IF(Tasks[[#This Row],[Task Name]]="","",IF(Tasks[[#This Row],[_IsSummary]],MAX(INDEX(Tasks[_ShownCalcFinish],Tasks[[#This Row],[_Row]]+1):INDEX(Tasks[_ShownCalcFinish],Tasks[[#This Row],[_Row]]+Tasks[[#This Row],[_Descendants]])),Tasks[[#This Row],[_ShownCalcFinish]]))</f>
        <v/>
      </c>
      <c r="FF14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6" s="42" t="n">
        <f aca="false">IF(AND(Tasks[[#This Row],[_IsLeaf]]=1,Tasks[[#This Row],[_LeafTotalWork]]&gt;0),NETWORKDAYS.INTL(ProjectStart,Tasks[[#This Row],[_ShownFcstStart]],WorkWeek,Holidays),0)</f>
        <v>0</v>
      </c>
      <c r="FS146" s="42" t="n">
        <f aca="false">IF(AND(Tasks[[#This Row],[_IsLeaf]]=1,Tasks[[#This Row],[_LeafTotalWork]]&gt;0),MAX(Tasks[[#This Row],[_StartWorkday]],NETWORKDAYS.INTL(ProjectStart,Tasks[[#This Row],[_ShownFcstFinish]],WorkWeek,Holidays)),0)</f>
        <v>0</v>
      </c>
      <c r="FT146" s="42" t="n">
        <f aca="false">IF(AND(Tasks[[#This Row],[_IsLeaf]]=1,Tasks[[#This Row],[_LeafTotalWork]]&gt;0),Tasks[[#This Row],[_LeafWork]]/(Tasks[[#This Row],[_FinishWorkday]]-Tasks[[#This Row],[_StartWorkday]]+1),0)</f>
        <v>0</v>
      </c>
      <c r="FU146" s="42" t="n">
        <f aca="false">Tasks[[#This Row],[_WorkPerWorkday]]*(Tasks[[#This Row],[_StartWorkday]]-1)</f>
        <v>-0</v>
      </c>
      <c r="FV146" s="42" t="n">
        <f aca="false">IF(Tasks[[#This Row],[_IsLeaf]]=1,MAX(N(Tasks[[#This Row],[_Days]]),0.1),0)</f>
        <v>0</v>
      </c>
      <c r="FW146" s="42" t="n">
        <f aca="false">Tasks[[#This Row],[_WeightDur]]*Tasks[[#This Row],[_LeafProgress]]</f>
        <v>0</v>
      </c>
      <c r="FX146" s="42" t="n">
        <f aca="false">Tasks[[#This Row],[_WeightDur]]*Tasks[[#This Row],[_PlannedPct]]</f>
        <v>0</v>
      </c>
      <c r="FY14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6" s="42" t="str">
        <f aca="false">IF(AND(Tasks[[#This Row],[_IsLeaf]]=1,N(Tasks[[#This Row],[_Days]])=0,Tasks[[#This Row],[_LeafProgress]]&lt;1),Tasks[[#This Row],[_ShownFcstFinish]]+Tasks[[#This Row],[_Row]]/100000,"")</f>
        <v/>
      </c>
      <c r="GA14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6" s="42" t="str">
        <f aca="false">IF(Tasks[[#This Row],[Task Name]]="","",LEFT(Tasks[[#This Row],[WBS]],FIND(".",Tasks[[#This Row],[WBS]]&amp;".")-1))</f>
        <v/>
      </c>
      <c r="GC146" s="42" t="str">
        <f aca="false">IF(AND(Tasks[[#This Row],[Task Name]]&lt;&gt;"",Tasks[[#This Row],[_Level]]=1),Tasks[[#This Row],[_Row]],"")</f>
        <v/>
      </c>
      <c r="GD146" s="42" t="str">
        <f aca="false">IF(AND(Tasks[[#This Row],[_IsLeaf]]=1,N(Tasks[[#This Row],[_Days]])=0),Tasks[[#This Row],[Planned Finish]]+Tasks[[#This Row],[_Row]]/100000,"")</f>
        <v/>
      </c>
      <c r="GE146" s="42" t="str">
        <f aca="false">IF(AND(Tasks[[#This Row],[_IsLeaf]]=1,Tasks[[#This Row],[_LeafProgress]]&lt;1,OR(N(Tasks[[#This Row],[Finish Var]])&gt;0,Tasks[[#This Row],[Status]]="Late Start")),MAX(0,Tasks[[#This Row],[Finish Var]])+1-Tasks[[#This Row],[_Row]]/1000000,"")</f>
        <v/>
      </c>
      <c r="GF146" s="42" t="str">
        <f aca="false">IF(AND(Tasks[[#This Row],[_IsLeaf]]=1,N(Tasks[[#This Row],[Actual Start]])=0,Tasks[[#This Row],[_ShownFcstStart]]&gt;=StatusDate,Tasks[[#This Row],[_ShownFcstStart]]&lt;=LookaheadEnd),Tasks[[#This Row],[_ShownFcstStart]]+Tasks[[#This Row],[_Row]]/100000,"")</f>
        <v/>
      </c>
      <c r="GG146" s="42" t="str">
        <f aca="false">IF(AND(Tasks[[#This Row],[_IsLeaf]]=1,Tasks[[#This Row],[_LeafProgress]]&lt;1,Tasks[[#This Row],[_ShownFcstFinish]]&gt;=StatusDate,Tasks[[#This Row],[_ShownFcstFinish]]&lt;=LookaheadEnd),Tasks[[#This Row],[_ShownFcstFinish]]+Tasks[[#This Row],[_Row]]/100000,"")</f>
        <v/>
      </c>
      <c r="GH146" s="42" t="str">
        <f aca="false">IF(Tasks[[#This Row],[_LeafCritical]],Tasks[[#This Row],[_ShownFcstStart]]+Tasks[[#This Row],[_Row]]/100000,"")</f>
        <v/>
      </c>
      <c r="GI146" s="42" t="n">
        <f aca="false">Tasks[[#This Row],[_LeafWork]]*Tasks[[#This Row],[_LeafProgress]]</f>
        <v>0</v>
      </c>
      <c r="GJ146" s="89" t="str">
        <f aca="false">IF(AND(Tasks[[#This Row],[_IsLeaf]]=1,Tasks[[#This Row],[_LeafProgress]]&gt;=1),IF(N(Tasks[[#This Row],[Actual Finish]])&gt;0,Tasks[[#This Row],[Actual Finish]],Tasks[[#This Row],[_ShownFcstFinish]]),"")</f>
        <v/>
      </c>
      <c r="GK146" s="42" t="n">
        <f aca="false">IF(Tasks[[#This Row],[_IsLeaf]]=1,N(Tasks[[#This Row],[Story Points]]),0)</f>
        <v>0</v>
      </c>
      <c r="GL146" s="42" t="str">
        <f aca="false">""</f>
        <v/>
      </c>
      <c r="GM146" s="88" t="b">
        <f aca="false">IF(Tasks[[#This Row],[Task Name]]="",FALSE(),AND(Tasks[[#This Row],[_IsLeaf]]=1,N(Tasks[[#This Row],[_Days]])=0))</f>
        <v>0</v>
      </c>
      <c r="GN146" s="89" t="n">
        <f aca="false">IF(Tasks[[#This Row],[Task Name]]="",0,IF(AND(Tasks[[#This Row],[_IsLeaf]]=1,NOT(Tasks[[#This Row],[_IsMilestone]]),N(Tasks[[#This Row],[Progress]])&gt;0),Tasks[[#This Row],[Start]],0))</f>
        <v>0</v>
      </c>
      <c r="GO146" s="89" t="n">
        <f aca="false">IF(Tasks[[#This Row],[_DoneFrom]]=0,0,IF(Tasks[[#This Row],[Progress]]&gt;=1,Tasks[[#This Row],[Finish]],MAX(Tasks[[#This Row],[_DoneFrom]],Tasks[[#This Row],[Start]]+ROUND((Tasks[[#This Row],[Finish]]-Tasks[[#This Row],[Start]]+1)*Tasks[[#This Row],[Progress]],0)-1)))</f>
        <v>0</v>
      </c>
      <c r="GP146" s="89" t="n">
        <f aca="false">IF(Tasks[[#This Row],[Task Name]]="",0,IF(OR(NOT(Tasks[[#This Row],[_IsLeaf]]=1),Tasks[[#This Row],[_IsMilestone]],N(Tasks[[#This Row],[Progress]])&gt;=1),0,IF(Tasks[[#This Row],[_DoneTo]]&gt;0,Tasks[[#This Row],[_DoneTo]]+1,Tasks[[#This Row],[Start]])))</f>
        <v>0</v>
      </c>
      <c r="GQ146" s="89" t="n">
        <f aca="false">IF(Tasks[[#This Row],[_RemFrom]]=0,0,Tasks[[#This Row],[Finish]])</f>
        <v>0</v>
      </c>
      <c r="GR146" s="88" t="b">
        <f aca="false">IF(Tasks[[#This Row],[Task Name]]="",FALSE(),OR(NOT(BaselineSet),N(Tasks[[#This Row],[Baseline Start]])&gt;0))</f>
        <v>0</v>
      </c>
      <c r="GS14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6" s="90" t="str">
        <f aca="false">IF(Tasks[[#This Row],[_IsLeaf]]=1,Tasks[[#This Row],[_Row]],"")</f>
        <v/>
      </c>
      <c r="GW146" s="90" t="str">
        <f aca="false">IFERROR(INDEX(Tasks[UID],SMALL(Tasks[_PickKey],Tasks[[#This Row],[_Row]]))&amp;" "&amp;INDEX(Tasks[Task Name],SMALL(Tasks[_PickKey],Tasks[[#This Row],[_Row]])),"")</f>
        <v/>
      </c>
      <c r="GX146" s="42" t="str">
        <f aca="false">IF(Tasks[[#This Row],[Task Name]]="","",IF(Tasks[[#This Row],[_IsSummary]],NETWORKDAYS.INTL(Tasks[[#This Row],[Start]],Tasks[[#This Row],[Finish]],WorkWeek,Holidays),N(Tasks[[#This Row],[_Days]])))</f>
        <v/>
      </c>
    </row>
    <row r="147" customFormat="false" ht="15" hidden="false" customHeight="false" outlineLevel="0" collapsed="false">
      <c r="A147" s="21" t="str">
        <f aca="false">IF(Tasks[[#This Row],[Task Name]]="","",COUNTA(Tasks[[#Headers],[Task Name]]:Tasks[[#This Row],[Task Name]])-1)</f>
        <v/>
      </c>
      <c r="B147" s="22" t="n">
        <v>155</v>
      </c>
      <c r="C147" s="22"/>
      <c r="D147" s="23"/>
      <c r="E147" s="22"/>
      <c r="F147" s="23"/>
      <c r="G147" s="22"/>
      <c r="H147" s="22"/>
      <c r="I147" s="23"/>
      <c r="J147" s="22"/>
      <c r="K147" s="22"/>
      <c r="L147" s="23"/>
      <c r="M147" s="22"/>
      <c r="N147" s="22"/>
      <c r="O147" s="23"/>
      <c r="P147" s="22"/>
      <c r="Q147" s="22"/>
      <c r="R147" s="23"/>
      <c r="S147" s="23"/>
      <c r="T147" s="83"/>
      <c r="U147" s="23"/>
      <c r="V147" s="83"/>
      <c r="W147" s="23"/>
      <c r="X147" s="83"/>
      <c r="Y147" s="23"/>
      <c r="Z147" s="83"/>
      <c r="AA147" s="23"/>
      <c r="AB147" s="23"/>
      <c r="AC147" s="7"/>
      <c r="AD147" s="7"/>
      <c r="AE147" s="62" t="str">
        <f aca="false">IF(Tasks[[#This Row],[Task Name]]="","",IF(Tasks[[#This Row],[_IsSummary]],MIN(INDEX(Tasks[_ShownFcstStart],Tasks[[#This Row],[_Row]]+1):INDEX(Tasks[_ShownFcstStart],Tasks[[#This Row],[_Row]]+Tasks[[#This Row],[_Descendants]])),Tasks[[#This Row],[_ShownFcstStart]]))</f>
        <v/>
      </c>
      <c r="AF147" s="62" t="str">
        <f aca="false">IF(Tasks[[#This Row],[Task Name]]="","",IF(Tasks[[#This Row],[_IsSummary]],MAX(INDEX(Tasks[_ShownFcstFinish],Tasks[[#This Row],[_Row]]+1):INDEX(Tasks[_ShownFcstFinish],Tasks[[#This Row],[_Row]]+Tasks[[#This Row],[_Descendants]])),Tasks[[#This Row],[_ShownFcstFinish]]))</f>
        <v/>
      </c>
      <c r="AG147" s="21" t="str">
        <f aca="false">""</f>
        <v/>
      </c>
      <c r="AH147" s="23"/>
      <c r="AI14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7" s="7"/>
      <c r="AK147" s="22"/>
      <c r="AL147" s="23"/>
      <c r="AM147" s="7"/>
      <c r="AN147" s="46" t="str">
        <f aca="false">IF(Tasks[[#This Row],[Task Name]]="","",IF(Tasks[[#This Row],[Finish]]&gt;=Tasks[[#This Row],[Planned Finish]],NETWORKDAYS.INTL(Tasks[[#This Row],[Planned Finish]],Tasks[[#This Row],[Finish]],WorkWeek,Holidays)-1,1-NETWORKDAYS.INTL(Tasks[[#This Row],[Finish]],Tasks[[#This Row],[Planned Finish]],WorkWeek,Holidays)))</f>
        <v/>
      </c>
      <c r="AO147" s="21" t="str">
        <f aca="false">IF(Tasks[[#This Row],[Task Name]]="","",IF(Tasks[[#This Row],[Progress]]&gt;=1,"Complete",IF(OR(N(Tasks[[#This Row],[Actual Start]])&gt;0,Tasks[[#This Row],[Progress]]&gt;0),IF(Tasks[[#This Row],[Finish Var]]&gt;0,"Behind","In Progress"),IF(Tasks[[#This Row],[Planned Start]]&lt;StatusDate,"Late Start","Not Started"))))</f>
        <v/>
      </c>
      <c r="AP147" s="21" t="str">
        <f aca="false">IF(Tasks[[#This Row],[Task Name]]="","",IF(IF(Tasks[[#This Row],[_IsSummary]],COUNTIF(INDEX(Tasks[_LeafCritical],Tasks[[#This Row],[_Row]]+1):INDEX(Tasks[_LeafCritical],Tasks[[#This Row],[_Row]]+Tasks[[#This Row],[_Descendants]]),TRUE())&gt;0,Tasks[[#This Row],[_LeafCritical]]),"Yes",""))</f>
        <v/>
      </c>
      <c r="AQ147" s="62" t="str">
        <f aca="false">IF(Tasks[[#This Row],[Task Name]]="","",IF(N(Tasks[[#This Row],[Baseline Start]])&gt;0,Tasks[[#This Row],[Baseline Start]],Tasks[[#This Row],[_CalcStart]]))</f>
        <v/>
      </c>
      <c r="AR147" s="62" t="str">
        <f aca="false">IF(Tasks[[#This Row],[Task Name]]="","",IF(N(Tasks[[#This Row],[Baseline Finish]])&gt;0,Tasks[[#This Row],[Baseline Finish]],Tasks[[#This Row],[_CalcFinish]]))</f>
        <v/>
      </c>
      <c r="AS147" s="46" t="str">
        <f aca="false">IF(Tasks[[#This Row],[Task Name]]="","",IF(Tasks[[#This Row],[Start]]&gt;=Tasks[[#This Row],[Planned Start]],NETWORKDAYS.INTL(Tasks[[#This Row],[Planned Start]],Tasks[[#This Row],[Start]],WorkWeek,Holidays)-1,1-NETWORKDAYS.INTL(Tasks[[#This Row],[Start]],Tasks[[#This Row],[Planned Start]],WorkWeek,Holidays)))</f>
        <v/>
      </c>
      <c r="AT147" s="62" t="str">
        <f aca="false">IF(Tasks[[#This Row],[Task Name]]="","",IF(Tasks[[#This Row],[_IsSummary]],MIN(INDEX(Tasks[_LeafLateStart],Tasks[[#This Row],[_Row]]+1):INDEX(Tasks[_LeafLateStart],Tasks[[#This Row],[_Row]]+Tasks[[#This Row],[_Descendants]])),Tasks[[#This Row],[_LeafLateStart]]))</f>
        <v/>
      </c>
      <c r="AU147" s="62" t="str">
        <f aca="false">IF(Tasks[[#This Row],[Task Name]]="","",IF(Tasks[[#This Row],[_IsSummary]],MAX(INDEX(Tasks[_LeafLateFinish],Tasks[[#This Row],[_Row]]+1):INDEX(Tasks[_LeafLateFinish],Tasks[[#This Row],[_Row]]+Tasks[[#This Row],[_Descendants]])),Tasks[[#This Row],[_LeafLateFinish]]))</f>
        <v/>
      </c>
      <c r="AV147" s="46" t="str">
        <f aca="false">IF(Tasks[[#This Row],[Task Name]]="","",IF(Tasks[[#This Row],[_IsSummary]],MIN(INDEX(Tasks[_LeafTotalSlack],Tasks[[#This Row],[_Row]]+1):INDEX(Tasks[_LeafTotalSlack],Tasks[[#This Row],[_Row]]+Tasks[[#This Row],[_Descendants]])),Tasks[[#This Row],[_LeafTotalSlack]]))</f>
        <v/>
      </c>
      <c r="AW14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4"/>
      <c r="BA14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t="str">
        <f aca="false">IF(Tasks[[#This Row],[Task Name]]="","",IF(Tasks[[#This Row],[_Level]]&lt;=OutlineShowLevel,"Yes","No"))</f>
        <v/>
      </c>
      <c r="BE147" s="85" t="str">
        <f aca="false">IF(Tasks[[#This Row],[Task Name]]="","",IF(Tasks[[#This Row],[_IsSummary]],SUM(INDEX(Tasks[_LeafTotalWork],Tasks[[#This Row],[_Row]]+1):INDEX(Tasks[_LeafTotalWork],Tasks[[#This Row],[_Row]]+Tasks[[#This Row],[_Descendants]])),Tasks[[#This Row],[_LeafTotalWork]]))</f>
        <v/>
      </c>
      <c r="BF147" s="23"/>
      <c r="BG14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t="str">
        <f aca="false">""</f>
        <v/>
      </c>
      <c r="BI147" s="86"/>
      <c r="BJ147" s="22"/>
      <c r="BK147" s="46" t="str">
        <f aca="false">IF(OR(Tasks[[#This Row],[Task Name]]="",Tasks[[#This Row],[Baseline Duration]]=""),"",Tasks[[#This Row],[_SpanDays]]-N(Tasks[[#This Row],[Baseline Duration]]))</f>
        <v/>
      </c>
      <c r="BL147" s="85" t="str">
        <f aca="false">IF(OR(Tasks[[#This Row],[Task Name]]="",Tasks[[#This Row],[Baseline Work]]=""),"",Tasks[[#This Row],[Work]]-N(Tasks[[#This Row],[Baseline Work]]))</f>
        <v/>
      </c>
      <c r="BM147" s="62" t="str">
        <f aca="false">IF(Tasks[[#This Row],[Task Name]]="","",IF(OR(TakeBaseline="Yes",N(Tasks[[#This Row],[Baseline Start]])=0),Tasks[[#This Row],[Start]],Tasks[[#This Row],[Baseline Start]]))</f>
        <v/>
      </c>
      <c r="BN147" s="62" t="str">
        <f aca="false">IF(Tasks[[#This Row],[Task Name]]="","",IF(OR(TakeBaseline="Yes",N(Tasks[[#This Row],[Baseline Finish]])=0),Tasks[[#This Row],[Finish]],Tasks[[#This Row],[Baseline Finish]]))</f>
        <v/>
      </c>
      <c r="BO147" s="21" t="str">
        <f aca="false">IF(Tasks[[#This Row],[Task Name]]="","",IF(OR(TakeBaseline="Yes",N(Tasks[[#This Row],[Baseline Duration]])=0),Tasks[[#This Row],[_SpanDays]],Tasks[[#This Row],[Baseline Duration]]))</f>
        <v/>
      </c>
      <c r="BP147" s="85" t="str">
        <f aca="false">IF(Tasks[[#This Row],[Task Name]]="","",IF(OR(TakeBaseline="Yes",N(Tasks[[#This Row],[Baseline Work]])=0),Tasks[[#This Row],[Work]],Tasks[[#This Row],[Baseline Work]]))</f>
        <v/>
      </c>
      <c r="BQ147" s="7"/>
      <c r="BR147" s="7"/>
      <c r="BS147" s="22"/>
      <c r="BT147" s="87"/>
      <c r="BU147" s="42" t="str">
        <f aca="false">IF(Tasks[[#This Row],[Task Name]]="","",MAX(1,N(Tasks[[#This Row],[Level]])))</f>
        <v/>
      </c>
      <c r="BV147" s="42" t="n">
        <f aca="false">ROW()-ROW(Tasks[[#Headers],[ID]])</f>
        <v>142</v>
      </c>
      <c r="BW147" s="42" t="n">
        <f aca="false">IF(OR(Tasks[[#This Row],[Task Name]]="",Tasks[[#This Row],[_Level]]&lt;=1),0,IFERROR(LOOKUP(2,1/(Tasks[[#Headers],[_Level]]:Tasks[[#This Row],[_Level]]=Tasks[[#This Row],[_Level]]-1),ROW(Tasks[[#Headers],[_Level]]:Tasks[[#This Row],[_Level]])),0))</f>
        <v>0</v>
      </c>
      <c r="BX147" s="42" t="n">
        <f aca="false">IFERROR(N(INDEX(Tasks[_Level],Tasks[[#This Row],[_Row]]+1)),0)</f>
        <v>0</v>
      </c>
      <c r="BY147" s="88" t="b">
        <f aca="false">AND(Tasks[[#This Row],[Task Name]]&lt;&gt;"",Tasks[[#This Row],[_NextLevel]]&gt;Tasks[[#This Row],[_Level]])</f>
        <v>0</v>
      </c>
      <c r="BZ147" s="42" t="n">
        <f aca="false">IF(Tasks[[#This Row],[_IsSummary]],COUNTIF(Tasks[WBS],Tasks[[#This Row],[WBS]]&amp;".*"),0)</f>
        <v>0</v>
      </c>
      <c r="CA147" s="42" t="n">
        <f aca="false">IF(AND(Tasks[[#This Row],[Task Name]]&lt;&gt;"",NOT(Tasks[[#This Row],[_IsSummary]])),1,0)</f>
        <v>0</v>
      </c>
      <c r="CB147" s="42" t="n">
        <f aca="false">IF(N(Tasks[[#This Row],[_Pred1UID]])=0,0,IFERROR(MATCH(Tasks[[#This Row],[_Pred1UID]],Tasks[UID],0),-1))</f>
        <v>0</v>
      </c>
      <c r="CC147" s="42" t="n">
        <f aca="false">IF(N(Tasks[[#This Row],[_Pred2UID]])=0,0,IFERROR(MATCH(Tasks[[#This Row],[_Pred2UID]],Tasks[UID],0),-1))</f>
        <v>0</v>
      </c>
      <c r="CD147" s="42" t="n">
        <f aca="false">IF(N(Tasks[[#This Row],[_Pred3UID]])=0,0,IFERROR(MATCH(Tasks[[#This Row],[_Pred3UID]],Tasks[UID],0),-1))</f>
        <v>0</v>
      </c>
      <c r="CE147" s="42" t="n">
        <f aca="false">IF(N(Tasks[[#This Row],[_Pred4UID]])=0,0,IFERROR(MATCH(Tasks[[#This Row],[_Pred4UID]],Tasks[UID],0),-1))</f>
        <v>0</v>
      </c>
      <c r="CF14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7" s="89" t="n">
        <f aca="false">IF(OR(Tasks[[#This Row],[_ConstraintCode]]=2,Tasks[[#This Row],[_ConstraintCode]]=3,Tasks[[#This Row],[_ConstraintCode]]=4,Tasks[[#This Row],[_ConstraintCode]]=6),Tasks[[#This Row],[_ConstraintStart]],0)</f>
        <v>0</v>
      </c>
      <c r="CI147" s="89" t="n">
        <f aca="false">IF(OR(Tasks[[#This Row],[_ConstraintCode]]=2,Tasks[[#This Row],[_ConstraintCode]]=3,Tasks[[#This Row],[_ConstraintCode]]=5,Tasks[[#This Row],[_ConstraintCode]]=7),Tasks[[#This Row],[_ConstraintStart]],2958465)</f>
        <v>2958465</v>
      </c>
      <c r="CJ14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7" s="89" t="str">
        <f aca="false">IF(NOT(Tasks[[#This Row],[_IsLeaf]]=1),"",IF(N(Tasks[[#This Row],[_Days]])&lt;=0,Tasks[[#This Row],[_LeafCalcStart]],WORKDAY.INTL(Tasks[[#This Row],[_LeafCalcStart]],Tasks[[#This Row],[_Days]]-1,WorkWeek,Holidays)))</f>
        <v/>
      </c>
      <c r="CL14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7" s="42" t="str">
        <f aca="false">IF(Tasks[[#This Row],[_Predecessors]]="","",TRIM(MID(SUBSTITUTE(SUBSTITUTE(SUBSTITUTE(UPPER(Tasks[[#This Row],[_Predecessors]]),";",",")," ",""),",",REPT(" ",99)),1,99)))</f>
        <v/>
      </c>
      <c r="CO147" s="42" t="str">
        <f aca="false">IF(Tasks[[#This Row],[_Pred1Text]]="","",IFERROR(VALUE(LEFT(Tasks[[#This Row],[_Pred1Text]],MIN(FIND("F",Tasks[[#This Row],[_Pred1Text]]&amp;"F"),FIND("S",Tasks[[#This Row],[_Pred1Text]]&amp;"S"),FIND("+",Tasks[[#This Row],[_Pred1Text]]&amp;"+"),FIND("-",Tasks[[#This Row],[_Pred1Text]]&amp;"-"))-1)),""))</f>
        <v/>
      </c>
      <c r="CP14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7" s="42" t="str">
        <f aca="false">IF(Tasks[[#This Row],[_Pred1Text]]="","",TRIM(MID(SUBSTITUTE(SUBSTITUTE(SUBSTITUTE(UPPER(Tasks[[#This Row],[_Predecessors]]),";",",")," ",""),",",REPT(" ",99)),100,99)))</f>
        <v/>
      </c>
      <c r="CS147" s="42" t="str">
        <f aca="false">IF(Tasks[[#This Row],[_Pred2Text]]="","",IFERROR(VALUE(LEFT(Tasks[[#This Row],[_Pred2Text]],MIN(FIND("F",Tasks[[#This Row],[_Pred2Text]]&amp;"F"),FIND("S",Tasks[[#This Row],[_Pred2Text]]&amp;"S"),FIND("+",Tasks[[#This Row],[_Pred2Text]]&amp;"+"),FIND("-",Tasks[[#This Row],[_Pred2Text]]&amp;"-"))-1)),""))</f>
        <v/>
      </c>
      <c r="CT14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7" s="42" t="str">
        <f aca="false">IF(Tasks[[#This Row],[_Pred2Text]]="","",TRIM(MID(SUBSTITUTE(SUBSTITUTE(SUBSTITUTE(UPPER(Tasks[[#This Row],[_Predecessors]]),";",",")," ",""),",",REPT(" ",99)),199,99)))</f>
        <v/>
      </c>
      <c r="CW147" s="42" t="str">
        <f aca="false">IF(Tasks[[#This Row],[_Pred3Text]]="","",IFERROR(VALUE(LEFT(Tasks[[#This Row],[_Pred3Text]],MIN(FIND("F",Tasks[[#This Row],[_Pred3Text]]&amp;"F"),FIND("S",Tasks[[#This Row],[_Pred3Text]]&amp;"S"),FIND("+",Tasks[[#This Row],[_Pred3Text]]&amp;"+"),FIND("-",Tasks[[#This Row],[_Pred3Text]]&amp;"-"))-1)),""))</f>
        <v/>
      </c>
      <c r="CX14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7" s="42" t="str">
        <f aca="false">IF(Tasks[[#This Row],[_Pred3Text]]="","",TRIM(MID(SUBSTITUTE(SUBSTITUTE(SUBSTITUTE(UPPER(Tasks[[#This Row],[_Predecessors]]),";",",")," ",""),",",REPT(" ",99)),298,99)))</f>
        <v/>
      </c>
      <c r="DA147" s="42" t="str">
        <f aca="false">IF(Tasks[[#This Row],[_Pred4Text]]="","",IFERROR(VALUE(LEFT(Tasks[[#This Row],[_Pred4Text]],MIN(FIND("F",Tasks[[#This Row],[_Pred4Text]]&amp;"F"),FIND("S",Tasks[[#This Row],[_Pred4Text]]&amp;"S"),FIND("+",Tasks[[#This Row],[_Pred4Text]]&amp;"+"),FIND("-",Tasks[[#This Row],[_Pred4Text]]&amp;"-"))-1)),""))</f>
        <v/>
      </c>
      <c r="DB14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7" s="42" t="str">
        <f aca="false">IF(OR(Tasks[[#This Row],[Task Name]]="",Tasks[[#This Row],[_Resources]]=""),"",TRIM(MID(SUBSTITUTE(Tasks[[#This Row],[_Resources]],",",REPT(" ",99)),1,99)))</f>
        <v/>
      </c>
      <c r="DE147" s="42" t="str">
        <f aca="false">IF(Tasks[[#This Row],[_Res1Text]]="","",TRIM(MID(SUBSTITUTE(Tasks[[#This Row],[_Resources]],",",REPT(" ",99)),100,99)))</f>
        <v/>
      </c>
      <c r="DF147" s="42" t="str">
        <f aca="false">IF(Tasks[[#This Row],[_Res2Text]]="","",TRIM(MID(SUBSTITUTE(Tasks[[#This Row],[_Resources]],",",REPT(" ",99)),199,99)))</f>
        <v/>
      </c>
      <c r="DG147" s="42" t="str">
        <f aca="false">IF(Tasks[[#This Row],[_Res3Text]]="","",TRIM(MID(SUBSTITUTE(Tasks[[#This Row],[_Resources]],",",REPT(" ",99)),298,99)))</f>
        <v/>
      </c>
      <c r="DH147" s="42" t="n">
        <f aca="false">IF(Tasks[[#This Row],[_Res1Text]]="",0,IFERROR(MATCH(TRIM(LEFT(Tasks[[#This Row],[_Res1Text]],FIND("[",Tasks[[#This Row],[_Res1Text]]&amp;"[")-1)),res_Name,0),IFERROR(MATCH(TRIM(LEFT(Tasks[[#This Row],[_Res1Text]],FIND("[",Tasks[[#This Row],[_Res1Text]]&amp;"[")-1)),res_Initials,0),0)))</f>
        <v>0</v>
      </c>
      <c r="DI147" s="42" t="n">
        <f aca="false">IF(Tasks[[#This Row],[_Res2Text]]="",0,IFERROR(MATCH(TRIM(LEFT(Tasks[[#This Row],[_Res2Text]],FIND("[",Tasks[[#This Row],[_Res2Text]]&amp;"[")-1)),res_Name,0),IFERROR(MATCH(TRIM(LEFT(Tasks[[#This Row],[_Res2Text]],FIND("[",Tasks[[#This Row],[_Res2Text]]&amp;"[")-1)),res_Initials,0),0)))</f>
        <v>0</v>
      </c>
      <c r="DJ147" s="42" t="n">
        <f aca="false">IF(Tasks[[#This Row],[_Res3Text]]="",0,IFERROR(MATCH(TRIM(LEFT(Tasks[[#This Row],[_Res3Text]],FIND("[",Tasks[[#This Row],[_Res3Text]]&amp;"[")-1)),res_Name,0),IFERROR(MATCH(TRIM(LEFT(Tasks[[#This Row],[_Res3Text]],FIND("[",Tasks[[#This Row],[_Res3Text]]&amp;"[")-1)),res_Initials,0),0)))</f>
        <v>0</v>
      </c>
      <c r="DK147" s="42" t="n">
        <f aca="false">IF(Tasks[[#This Row],[_Res4Text]]="",0,IFERROR(MATCH(TRIM(LEFT(Tasks[[#This Row],[_Res4Text]],FIND("[",Tasks[[#This Row],[_Res4Text]]&amp;"[")-1)),res_Name,0),IFERROR(MATCH(TRIM(LEFT(Tasks[[#This Row],[_Res4Text]],FIND("[",Tasks[[#This Row],[_Res4Text]]&amp;"[")-1)),res_Initials,0),0)))</f>
        <v>0</v>
      </c>
      <c r="DL147" s="42" t="str">
        <f aca="false">IF(Tasks[[#This Row],[_Res1Text]]="","",IF(Tasks[[#This Row],[_Res1Row]]&gt;0,INDEX(res_Name,Tasks[[#This Row],[_Res1Row]]),TRIM(LEFT(Tasks[[#This Row],[_Res1Text]],FIND("[",Tasks[[#This Row],[_Res1Text]]&amp;"[")-1))))</f>
        <v/>
      </c>
      <c r="DM14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7" s="42" t="n">
        <f aca="false">IF(NOT(Tasks[[#This Row],[_IsLeaf]]=1),0,(Tasks[[#This Row],[_Resource1]]&lt;&gt;"")+(Tasks[[#This Row],[_Res2]]&lt;&gt;"")+(Tasks[[#This Row],[_Res3]]&lt;&gt;"")+(Tasks[[#This Row],[_Res4]]&lt;&gt;""))</f>
        <v>0</v>
      </c>
      <c r="DO147" s="42" t="str">
        <f aca="false">IF(Tasks[[#This Row],[_Res2Text]]="","",IF(Tasks[[#This Row],[_Res2Row]]&gt;0,INDEX(res_Name,Tasks[[#This Row],[_Res2Row]]),TRIM(LEFT(Tasks[[#This Row],[_Res2Text]],FIND("[",Tasks[[#This Row],[_Res2Text]]&amp;"[")-1))))</f>
        <v/>
      </c>
      <c r="DP14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7" s="42" t="n">
        <f aca="false">IF(OR(NOT(Tasks[[#This Row],[_IsLeaf]]=1),Tasks[[#This Row],[_Res2Row]]=0),0,N(Tasks[[#This Row],[_Days]])*HoursPerDay*IF(Tasks[[#This Row],[_Res2Units]]="",DefaultUnits,Tasks[[#This Row],[_Res2Units]]))</f>
        <v>0</v>
      </c>
      <c r="DR147" s="42" t="n">
        <f aca="false">IF(AND(AND(Tasks[[#This Row],[_IsLeaf]]=1,Tasks[[#This Row],[_LeafTotalWork]]&gt;0),Tasks[[#This Row],[_Res2Work]]&gt;0),Tasks[[#This Row],[_Res2Work]]/(Tasks[[#This Row],[_FinishWorkday]]-Tasks[[#This Row],[_StartWorkday]]+1),0)</f>
        <v>0</v>
      </c>
      <c r="DS147" s="42" t="n">
        <f aca="false">Tasks[[#This Row],[_Res2WorkPerWD]]*MAX(0,Tasks[[#This Row],[_StartWorkday]]-1)</f>
        <v>0</v>
      </c>
      <c r="DT147" s="42" t="n">
        <f aca="false">Tasks[[#This Row],[_Res2Work]]*Tasks[[#This Row],[_LeafProgress]]</f>
        <v>0</v>
      </c>
      <c r="DU147" s="42" t="str">
        <f aca="false">IF(Tasks[[#This Row],[_Res3Text]]="","",IF(Tasks[[#This Row],[_Res3Row]]&gt;0,INDEX(res_Name,Tasks[[#This Row],[_Res3Row]]),TRIM(LEFT(Tasks[[#This Row],[_Res3Text]],FIND("[",Tasks[[#This Row],[_Res3Text]]&amp;"[")-1))))</f>
        <v/>
      </c>
      <c r="DV14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7" s="42" t="n">
        <f aca="false">IF(OR(NOT(Tasks[[#This Row],[_IsLeaf]]=1),Tasks[[#This Row],[_Res3Row]]=0),0,N(Tasks[[#This Row],[_Days]])*HoursPerDay*IF(Tasks[[#This Row],[_Res3Units]]="",DefaultUnits,Tasks[[#This Row],[_Res3Units]]))</f>
        <v>0</v>
      </c>
      <c r="DX147" s="42" t="n">
        <f aca="false">IF(AND(AND(Tasks[[#This Row],[_IsLeaf]]=1,Tasks[[#This Row],[_LeafTotalWork]]&gt;0),Tasks[[#This Row],[_Res3Work]]&gt;0),Tasks[[#This Row],[_Res3Work]]/(Tasks[[#This Row],[_FinishWorkday]]-Tasks[[#This Row],[_StartWorkday]]+1),0)</f>
        <v>0</v>
      </c>
      <c r="DY147" s="42" t="n">
        <f aca="false">Tasks[[#This Row],[_Res3WorkPerWD]]*MAX(0,Tasks[[#This Row],[_StartWorkday]]-1)</f>
        <v>0</v>
      </c>
      <c r="DZ147" s="42" t="n">
        <f aca="false">Tasks[[#This Row],[_Res3Work]]*Tasks[[#This Row],[_LeafProgress]]</f>
        <v>0</v>
      </c>
      <c r="EA147" s="42" t="str">
        <f aca="false">IF(Tasks[[#This Row],[_Res4Text]]="","",IF(Tasks[[#This Row],[_Res4Row]]&gt;0,INDEX(res_Name,Tasks[[#This Row],[_Res4Row]]),TRIM(LEFT(Tasks[[#This Row],[_Res4Text]],FIND("[",Tasks[[#This Row],[_Res4Text]]&amp;"[")-1))))</f>
        <v/>
      </c>
      <c r="EB14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7" s="42" t="n">
        <f aca="false">IF(OR(NOT(Tasks[[#This Row],[_IsLeaf]]=1),Tasks[[#This Row],[_Res4Row]]=0),0,N(Tasks[[#This Row],[_Days]])*HoursPerDay*IF(Tasks[[#This Row],[_Res4Units]]="",DefaultUnits,Tasks[[#This Row],[_Res4Units]]))</f>
        <v>0</v>
      </c>
      <c r="ED147" s="42" t="n">
        <f aca="false">IF(AND(AND(Tasks[[#This Row],[_IsLeaf]]=1,Tasks[[#This Row],[_LeafTotalWork]]&gt;0),Tasks[[#This Row],[_Res4Work]]&gt;0),Tasks[[#This Row],[_Res4Work]]/(Tasks[[#This Row],[_FinishWorkday]]-Tasks[[#This Row],[_StartWorkday]]+1),0)</f>
        <v>0</v>
      </c>
      <c r="EE147" s="42" t="n">
        <f aca="false">Tasks[[#This Row],[_Res4WorkPerWD]]*MAX(0,Tasks[[#This Row],[_StartWorkday]]-1)</f>
        <v>0</v>
      </c>
      <c r="EF147" s="42" t="n">
        <f aca="false">Tasks[[#This Row],[_Res4Work]]*Tasks[[#This Row],[_LeafProgress]]</f>
        <v>0</v>
      </c>
      <c r="EG147" s="42" t="n">
        <f aca="false">IF(ISNUMBER(Tasks[[#This Row],[% Complete]]),Tasks[[#This Row],[% Complete]],IF(Tasks[[#This Row],[Stage]]="",0,IFERROR(INDEX(stg_Pct,MATCH(Tasks[[#This Row],[Stage]],stg_Name,0)),0)))</f>
        <v>0</v>
      </c>
      <c r="EH147" s="42" t="n">
        <f aca="false">IF(NOT(Tasks[[#This Row],[_IsLeaf]]=1),0,IF(N(Tasks[[#This Row],[Actual Finish]])&gt;0,1,MIN(1,Tasks[[#This Row],[_Pct]])))</f>
        <v>0</v>
      </c>
      <c r="EI147" s="42" t="n">
        <f aca="false">IF(OR(NOT(Tasks[[#This Row],[_IsLeaf]]=1),Tasks[[#This Row],[_Res1Row]]=0),0,N(Tasks[[#This Row],[_Days]])*HoursPerDay*IF(Tasks[[#This Row],[_Units1]]="",DefaultUnits,Tasks[[#This Row],[_Units1]]))</f>
        <v>0</v>
      </c>
      <c r="EJ147" s="42" t="n">
        <f aca="false">Tasks[[#This Row],[_LeafWork]]+Tasks[[#This Row],[_Res2Work]]+Tasks[[#This Row],[_Res3Work]]+Tasks[[#This Row],[_Res4Work]]</f>
        <v>0</v>
      </c>
      <c r="EK14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7" s="42" t="n">
        <f aca="false">IF(NOT(Tasks[[#This Row],[_IsLeaf]]=1),0,MAX(_xlfn.MAXIFS(Tasks[_Row],Tasks[_Pred1UID],Tasks[[#This Row],[UID]]),_xlfn.MAXIFS(Tasks[_Row],Tasks[_Pred2UID],Tasks[[#This Row],[UID]]),_xlfn.MAXIFS(Tasks[_Row],Tasks[_Pred3UID],Tasks[[#This Row],[UID]]),_xlfn.MAXIFS(Tasks[_Row],Tasks[_Pred4UID],Tasks[[#This Row],[UID]])))</f>
        <v>0</v>
      </c>
      <c r="ET14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7" s="89" t="str">
        <f aca="false">IF(NOT(Tasks[[#This Row],[_IsLeaf]]=1),"",IF(N(Tasks[[#This Row],[_Days]])&lt;=0,Tasks[[#This Row],[_LeafLateFinish]],WORKDAY.INTL(Tasks[[#This Row],[_LeafLateFinish]],-(Tasks[[#This Row],[_Days]]-1),WorkWeek,Holidays)))</f>
        <v/>
      </c>
      <c r="EW14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7" s="88" t="b">
        <f aca="false">AND(Tasks[[#This Row],[_IsLeaf]]=1,Tasks[[#This Row],[_LeafProgress]]&lt;1,N(Tasks[[#This Row],[_LeafTotalSlack]])&lt;=CriticalSlackDays)</f>
        <v>0</v>
      </c>
      <c r="EY147" s="42" t="n">
        <f aca="false">IF(AND(Tasks[[#This Row],[_IsLeaf]]=1,Tasks[[#This Row],[_ConstraintCode]]=1,Tasks[[#This Row],[Mode]]&lt;&gt;"Manual",N(Tasks[[#This Row],[Actual Start]])=0),MAX(0,N(Tasks[[#This Row],[Free Slack]])),0)</f>
        <v>0</v>
      </c>
      <c r="EZ147" s="89" t="str">
        <f aca="false">IF(NOT(Tasks[[#This Row],[_IsLeaf]]=1),"",IF(Tasks[[#This Row],[_AlapShift]]=0,Tasks[[#This Row],[_LeafCalcStart]],WORKDAY.INTL(Tasks[[#This Row],[_LeafCalcStart]],Tasks[[#This Row],[_AlapShift]],WorkWeek,Holidays)))</f>
        <v/>
      </c>
      <c r="FA147" s="89" t="str">
        <f aca="false">IF(NOT(Tasks[[#This Row],[_IsLeaf]]=1),"",IF(Tasks[[#This Row],[_AlapShift]]=0,Tasks[[#This Row],[_LeafCalcFinish]],WORKDAY.INTL(Tasks[[#This Row],[_LeafCalcFinish]],Tasks[[#This Row],[_AlapShift]],WorkWeek,Holidays)))</f>
        <v/>
      </c>
      <c r="FB147" s="89" t="str">
        <f aca="false">IF(NOT(Tasks[[#This Row],[_IsLeaf]]=1),"",IF(Tasks[[#This Row],[_AlapShift]]=0,Tasks[[#This Row],[_LeafFcstStart]],WORKDAY.INTL(Tasks[[#This Row],[_LeafFcstStart]],Tasks[[#This Row],[_AlapShift]],WorkWeek,Holidays)))</f>
        <v/>
      </c>
      <c r="FC147" s="89" t="str">
        <f aca="false">IF(NOT(Tasks[[#This Row],[_IsLeaf]]=1),"",IF(Tasks[[#This Row],[_AlapShift]]=0,Tasks[[#This Row],[_LeafFcstFinish]],WORKDAY.INTL(Tasks[[#This Row],[_LeafFcstFinish]],Tasks[[#This Row],[_AlapShift]],WorkWeek,Holidays)))</f>
        <v/>
      </c>
      <c r="FD147" s="89" t="str">
        <f aca="false">IF(Tasks[[#This Row],[Task Name]]="","",IF(Tasks[[#This Row],[_IsSummary]],MIN(INDEX(Tasks[_ShownCalcStart],Tasks[[#This Row],[_Row]]+1):INDEX(Tasks[_ShownCalcStart],Tasks[[#This Row],[_Row]]+Tasks[[#This Row],[_Descendants]])),Tasks[[#This Row],[_ShownCalcStart]]))</f>
        <v/>
      </c>
      <c r="FE147" s="89" t="str">
        <f aca="false">IF(Tasks[[#This Row],[Task Name]]="","",IF(Tasks[[#This Row],[_IsSummary]],MAX(INDEX(Tasks[_ShownCalcFinish],Tasks[[#This Row],[_Row]]+1):INDEX(Tasks[_ShownCalcFinish],Tasks[[#This Row],[_Row]]+Tasks[[#This Row],[_Descendants]])),Tasks[[#This Row],[_ShownCalcFinish]]))</f>
        <v/>
      </c>
      <c r="FF14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7" s="42" t="n">
        <f aca="false">IF(AND(Tasks[[#This Row],[_IsLeaf]]=1,Tasks[[#This Row],[_LeafTotalWork]]&gt;0),NETWORKDAYS.INTL(ProjectStart,Tasks[[#This Row],[_ShownFcstStart]],WorkWeek,Holidays),0)</f>
        <v>0</v>
      </c>
      <c r="FS147" s="42" t="n">
        <f aca="false">IF(AND(Tasks[[#This Row],[_IsLeaf]]=1,Tasks[[#This Row],[_LeafTotalWork]]&gt;0),MAX(Tasks[[#This Row],[_StartWorkday]],NETWORKDAYS.INTL(ProjectStart,Tasks[[#This Row],[_ShownFcstFinish]],WorkWeek,Holidays)),0)</f>
        <v>0</v>
      </c>
      <c r="FT147" s="42" t="n">
        <f aca="false">IF(AND(Tasks[[#This Row],[_IsLeaf]]=1,Tasks[[#This Row],[_LeafTotalWork]]&gt;0),Tasks[[#This Row],[_LeafWork]]/(Tasks[[#This Row],[_FinishWorkday]]-Tasks[[#This Row],[_StartWorkday]]+1),0)</f>
        <v>0</v>
      </c>
      <c r="FU147" s="42" t="n">
        <f aca="false">Tasks[[#This Row],[_WorkPerWorkday]]*(Tasks[[#This Row],[_StartWorkday]]-1)</f>
        <v>-0</v>
      </c>
      <c r="FV147" s="42" t="n">
        <f aca="false">IF(Tasks[[#This Row],[_IsLeaf]]=1,MAX(N(Tasks[[#This Row],[_Days]]),0.1),0)</f>
        <v>0</v>
      </c>
      <c r="FW147" s="42" t="n">
        <f aca="false">Tasks[[#This Row],[_WeightDur]]*Tasks[[#This Row],[_LeafProgress]]</f>
        <v>0</v>
      </c>
      <c r="FX147" s="42" t="n">
        <f aca="false">Tasks[[#This Row],[_WeightDur]]*Tasks[[#This Row],[_PlannedPct]]</f>
        <v>0</v>
      </c>
      <c r="FY14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7" s="42" t="str">
        <f aca="false">IF(AND(Tasks[[#This Row],[_IsLeaf]]=1,N(Tasks[[#This Row],[_Days]])=0,Tasks[[#This Row],[_LeafProgress]]&lt;1),Tasks[[#This Row],[_ShownFcstFinish]]+Tasks[[#This Row],[_Row]]/100000,"")</f>
        <v/>
      </c>
      <c r="GA14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7" s="42" t="str">
        <f aca="false">IF(Tasks[[#This Row],[Task Name]]="","",LEFT(Tasks[[#This Row],[WBS]],FIND(".",Tasks[[#This Row],[WBS]]&amp;".")-1))</f>
        <v/>
      </c>
      <c r="GC147" s="42" t="str">
        <f aca="false">IF(AND(Tasks[[#This Row],[Task Name]]&lt;&gt;"",Tasks[[#This Row],[_Level]]=1),Tasks[[#This Row],[_Row]],"")</f>
        <v/>
      </c>
      <c r="GD147" s="42" t="str">
        <f aca="false">IF(AND(Tasks[[#This Row],[_IsLeaf]]=1,N(Tasks[[#This Row],[_Days]])=0),Tasks[[#This Row],[Planned Finish]]+Tasks[[#This Row],[_Row]]/100000,"")</f>
        <v/>
      </c>
      <c r="GE147" s="42" t="str">
        <f aca="false">IF(AND(Tasks[[#This Row],[_IsLeaf]]=1,Tasks[[#This Row],[_LeafProgress]]&lt;1,OR(N(Tasks[[#This Row],[Finish Var]])&gt;0,Tasks[[#This Row],[Status]]="Late Start")),MAX(0,Tasks[[#This Row],[Finish Var]])+1-Tasks[[#This Row],[_Row]]/1000000,"")</f>
        <v/>
      </c>
      <c r="GF147" s="42" t="str">
        <f aca="false">IF(AND(Tasks[[#This Row],[_IsLeaf]]=1,N(Tasks[[#This Row],[Actual Start]])=0,Tasks[[#This Row],[_ShownFcstStart]]&gt;=StatusDate,Tasks[[#This Row],[_ShownFcstStart]]&lt;=LookaheadEnd),Tasks[[#This Row],[_ShownFcstStart]]+Tasks[[#This Row],[_Row]]/100000,"")</f>
        <v/>
      </c>
      <c r="GG147" s="42" t="str">
        <f aca="false">IF(AND(Tasks[[#This Row],[_IsLeaf]]=1,Tasks[[#This Row],[_LeafProgress]]&lt;1,Tasks[[#This Row],[_ShownFcstFinish]]&gt;=StatusDate,Tasks[[#This Row],[_ShownFcstFinish]]&lt;=LookaheadEnd),Tasks[[#This Row],[_ShownFcstFinish]]+Tasks[[#This Row],[_Row]]/100000,"")</f>
        <v/>
      </c>
      <c r="GH147" s="42" t="str">
        <f aca="false">IF(Tasks[[#This Row],[_LeafCritical]],Tasks[[#This Row],[_ShownFcstStart]]+Tasks[[#This Row],[_Row]]/100000,"")</f>
        <v/>
      </c>
      <c r="GI147" s="42" t="n">
        <f aca="false">Tasks[[#This Row],[_LeafWork]]*Tasks[[#This Row],[_LeafProgress]]</f>
        <v>0</v>
      </c>
      <c r="GJ147" s="89" t="str">
        <f aca="false">IF(AND(Tasks[[#This Row],[_IsLeaf]]=1,Tasks[[#This Row],[_LeafProgress]]&gt;=1),IF(N(Tasks[[#This Row],[Actual Finish]])&gt;0,Tasks[[#This Row],[Actual Finish]],Tasks[[#This Row],[_ShownFcstFinish]]),"")</f>
        <v/>
      </c>
      <c r="GK147" s="42" t="n">
        <f aca="false">IF(Tasks[[#This Row],[_IsLeaf]]=1,N(Tasks[[#This Row],[Story Points]]),0)</f>
        <v>0</v>
      </c>
      <c r="GL147" s="42" t="str">
        <f aca="false">""</f>
        <v/>
      </c>
      <c r="GM147" s="88" t="b">
        <f aca="false">IF(Tasks[[#This Row],[Task Name]]="",FALSE(),AND(Tasks[[#This Row],[_IsLeaf]]=1,N(Tasks[[#This Row],[_Days]])=0))</f>
        <v>0</v>
      </c>
      <c r="GN147" s="89" t="n">
        <f aca="false">IF(Tasks[[#This Row],[Task Name]]="",0,IF(AND(Tasks[[#This Row],[_IsLeaf]]=1,NOT(Tasks[[#This Row],[_IsMilestone]]),N(Tasks[[#This Row],[Progress]])&gt;0),Tasks[[#This Row],[Start]],0))</f>
        <v>0</v>
      </c>
      <c r="GO147" s="89" t="n">
        <f aca="false">IF(Tasks[[#This Row],[_DoneFrom]]=0,0,IF(Tasks[[#This Row],[Progress]]&gt;=1,Tasks[[#This Row],[Finish]],MAX(Tasks[[#This Row],[_DoneFrom]],Tasks[[#This Row],[Start]]+ROUND((Tasks[[#This Row],[Finish]]-Tasks[[#This Row],[Start]]+1)*Tasks[[#This Row],[Progress]],0)-1)))</f>
        <v>0</v>
      </c>
      <c r="GP147" s="89" t="n">
        <f aca="false">IF(Tasks[[#This Row],[Task Name]]="",0,IF(OR(NOT(Tasks[[#This Row],[_IsLeaf]]=1),Tasks[[#This Row],[_IsMilestone]],N(Tasks[[#This Row],[Progress]])&gt;=1),0,IF(Tasks[[#This Row],[_DoneTo]]&gt;0,Tasks[[#This Row],[_DoneTo]]+1,Tasks[[#This Row],[Start]])))</f>
        <v>0</v>
      </c>
      <c r="GQ147" s="89" t="n">
        <f aca="false">IF(Tasks[[#This Row],[_RemFrom]]=0,0,Tasks[[#This Row],[Finish]])</f>
        <v>0</v>
      </c>
      <c r="GR147" s="88" t="b">
        <f aca="false">IF(Tasks[[#This Row],[Task Name]]="",FALSE(),OR(NOT(BaselineSet),N(Tasks[[#This Row],[Baseline Start]])&gt;0))</f>
        <v>0</v>
      </c>
      <c r="GS14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7" s="90" t="str">
        <f aca="false">IF(Tasks[[#This Row],[_IsLeaf]]=1,Tasks[[#This Row],[_Row]],"")</f>
        <v/>
      </c>
      <c r="GW147" s="90" t="str">
        <f aca="false">IFERROR(INDEX(Tasks[UID],SMALL(Tasks[_PickKey],Tasks[[#This Row],[_Row]]))&amp;" "&amp;INDEX(Tasks[Task Name],SMALL(Tasks[_PickKey],Tasks[[#This Row],[_Row]])),"")</f>
        <v/>
      </c>
      <c r="GX147" s="42" t="str">
        <f aca="false">IF(Tasks[[#This Row],[Task Name]]="","",IF(Tasks[[#This Row],[_IsSummary]],NETWORKDAYS.INTL(Tasks[[#This Row],[Start]],Tasks[[#This Row],[Finish]],WorkWeek,Holidays),N(Tasks[[#This Row],[_Days]])))</f>
        <v/>
      </c>
    </row>
    <row r="148" customFormat="false" ht="15" hidden="false" customHeight="false" outlineLevel="0" collapsed="false">
      <c r="A148" s="21" t="str">
        <f aca="false">IF(Tasks[[#This Row],[Task Name]]="","",COUNTA(Tasks[[#Headers],[Task Name]]:Tasks[[#This Row],[Task Name]])-1)</f>
        <v/>
      </c>
      <c r="B148" s="22" t="n">
        <v>156</v>
      </c>
      <c r="C148" s="22"/>
      <c r="D148" s="23"/>
      <c r="E148" s="22"/>
      <c r="F148" s="23"/>
      <c r="G148" s="22"/>
      <c r="H148" s="22"/>
      <c r="I148" s="23"/>
      <c r="J148" s="22"/>
      <c r="K148" s="22"/>
      <c r="L148" s="23"/>
      <c r="M148" s="22"/>
      <c r="N148" s="22"/>
      <c r="O148" s="23"/>
      <c r="P148" s="22"/>
      <c r="Q148" s="22"/>
      <c r="R148" s="23"/>
      <c r="S148" s="23"/>
      <c r="T148" s="83"/>
      <c r="U148" s="23"/>
      <c r="V148" s="83"/>
      <c r="W148" s="23"/>
      <c r="X148" s="83"/>
      <c r="Y148" s="23"/>
      <c r="Z148" s="83"/>
      <c r="AA148" s="23"/>
      <c r="AB148" s="23"/>
      <c r="AC148" s="7"/>
      <c r="AD148" s="7"/>
      <c r="AE148" s="62" t="str">
        <f aca="false">IF(Tasks[[#This Row],[Task Name]]="","",IF(Tasks[[#This Row],[_IsSummary]],MIN(INDEX(Tasks[_ShownFcstStart],Tasks[[#This Row],[_Row]]+1):INDEX(Tasks[_ShownFcstStart],Tasks[[#This Row],[_Row]]+Tasks[[#This Row],[_Descendants]])),Tasks[[#This Row],[_ShownFcstStart]]))</f>
        <v/>
      </c>
      <c r="AF148" s="62" t="str">
        <f aca="false">IF(Tasks[[#This Row],[Task Name]]="","",IF(Tasks[[#This Row],[_IsSummary]],MAX(INDEX(Tasks[_ShownFcstFinish],Tasks[[#This Row],[_Row]]+1):INDEX(Tasks[_ShownFcstFinish],Tasks[[#This Row],[_Row]]+Tasks[[#This Row],[_Descendants]])),Tasks[[#This Row],[_ShownFcstFinish]]))</f>
        <v/>
      </c>
      <c r="AG148" s="21" t="str">
        <f aca="false">""</f>
        <v/>
      </c>
      <c r="AH148" s="23"/>
      <c r="AI14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8" s="7"/>
      <c r="AK148" s="22"/>
      <c r="AL148" s="23"/>
      <c r="AM148" s="7"/>
      <c r="AN148" s="46" t="str">
        <f aca="false">IF(Tasks[[#This Row],[Task Name]]="","",IF(Tasks[[#This Row],[Finish]]&gt;=Tasks[[#This Row],[Planned Finish]],NETWORKDAYS.INTL(Tasks[[#This Row],[Planned Finish]],Tasks[[#This Row],[Finish]],WorkWeek,Holidays)-1,1-NETWORKDAYS.INTL(Tasks[[#This Row],[Finish]],Tasks[[#This Row],[Planned Finish]],WorkWeek,Holidays)))</f>
        <v/>
      </c>
      <c r="AO148" s="21" t="str">
        <f aca="false">IF(Tasks[[#This Row],[Task Name]]="","",IF(Tasks[[#This Row],[Progress]]&gt;=1,"Complete",IF(OR(N(Tasks[[#This Row],[Actual Start]])&gt;0,Tasks[[#This Row],[Progress]]&gt;0),IF(Tasks[[#This Row],[Finish Var]]&gt;0,"Behind","In Progress"),IF(Tasks[[#This Row],[Planned Start]]&lt;StatusDate,"Late Start","Not Started"))))</f>
        <v/>
      </c>
      <c r="AP148" s="21" t="str">
        <f aca="false">IF(Tasks[[#This Row],[Task Name]]="","",IF(IF(Tasks[[#This Row],[_IsSummary]],COUNTIF(INDEX(Tasks[_LeafCritical],Tasks[[#This Row],[_Row]]+1):INDEX(Tasks[_LeafCritical],Tasks[[#This Row],[_Row]]+Tasks[[#This Row],[_Descendants]]),TRUE())&gt;0,Tasks[[#This Row],[_LeafCritical]]),"Yes",""))</f>
        <v/>
      </c>
      <c r="AQ148" s="62" t="str">
        <f aca="false">IF(Tasks[[#This Row],[Task Name]]="","",IF(N(Tasks[[#This Row],[Baseline Start]])&gt;0,Tasks[[#This Row],[Baseline Start]],Tasks[[#This Row],[_CalcStart]]))</f>
        <v/>
      </c>
      <c r="AR148" s="62" t="str">
        <f aca="false">IF(Tasks[[#This Row],[Task Name]]="","",IF(N(Tasks[[#This Row],[Baseline Finish]])&gt;0,Tasks[[#This Row],[Baseline Finish]],Tasks[[#This Row],[_CalcFinish]]))</f>
        <v/>
      </c>
      <c r="AS148" s="46" t="str">
        <f aca="false">IF(Tasks[[#This Row],[Task Name]]="","",IF(Tasks[[#This Row],[Start]]&gt;=Tasks[[#This Row],[Planned Start]],NETWORKDAYS.INTL(Tasks[[#This Row],[Planned Start]],Tasks[[#This Row],[Start]],WorkWeek,Holidays)-1,1-NETWORKDAYS.INTL(Tasks[[#This Row],[Start]],Tasks[[#This Row],[Planned Start]],WorkWeek,Holidays)))</f>
        <v/>
      </c>
      <c r="AT148" s="62" t="str">
        <f aca="false">IF(Tasks[[#This Row],[Task Name]]="","",IF(Tasks[[#This Row],[_IsSummary]],MIN(INDEX(Tasks[_LeafLateStart],Tasks[[#This Row],[_Row]]+1):INDEX(Tasks[_LeafLateStart],Tasks[[#This Row],[_Row]]+Tasks[[#This Row],[_Descendants]])),Tasks[[#This Row],[_LeafLateStart]]))</f>
        <v/>
      </c>
      <c r="AU148" s="62" t="str">
        <f aca="false">IF(Tasks[[#This Row],[Task Name]]="","",IF(Tasks[[#This Row],[_IsSummary]],MAX(INDEX(Tasks[_LeafLateFinish],Tasks[[#This Row],[_Row]]+1):INDEX(Tasks[_LeafLateFinish],Tasks[[#This Row],[_Row]]+Tasks[[#This Row],[_Descendants]])),Tasks[[#This Row],[_LeafLateFinish]]))</f>
        <v/>
      </c>
      <c r="AV148" s="46" t="str">
        <f aca="false">IF(Tasks[[#This Row],[Task Name]]="","",IF(Tasks[[#This Row],[_IsSummary]],MIN(INDEX(Tasks[_LeafTotalSlack],Tasks[[#This Row],[_Row]]+1):INDEX(Tasks[_LeafTotalSlack],Tasks[[#This Row],[_Row]]+Tasks[[#This Row],[_Descendants]])),Tasks[[#This Row],[_LeafTotalSlack]]))</f>
        <v/>
      </c>
      <c r="AW14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4"/>
      <c r="BA14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t="str">
        <f aca="false">IF(Tasks[[#This Row],[Task Name]]="","",IF(Tasks[[#This Row],[_Level]]&lt;=OutlineShowLevel,"Yes","No"))</f>
        <v/>
      </c>
      <c r="BE148" s="85" t="str">
        <f aca="false">IF(Tasks[[#This Row],[Task Name]]="","",IF(Tasks[[#This Row],[_IsSummary]],SUM(INDEX(Tasks[_LeafTotalWork],Tasks[[#This Row],[_Row]]+1):INDEX(Tasks[_LeafTotalWork],Tasks[[#This Row],[_Row]]+Tasks[[#This Row],[_Descendants]])),Tasks[[#This Row],[_LeafTotalWork]]))</f>
        <v/>
      </c>
      <c r="BF148" s="23"/>
      <c r="BG14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t="str">
        <f aca="false">""</f>
        <v/>
      </c>
      <c r="BI148" s="86"/>
      <c r="BJ148" s="22"/>
      <c r="BK148" s="46" t="str">
        <f aca="false">IF(OR(Tasks[[#This Row],[Task Name]]="",Tasks[[#This Row],[Baseline Duration]]=""),"",Tasks[[#This Row],[_SpanDays]]-N(Tasks[[#This Row],[Baseline Duration]]))</f>
        <v/>
      </c>
      <c r="BL148" s="85" t="str">
        <f aca="false">IF(OR(Tasks[[#This Row],[Task Name]]="",Tasks[[#This Row],[Baseline Work]]=""),"",Tasks[[#This Row],[Work]]-N(Tasks[[#This Row],[Baseline Work]]))</f>
        <v/>
      </c>
      <c r="BM148" s="62" t="str">
        <f aca="false">IF(Tasks[[#This Row],[Task Name]]="","",IF(OR(TakeBaseline="Yes",N(Tasks[[#This Row],[Baseline Start]])=0),Tasks[[#This Row],[Start]],Tasks[[#This Row],[Baseline Start]]))</f>
        <v/>
      </c>
      <c r="BN148" s="62" t="str">
        <f aca="false">IF(Tasks[[#This Row],[Task Name]]="","",IF(OR(TakeBaseline="Yes",N(Tasks[[#This Row],[Baseline Finish]])=0),Tasks[[#This Row],[Finish]],Tasks[[#This Row],[Baseline Finish]]))</f>
        <v/>
      </c>
      <c r="BO148" s="21" t="str">
        <f aca="false">IF(Tasks[[#This Row],[Task Name]]="","",IF(OR(TakeBaseline="Yes",N(Tasks[[#This Row],[Baseline Duration]])=0),Tasks[[#This Row],[_SpanDays]],Tasks[[#This Row],[Baseline Duration]]))</f>
        <v/>
      </c>
      <c r="BP148" s="85" t="str">
        <f aca="false">IF(Tasks[[#This Row],[Task Name]]="","",IF(OR(TakeBaseline="Yes",N(Tasks[[#This Row],[Baseline Work]])=0),Tasks[[#This Row],[Work]],Tasks[[#This Row],[Baseline Work]]))</f>
        <v/>
      </c>
      <c r="BQ148" s="7"/>
      <c r="BR148" s="7"/>
      <c r="BS148" s="22"/>
      <c r="BT148" s="87"/>
      <c r="BU148" s="42" t="str">
        <f aca="false">IF(Tasks[[#This Row],[Task Name]]="","",MAX(1,N(Tasks[[#This Row],[Level]])))</f>
        <v/>
      </c>
      <c r="BV148" s="42" t="n">
        <f aca="false">ROW()-ROW(Tasks[[#Headers],[ID]])</f>
        <v>143</v>
      </c>
      <c r="BW148" s="42" t="n">
        <f aca="false">IF(OR(Tasks[[#This Row],[Task Name]]="",Tasks[[#This Row],[_Level]]&lt;=1),0,IFERROR(LOOKUP(2,1/(Tasks[[#Headers],[_Level]]:Tasks[[#This Row],[_Level]]=Tasks[[#This Row],[_Level]]-1),ROW(Tasks[[#Headers],[_Level]]:Tasks[[#This Row],[_Level]])),0))</f>
        <v>0</v>
      </c>
      <c r="BX148" s="42" t="n">
        <f aca="false">IFERROR(N(INDEX(Tasks[_Level],Tasks[[#This Row],[_Row]]+1)),0)</f>
        <v>0</v>
      </c>
      <c r="BY148" s="88" t="b">
        <f aca="false">AND(Tasks[[#This Row],[Task Name]]&lt;&gt;"",Tasks[[#This Row],[_NextLevel]]&gt;Tasks[[#This Row],[_Level]])</f>
        <v>0</v>
      </c>
      <c r="BZ148" s="42" t="n">
        <f aca="false">IF(Tasks[[#This Row],[_IsSummary]],COUNTIF(Tasks[WBS],Tasks[[#This Row],[WBS]]&amp;".*"),0)</f>
        <v>0</v>
      </c>
      <c r="CA148" s="42" t="n">
        <f aca="false">IF(AND(Tasks[[#This Row],[Task Name]]&lt;&gt;"",NOT(Tasks[[#This Row],[_IsSummary]])),1,0)</f>
        <v>0</v>
      </c>
      <c r="CB148" s="42" t="n">
        <f aca="false">IF(N(Tasks[[#This Row],[_Pred1UID]])=0,0,IFERROR(MATCH(Tasks[[#This Row],[_Pred1UID]],Tasks[UID],0),-1))</f>
        <v>0</v>
      </c>
      <c r="CC148" s="42" t="n">
        <f aca="false">IF(N(Tasks[[#This Row],[_Pred2UID]])=0,0,IFERROR(MATCH(Tasks[[#This Row],[_Pred2UID]],Tasks[UID],0),-1))</f>
        <v>0</v>
      </c>
      <c r="CD148" s="42" t="n">
        <f aca="false">IF(N(Tasks[[#This Row],[_Pred3UID]])=0,0,IFERROR(MATCH(Tasks[[#This Row],[_Pred3UID]],Tasks[UID],0),-1))</f>
        <v>0</v>
      </c>
      <c r="CE148" s="42" t="n">
        <f aca="false">IF(N(Tasks[[#This Row],[_Pred4UID]])=0,0,IFERROR(MATCH(Tasks[[#This Row],[_Pred4UID]],Tasks[UID],0),-1))</f>
        <v>0</v>
      </c>
      <c r="CF14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8" s="89" t="n">
        <f aca="false">IF(OR(Tasks[[#This Row],[_ConstraintCode]]=2,Tasks[[#This Row],[_ConstraintCode]]=3,Tasks[[#This Row],[_ConstraintCode]]=4,Tasks[[#This Row],[_ConstraintCode]]=6),Tasks[[#This Row],[_ConstraintStart]],0)</f>
        <v>0</v>
      </c>
      <c r="CI148" s="89" t="n">
        <f aca="false">IF(OR(Tasks[[#This Row],[_ConstraintCode]]=2,Tasks[[#This Row],[_ConstraintCode]]=3,Tasks[[#This Row],[_ConstraintCode]]=5,Tasks[[#This Row],[_ConstraintCode]]=7),Tasks[[#This Row],[_ConstraintStart]],2958465)</f>
        <v>2958465</v>
      </c>
      <c r="CJ14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8" s="89" t="str">
        <f aca="false">IF(NOT(Tasks[[#This Row],[_IsLeaf]]=1),"",IF(N(Tasks[[#This Row],[_Days]])&lt;=0,Tasks[[#This Row],[_LeafCalcStart]],WORKDAY.INTL(Tasks[[#This Row],[_LeafCalcStart]],Tasks[[#This Row],[_Days]]-1,WorkWeek,Holidays)))</f>
        <v/>
      </c>
      <c r="CL14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8" s="42" t="str">
        <f aca="false">IF(Tasks[[#This Row],[_Predecessors]]="","",TRIM(MID(SUBSTITUTE(SUBSTITUTE(SUBSTITUTE(UPPER(Tasks[[#This Row],[_Predecessors]]),";",",")," ",""),",",REPT(" ",99)),1,99)))</f>
        <v/>
      </c>
      <c r="CO148" s="42" t="str">
        <f aca="false">IF(Tasks[[#This Row],[_Pred1Text]]="","",IFERROR(VALUE(LEFT(Tasks[[#This Row],[_Pred1Text]],MIN(FIND("F",Tasks[[#This Row],[_Pred1Text]]&amp;"F"),FIND("S",Tasks[[#This Row],[_Pred1Text]]&amp;"S"),FIND("+",Tasks[[#This Row],[_Pred1Text]]&amp;"+"),FIND("-",Tasks[[#This Row],[_Pred1Text]]&amp;"-"))-1)),""))</f>
        <v/>
      </c>
      <c r="CP14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8" s="42" t="str">
        <f aca="false">IF(Tasks[[#This Row],[_Pred1Text]]="","",TRIM(MID(SUBSTITUTE(SUBSTITUTE(SUBSTITUTE(UPPER(Tasks[[#This Row],[_Predecessors]]),";",",")," ",""),",",REPT(" ",99)),100,99)))</f>
        <v/>
      </c>
      <c r="CS148" s="42" t="str">
        <f aca="false">IF(Tasks[[#This Row],[_Pred2Text]]="","",IFERROR(VALUE(LEFT(Tasks[[#This Row],[_Pred2Text]],MIN(FIND("F",Tasks[[#This Row],[_Pred2Text]]&amp;"F"),FIND("S",Tasks[[#This Row],[_Pred2Text]]&amp;"S"),FIND("+",Tasks[[#This Row],[_Pred2Text]]&amp;"+"),FIND("-",Tasks[[#This Row],[_Pred2Text]]&amp;"-"))-1)),""))</f>
        <v/>
      </c>
      <c r="CT14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8" s="42" t="str">
        <f aca="false">IF(Tasks[[#This Row],[_Pred2Text]]="","",TRIM(MID(SUBSTITUTE(SUBSTITUTE(SUBSTITUTE(UPPER(Tasks[[#This Row],[_Predecessors]]),";",",")," ",""),",",REPT(" ",99)),199,99)))</f>
        <v/>
      </c>
      <c r="CW148" s="42" t="str">
        <f aca="false">IF(Tasks[[#This Row],[_Pred3Text]]="","",IFERROR(VALUE(LEFT(Tasks[[#This Row],[_Pred3Text]],MIN(FIND("F",Tasks[[#This Row],[_Pred3Text]]&amp;"F"),FIND("S",Tasks[[#This Row],[_Pred3Text]]&amp;"S"),FIND("+",Tasks[[#This Row],[_Pred3Text]]&amp;"+"),FIND("-",Tasks[[#This Row],[_Pred3Text]]&amp;"-"))-1)),""))</f>
        <v/>
      </c>
      <c r="CX14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8" s="42" t="str">
        <f aca="false">IF(Tasks[[#This Row],[_Pred3Text]]="","",TRIM(MID(SUBSTITUTE(SUBSTITUTE(SUBSTITUTE(UPPER(Tasks[[#This Row],[_Predecessors]]),";",",")," ",""),",",REPT(" ",99)),298,99)))</f>
        <v/>
      </c>
      <c r="DA148" s="42" t="str">
        <f aca="false">IF(Tasks[[#This Row],[_Pred4Text]]="","",IFERROR(VALUE(LEFT(Tasks[[#This Row],[_Pred4Text]],MIN(FIND("F",Tasks[[#This Row],[_Pred4Text]]&amp;"F"),FIND("S",Tasks[[#This Row],[_Pred4Text]]&amp;"S"),FIND("+",Tasks[[#This Row],[_Pred4Text]]&amp;"+"),FIND("-",Tasks[[#This Row],[_Pred4Text]]&amp;"-"))-1)),""))</f>
        <v/>
      </c>
      <c r="DB14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8" s="42" t="str">
        <f aca="false">IF(OR(Tasks[[#This Row],[Task Name]]="",Tasks[[#This Row],[_Resources]]=""),"",TRIM(MID(SUBSTITUTE(Tasks[[#This Row],[_Resources]],",",REPT(" ",99)),1,99)))</f>
        <v/>
      </c>
      <c r="DE148" s="42" t="str">
        <f aca="false">IF(Tasks[[#This Row],[_Res1Text]]="","",TRIM(MID(SUBSTITUTE(Tasks[[#This Row],[_Resources]],",",REPT(" ",99)),100,99)))</f>
        <v/>
      </c>
      <c r="DF148" s="42" t="str">
        <f aca="false">IF(Tasks[[#This Row],[_Res2Text]]="","",TRIM(MID(SUBSTITUTE(Tasks[[#This Row],[_Resources]],",",REPT(" ",99)),199,99)))</f>
        <v/>
      </c>
      <c r="DG148" s="42" t="str">
        <f aca="false">IF(Tasks[[#This Row],[_Res3Text]]="","",TRIM(MID(SUBSTITUTE(Tasks[[#This Row],[_Resources]],",",REPT(" ",99)),298,99)))</f>
        <v/>
      </c>
      <c r="DH148" s="42" t="n">
        <f aca="false">IF(Tasks[[#This Row],[_Res1Text]]="",0,IFERROR(MATCH(TRIM(LEFT(Tasks[[#This Row],[_Res1Text]],FIND("[",Tasks[[#This Row],[_Res1Text]]&amp;"[")-1)),res_Name,0),IFERROR(MATCH(TRIM(LEFT(Tasks[[#This Row],[_Res1Text]],FIND("[",Tasks[[#This Row],[_Res1Text]]&amp;"[")-1)),res_Initials,0),0)))</f>
        <v>0</v>
      </c>
      <c r="DI148" s="42" t="n">
        <f aca="false">IF(Tasks[[#This Row],[_Res2Text]]="",0,IFERROR(MATCH(TRIM(LEFT(Tasks[[#This Row],[_Res2Text]],FIND("[",Tasks[[#This Row],[_Res2Text]]&amp;"[")-1)),res_Name,0),IFERROR(MATCH(TRIM(LEFT(Tasks[[#This Row],[_Res2Text]],FIND("[",Tasks[[#This Row],[_Res2Text]]&amp;"[")-1)),res_Initials,0),0)))</f>
        <v>0</v>
      </c>
      <c r="DJ148" s="42" t="n">
        <f aca="false">IF(Tasks[[#This Row],[_Res3Text]]="",0,IFERROR(MATCH(TRIM(LEFT(Tasks[[#This Row],[_Res3Text]],FIND("[",Tasks[[#This Row],[_Res3Text]]&amp;"[")-1)),res_Name,0),IFERROR(MATCH(TRIM(LEFT(Tasks[[#This Row],[_Res3Text]],FIND("[",Tasks[[#This Row],[_Res3Text]]&amp;"[")-1)),res_Initials,0),0)))</f>
        <v>0</v>
      </c>
      <c r="DK148" s="42" t="n">
        <f aca="false">IF(Tasks[[#This Row],[_Res4Text]]="",0,IFERROR(MATCH(TRIM(LEFT(Tasks[[#This Row],[_Res4Text]],FIND("[",Tasks[[#This Row],[_Res4Text]]&amp;"[")-1)),res_Name,0),IFERROR(MATCH(TRIM(LEFT(Tasks[[#This Row],[_Res4Text]],FIND("[",Tasks[[#This Row],[_Res4Text]]&amp;"[")-1)),res_Initials,0),0)))</f>
        <v>0</v>
      </c>
      <c r="DL148" s="42" t="str">
        <f aca="false">IF(Tasks[[#This Row],[_Res1Text]]="","",IF(Tasks[[#This Row],[_Res1Row]]&gt;0,INDEX(res_Name,Tasks[[#This Row],[_Res1Row]]),TRIM(LEFT(Tasks[[#This Row],[_Res1Text]],FIND("[",Tasks[[#This Row],[_Res1Text]]&amp;"[")-1))))</f>
        <v/>
      </c>
      <c r="DM14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8" s="42" t="n">
        <f aca="false">IF(NOT(Tasks[[#This Row],[_IsLeaf]]=1),0,(Tasks[[#This Row],[_Resource1]]&lt;&gt;"")+(Tasks[[#This Row],[_Res2]]&lt;&gt;"")+(Tasks[[#This Row],[_Res3]]&lt;&gt;"")+(Tasks[[#This Row],[_Res4]]&lt;&gt;""))</f>
        <v>0</v>
      </c>
      <c r="DO148" s="42" t="str">
        <f aca="false">IF(Tasks[[#This Row],[_Res2Text]]="","",IF(Tasks[[#This Row],[_Res2Row]]&gt;0,INDEX(res_Name,Tasks[[#This Row],[_Res2Row]]),TRIM(LEFT(Tasks[[#This Row],[_Res2Text]],FIND("[",Tasks[[#This Row],[_Res2Text]]&amp;"[")-1))))</f>
        <v/>
      </c>
      <c r="DP14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8" s="42" t="n">
        <f aca="false">IF(OR(NOT(Tasks[[#This Row],[_IsLeaf]]=1),Tasks[[#This Row],[_Res2Row]]=0),0,N(Tasks[[#This Row],[_Days]])*HoursPerDay*IF(Tasks[[#This Row],[_Res2Units]]="",DefaultUnits,Tasks[[#This Row],[_Res2Units]]))</f>
        <v>0</v>
      </c>
      <c r="DR148" s="42" t="n">
        <f aca="false">IF(AND(AND(Tasks[[#This Row],[_IsLeaf]]=1,Tasks[[#This Row],[_LeafTotalWork]]&gt;0),Tasks[[#This Row],[_Res2Work]]&gt;0),Tasks[[#This Row],[_Res2Work]]/(Tasks[[#This Row],[_FinishWorkday]]-Tasks[[#This Row],[_StartWorkday]]+1),0)</f>
        <v>0</v>
      </c>
      <c r="DS148" s="42" t="n">
        <f aca="false">Tasks[[#This Row],[_Res2WorkPerWD]]*MAX(0,Tasks[[#This Row],[_StartWorkday]]-1)</f>
        <v>0</v>
      </c>
      <c r="DT148" s="42" t="n">
        <f aca="false">Tasks[[#This Row],[_Res2Work]]*Tasks[[#This Row],[_LeafProgress]]</f>
        <v>0</v>
      </c>
      <c r="DU148" s="42" t="str">
        <f aca="false">IF(Tasks[[#This Row],[_Res3Text]]="","",IF(Tasks[[#This Row],[_Res3Row]]&gt;0,INDEX(res_Name,Tasks[[#This Row],[_Res3Row]]),TRIM(LEFT(Tasks[[#This Row],[_Res3Text]],FIND("[",Tasks[[#This Row],[_Res3Text]]&amp;"[")-1))))</f>
        <v/>
      </c>
      <c r="DV14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8" s="42" t="n">
        <f aca="false">IF(OR(NOT(Tasks[[#This Row],[_IsLeaf]]=1),Tasks[[#This Row],[_Res3Row]]=0),0,N(Tasks[[#This Row],[_Days]])*HoursPerDay*IF(Tasks[[#This Row],[_Res3Units]]="",DefaultUnits,Tasks[[#This Row],[_Res3Units]]))</f>
        <v>0</v>
      </c>
      <c r="DX148" s="42" t="n">
        <f aca="false">IF(AND(AND(Tasks[[#This Row],[_IsLeaf]]=1,Tasks[[#This Row],[_LeafTotalWork]]&gt;0),Tasks[[#This Row],[_Res3Work]]&gt;0),Tasks[[#This Row],[_Res3Work]]/(Tasks[[#This Row],[_FinishWorkday]]-Tasks[[#This Row],[_StartWorkday]]+1),0)</f>
        <v>0</v>
      </c>
      <c r="DY148" s="42" t="n">
        <f aca="false">Tasks[[#This Row],[_Res3WorkPerWD]]*MAX(0,Tasks[[#This Row],[_StartWorkday]]-1)</f>
        <v>0</v>
      </c>
      <c r="DZ148" s="42" t="n">
        <f aca="false">Tasks[[#This Row],[_Res3Work]]*Tasks[[#This Row],[_LeafProgress]]</f>
        <v>0</v>
      </c>
      <c r="EA148" s="42" t="str">
        <f aca="false">IF(Tasks[[#This Row],[_Res4Text]]="","",IF(Tasks[[#This Row],[_Res4Row]]&gt;0,INDEX(res_Name,Tasks[[#This Row],[_Res4Row]]),TRIM(LEFT(Tasks[[#This Row],[_Res4Text]],FIND("[",Tasks[[#This Row],[_Res4Text]]&amp;"[")-1))))</f>
        <v/>
      </c>
      <c r="EB14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8" s="42" t="n">
        <f aca="false">IF(OR(NOT(Tasks[[#This Row],[_IsLeaf]]=1),Tasks[[#This Row],[_Res4Row]]=0),0,N(Tasks[[#This Row],[_Days]])*HoursPerDay*IF(Tasks[[#This Row],[_Res4Units]]="",DefaultUnits,Tasks[[#This Row],[_Res4Units]]))</f>
        <v>0</v>
      </c>
      <c r="ED148" s="42" t="n">
        <f aca="false">IF(AND(AND(Tasks[[#This Row],[_IsLeaf]]=1,Tasks[[#This Row],[_LeafTotalWork]]&gt;0),Tasks[[#This Row],[_Res4Work]]&gt;0),Tasks[[#This Row],[_Res4Work]]/(Tasks[[#This Row],[_FinishWorkday]]-Tasks[[#This Row],[_StartWorkday]]+1),0)</f>
        <v>0</v>
      </c>
      <c r="EE148" s="42" t="n">
        <f aca="false">Tasks[[#This Row],[_Res4WorkPerWD]]*MAX(0,Tasks[[#This Row],[_StartWorkday]]-1)</f>
        <v>0</v>
      </c>
      <c r="EF148" s="42" t="n">
        <f aca="false">Tasks[[#This Row],[_Res4Work]]*Tasks[[#This Row],[_LeafProgress]]</f>
        <v>0</v>
      </c>
      <c r="EG148" s="42" t="n">
        <f aca="false">IF(ISNUMBER(Tasks[[#This Row],[% Complete]]),Tasks[[#This Row],[% Complete]],IF(Tasks[[#This Row],[Stage]]="",0,IFERROR(INDEX(stg_Pct,MATCH(Tasks[[#This Row],[Stage]],stg_Name,0)),0)))</f>
        <v>0</v>
      </c>
      <c r="EH148" s="42" t="n">
        <f aca="false">IF(NOT(Tasks[[#This Row],[_IsLeaf]]=1),0,IF(N(Tasks[[#This Row],[Actual Finish]])&gt;0,1,MIN(1,Tasks[[#This Row],[_Pct]])))</f>
        <v>0</v>
      </c>
      <c r="EI148" s="42" t="n">
        <f aca="false">IF(OR(NOT(Tasks[[#This Row],[_IsLeaf]]=1),Tasks[[#This Row],[_Res1Row]]=0),0,N(Tasks[[#This Row],[_Days]])*HoursPerDay*IF(Tasks[[#This Row],[_Units1]]="",DefaultUnits,Tasks[[#This Row],[_Units1]]))</f>
        <v>0</v>
      </c>
      <c r="EJ148" s="42" t="n">
        <f aca="false">Tasks[[#This Row],[_LeafWork]]+Tasks[[#This Row],[_Res2Work]]+Tasks[[#This Row],[_Res3Work]]+Tasks[[#This Row],[_Res4Work]]</f>
        <v>0</v>
      </c>
      <c r="EK14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8" s="42" t="n">
        <f aca="false">IF(NOT(Tasks[[#This Row],[_IsLeaf]]=1),0,MAX(_xlfn.MAXIFS(Tasks[_Row],Tasks[_Pred1UID],Tasks[[#This Row],[UID]]),_xlfn.MAXIFS(Tasks[_Row],Tasks[_Pred2UID],Tasks[[#This Row],[UID]]),_xlfn.MAXIFS(Tasks[_Row],Tasks[_Pred3UID],Tasks[[#This Row],[UID]]),_xlfn.MAXIFS(Tasks[_Row],Tasks[_Pred4UID],Tasks[[#This Row],[UID]])))</f>
        <v>0</v>
      </c>
      <c r="ET14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8" s="89" t="str">
        <f aca="false">IF(NOT(Tasks[[#This Row],[_IsLeaf]]=1),"",IF(N(Tasks[[#This Row],[_Days]])&lt;=0,Tasks[[#This Row],[_LeafLateFinish]],WORKDAY.INTL(Tasks[[#This Row],[_LeafLateFinish]],-(Tasks[[#This Row],[_Days]]-1),WorkWeek,Holidays)))</f>
        <v/>
      </c>
      <c r="EW14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8" s="88" t="b">
        <f aca="false">AND(Tasks[[#This Row],[_IsLeaf]]=1,Tasks[[#This Row],[_LeafProgress]]&lt;1,N(Tasks[[#This Row],[_LeafTotalSlack]])&lt;=CriticalSlackDays)</f>
        <v>0</v>
      </c>
      <c r="EY148" s="42" t="n">
        <f aca="false">IF(AND(Tasks[[#This Row],[_IsLeaf]]=1,Tasks[[#This Row],[_ConstraintCode]]=1,Tasks[[#This Row],[Mode]]&lt;&gt;"Manual",N(Tasks[[#This Row],[Actual Start]])=0),MAX(0,N(Tasks[[#This Row],[Free Slack]])),0)</f>
        <v>0</v>
      </c>
      <c r="EZ148" s="89" t="str">
        <f aca="false">IF(NOT(Tasks[[#This Row],[_IsLeaf]]=1),"",IF(Tasks[[#This Row],[_AlapShift]]=0,Tasks[[#This Row],[_LeafCalcStart]],WORKDAY.INTL(Tasks[[#This Row],[_LeafCalcStart]],Tasks[[#This Row],[_AlapShift]],WorkWeek,Holidays)))</f>
        <v/>
      </c>
      <c r="FA148" s="89" t="str">
        <f aca="false">IF(NOT(Tasks[[#This Row],[_IsLeaf]]=1),"",IF(Tasks[[#This Row],[_AlapShift]]=0,Tasks[[#This Row],[_LeafCalcFinish]],WORKDAY.INTL(Tasks[[#This Row],[_LeafCalcFinish]],Tasks[[#This Row],[_AlapShift]],WorkWeek,Holidays)))</f>
        <v/>
      </c>
      <c r="FB148" s="89" t="str">
        <f aca="false">IF(NOT(Tasks[[#This Row],[_IsLeaf]]=1),"",IF(Tasks[[#This Row],[_AlapShift]]=0,Tasks[[#This Row],[_LeafFcstStart]],WORKDAY.INTL(Tasks[[#This Row],[_LeafFcstStart]],Tasks[[#This Row],[_AlapShift]],WorkWeek,Holidays)))</f>
        <v/>
      </c>
      <c r="FC148" s="89" t="str">
        <f aca="false">IF(NOT(Tasks[[#This Row],[_IsLeaf]]=1),"",IF(Tasks[[#This Row],[_AlapShift]]=0,Tasks[[#This Row],[_LeafFcstFinish]],WORKDAY.INTL(Tasks[[#This Row],[_LeafFcstFinish]],Tasks[[#This Row],[_AlapShift]],WorkWeek,Holidays)))</f>
        <v/>
      </c>
      <c r="FD148" s="89" t="str">
        <f aca="false">IF(Tasks[[#This Row],[Task Name]]="","",IF(Tasks[[#This Row],[_IsSummary]],MIN(INDEX(Tasks[_ShownCalcStart],Tasks[[#This Row],[_Row]]+1):INDEX(Tasks[_ShownCalcStart],Tasks[[#This Row],[_Row]]+Tasks[[#This Row],[_Descendants]])),Tasks[[#This Row],[_ShownCalcStart]]))</f>
        <v/>
      </c>
      <c r="FE148" s="89" t="str">
        <f aca="false">IF(Tasks[[#This Row],[Task Name]]="","",IF(Tasks[[#This Row],[_IsSummary]],MAX(INDEX(Tasks[_ShownCalcFinish],Tasks[[#This Row],[_Row]]+1):INDEX(Tasks[_ShownCalcFinish],Tasks[[#This Row],[_Row]]+Tasks[[#This Row],[_Descendants]])),Tasks[[#This Row],[_ShownCalcFinish]]))</f>
        <v/>
      </c>
      <c r="FF14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8" s="42" t="n">
        <f aca="false">IF(AND(Tasks[[#This Row],[_IsLeaf]]=1,Tasks[[#This Row],[_LeafTotalWork]]&gt;0),NETWORKDAYS.INTL(ProjectStart,Tasks[[#This Row],[_ShownFcstStart]],WorkWeek,Holidays),0)</f>
        <v>0</v>
      </c>
      <c r="FS148" s="42" t="n">
        <f aca="false">IF(AND(Tasks[[#This Row],[_IsLeaf]]=1,Tasks[[#This Row],[_LeafTotalWork]]&gt;0),MAX(Tasks[[#This Row],[_StartWorkday]],NETWORKDAYS.INTL(ProjectStart,Tasks[[#This Row],[_ShownFcstFinish]],WorkWeek,Holidays)),0)</f>
        <v>0</v>
      </c>
      <c r="FT148" s="42" t="n">
        <f aca="false">IF(AND(Tasks[[#This Row],[_IsLeaf]]=1,Tasks[[#This Row],[_LeafTotalWork]]&gt;0),Tasks[[#This Row],[_LeafWork]]/(Tasks[[#This Row],[_FinishWorkday]]-Tasks[[#This Row],[_StartWorkday]]+1),0)</f>
        <v>0</v>
      </c>
      <c r="FU148" s="42" t="n">
        <f aca="false">Tasks[[#This Row],[_WorkPerWorkday]]*(Tasks[[#This Row],[_StartWorkday]]-1)</f>
        <v>-0</v>
      </c>
      <c r="FV148" s="42" t="n">
        <f aca="false">IF(Tasks[[#This Row],[_IsLeaf]]=1,MAX(N(Tasks[[#This Row],[_Days]]),0.1),0)</f>
        <v>0</v>
      </c>
      <c r="FW148" s="42" t="n">
        <f aca="false">Tasks[[#This Row],[_WeightDur]]*Tasks[[#This Row],[_LeafProgress]]</f>
        <v>0</v>
      </c>
      <c r="FX148" s="42" t="n">
        <f aca="false">Tasks[[#This Row],[_WeightDur]]*Tasks[[#This Row],[_PlannedPct]]</f>
        <v>0</v>
      </c>
      <c r="FY14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8" s="42" t="str">
        <f aca="false">IF(AND(Tasks[[#This Row],[_IsLeaf]]=1,N(Tasks[[#This Row],[_Days]])=0,Tasks[[#This Row],[_LeafProgress]]&lt;1),Tasks[[#This Row],[_ShownFcstFinish]]+Tasks[[#This Row],[_Row]]/100000,"")</f>
        <v/>
      </c>
      <c r="GA14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8" s="42" t="str">
        <f aca="false">IF(Tasks[[#This Row],[Task Name]]="","",LEFT(Tasks[[#This Row],[WBS]],FIND(".",Tasks[[#This Row],[WBS]]&amp;".")-1))</f>
        <v/>
      </c>
      <c r="GC148" s="42" t="str">
        <f aca="false">IF(AND(Tasks[[#This Row],[Task Name]]&lt;&gt;"",Tasks[[#This Row],[_Level]]=1),Tasks[[#This Row],[_Row]],"")</f>
        <v/>
      </c>
      <c r="GD148" s="42" t="str">
        <f aca="false">IF(AND(Tasks[[#This Row],[_IsLeaf]]=1,N(Tasks[[#This Row],[_Days]])=0),Tasks[[#This Row],[Planned Finish]]+Tasks[[#This Row],[_Row]]/100000,"")</f>
        <v/>
      </c>
      <c r="GE148" s="42" t="str">
        <f aca="false">IF(AND(Tasks[[#This Row],[_IsLeaf]]=1,Tasks[[#This Row],[_LeafProgress]]&lt;1,OR(N(Tasks[[#This Row],[Finish Var]])&gt;0,Tasks[[#This Row],[Status]]="Late Start")),MAX(0,Tasks[[#This Row],[Finish Var]])+1-Tasks[[#This Row],[_Row]]/1000000,"")</f>
        <v/>
      </c>
      <c r="GF148" s="42" t="str">
        <f aca="false">IF(AND(Tasks[[#This Row],[_IsLeaf]]=1,N(Tasks[[#This Row],[Actual Start]])=0,Tasks[[#This Row],[_ShownFcstStart]]&gt;=StatusDate,Tasks[[#This Row],[_ShownFcstStart]]&lt;=LookaheadEnd),Tasks[[#This Row],[_ShownFcstStart]]+Tasks[[#This Row],[_Row]]/100000,"")</f>
        <v/>
      </c>
      <c r="GG148" s="42" t="str">
        <f aca="false">IF(AND(Tasks[[#This Row],[_IsLeaf]]=1,Tasks[[#This Row],[_LeafProgress]]&lt;1,Tasks[[#This Row],[_ShownFcstFinish]]&gt;=StatusDate,Tasks[[#This Row],[_ShownFcstFinish]]&lt;=LookaheadEnd),Tasks[[#This Row],[_ShownFcstFinish]]+Tasks[[#This Row],[_Row]]/100000,"")</f>
        <v/>
      </c>
      <c r="GH148" s="42" t="str">
        <f aca="false">IF(Tasks[[#This Row],[_LeafCritical]],Tasks[[#This Row],[_ShownFcstStart]]+Tasks[[#This Row],[_Row]]/100000,"")</f>
        <v/>
      </c>
      <c r="GI148" s="42" t="n">
        <f aca="false">Tasks[[#This Row],[_LeafWork]]*Tasks[[#This Row],[_LeafProgress]]</f>
        <v>0</v>
      </c>
      <c r="GJ148" s="89" t="str">
        <f aca="false">IF(AND(Tasks[[#This Row],[_IsLeaf]]=1,Tasks[[#This Row],[_LeafProgress]]&gt;=1),IF(N(Tasks[[#This Row],[Actual Finish]])&gt;0,Tasks[[#This Row],[Actual Finish]],Tasks[[#This Row],[_ShownFcstFinish]]),"")</f>
        <v/>
      </c>
      <c r="GK148" s="42" t="n">
        <f aca="false">IF(Tasks[[#This Row],[_IsLeaf]]=1,N(Tasks[[#This Row],[Story Points]]),0)</f>
        <v>0</v>
      </c>
      <c r="GL148" s="42" t="str">
        <f aca="false">""</f>
        <v/>
      </c>
      <c r="GM148" s="88" t="b">
        <f aca="false">IF(Tasks[[#This Row],[Task Name]]="",FALSE(),AND(Tasks[[#This Row],[_IsLeaf]]=1,N(Tasks[[#This Row],[_Days]])=0))</f>
        <v>0</v>
      </c>
      <c r="GN148" s="89" t="n">
        <f aca="false">IF(Tasks[[#This Row],[Task Name]]="",0,IF(AND(Tasks[[#This Row],[_IsLeaf]]=1,NOT(Tasks[[#This Row],[_IsMilestone]]),N(Tasks[[#This Row],[Progress]])&gt;0),Tasks[[#This Row],[Start]],0))</f>
        <v>0</v>
      </c>
      <c r="GO148" s="89" t="n">
        <f aca="false">IF(Tasks[[#This Row],[_DoneFrom]]=0,0,IF(Tasks[[#This Row],[Progress]]&gt;=1,Tasks[[#This Row],[Finish]],MAX(Tasks[[#This Row],[_DoneFrom]],Tasks[[#This Row],[Start]]+ROUND((Tasks[[#This Row],[Finish]]-Tasks[[#This Row],[Start]]+1)*Tasks[[#This Row],[Progress]],0)-1)))</f>
        <v>0</v>
      </c>
      <c r="GP148" s="89" t="n">
        <f aca="false">IF(Tasks[[#This Row],[Task Name]]="",0,IF(OR(NOT(Tasks[[#This Row],[_IsLeaf]]=1),Tasks[[#This Row],[_IsMilestone]],N(Tasks[[#This Row],[Progress]])&gt;=1),0,IF(Tasks[[#This Row],[_DoneTo]]&gt;0,Tasks[[#This Row],[_DoneTo]]+1,Tasks[[#This Row],[Start]])))</f>
        <v>0</v>
      </c>
      <c r="GQ148" s="89" t="n">
        <f aca="false">IF(Tasks[[#This Row],[_RemFrom]]=0,0,Tasks[[#This Row],[Finish]])</f>
        <v>0</v>
      </c>
      <c r="GR148" s="88" t="b">
        <f aca="false">IF(Tasks[[#This Row],[Task Name]]="",FALSE(),OR(NOT(BaselineSet),N(Tasks[[#This Row],[Baseline Start]])&gt;0))</f>
        <v>0</v>
      </c>
      <c r="GS14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8" s="90" t="str">
        <f aca="false">IF(Tasks[[#This Row],[_IsLeaf]]=1,Tasks[[#This Row],[_Row]],"")</f>
        <v/>
      </c>
      <c r="GW148" s="90" t="str">
        <f aca="false">IFERROR(INDEX(Tasks[UID],SMALL(Tasks[_PickKey],Tasks[[#This Row],[_Row]]))&amp;" "&amp;INDEX(Tasks[Task Name],SMALL(Tasks[_PickKey],Tasks[[#This Row],[_Row]])),"")</f>
        <v/>
      </c>
      <c r="GX148" s="42" t="str">
        <f aca="false">IF(Tasks[[#This Row],[Task Name]]="","",IF(Tasks[[#This Row],[_IsSummary]],NETWORKDAYS.INTL(Tasks[[#This Row],[Start]],Tasks[[#This Row],[Finish]],WorkWeek,Holidays),N(Tasks[[#This Row],[_Days]])))</f>
        <v/>
      </c>
    </row>
    <row r="149" customFormat="false" ht="15" hidden="false" customHeight="false" outlineLevel="0" collapsed="false">
      <c r="A149" s="21" t="str">
        <f aca="false">IF(Tasks[[#This Row],[Task Name]]="","",COUNTA(Tasks[[#Headers],[Task Name]]:Tasks[[#This Row],[Task Name]])-1)</f>
        <v/>
      </c>
      <c r="B149" s="22" t="n">
        <v>157</v>
      </c>
      <c r="C149" s="22"/>
      <c r="D149" s="23"/>
      <c r="E149" s="22"/>
      <c r="F149" s="23"/>
      <c r="G149" s="22"/>
      <c r="H149" s="22"/>
      <c r="I149" s="23"/>
      <c r="J149" s="22"/>
      <c r="K149" s="22"/>
      <c r="L149" s="23"/>
      <c r="M149" s="22"/>
      <c r="N149" s="22"/>
      <c r="O149" s="23"/>
      <c r="P149" s="22"/>
      <c r="Q149" s="22"/>
      <c r="R149" s="23"/>
      <c r="S149" s="23"/>
      <c r="T149" s="83"/>
      <c r="U149" s="23"/>
      <c r="V149" s="83"/>
      <c r="W149" s="23"/>
      <c r="X149" s="83"/>
      <c r="Y149" s="23"/>
      <c r="Z149" s="83"/>
      <c r="AA149" s="23"/>
      <c r="AB149" s="23"/>
      <c r="AC149" s="7"/>
      <c r="AD149" s="7"/>
      <c r="AE149" s="62" t="str">
        <f aca="false">IF(Tasks[[#This Row],[Task Name]]="","",IF(Tasks[[#This Row],[_IsSummary]],MIN(INDEX(Tasks[_ShownFcstStart],Tasks[[#This Row],[_Row]]+1):INDEX(Tasks[_ShownFcstStart],Tasks[[#This Row],[_Row]]+Tasks[[#This Row],[_Descendants]])),Tasks[[#This Row],[_ShownFcstStart]]))</f>
        <v/>
      </c>
      <c r="AF149" s="62" t="str">
        <f aca="false">IF(Tasks[[#This Row],[Task Name]]="","",IF(Tasks[[#This Row],[_IsSummary]],MAX(INDEX(Tasks[_ShownFcstFinish],Tasks[[#This Row],[_Row]]+1):INDEX(Tasks[_ShownFcstFinish],Tasks[[#This Row],[_Row]]+Tasks[[#This Row],[_Descendants]])),Tasks[[#This Row],[_ShownFcstFinish]]))</f>
        <v/>
      </c>
      <c r="AG149" s="21" t="str">
        <f aca="false">""</f>
        <v/>
      </c>
      <c r="AH149" s="23"/>
      <c r="AI14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49" s="7"/>
      <c r="AK149" s="22"/>
      <c r="AL149" s="23"/>
      <c r="AM149" s="7"/>
      <c r="AN149" s="46" t="str">
        <f aca="false">IF(Tasks[[#This Row],[Task Name]]="","",IF(Tasks[[#This Row],[Finish]]&gt;=Tasks[[#This Row],[Planned Finish]],NETWORKDAYS.INTL(Tasks[[#This Row],[Planned Finish]],Tasks[[#This Row],[Finish]],WorkWeek,Holidays)-1,1-NETWORKDAYS.INTL(Tasks[[#This Row],[Finish]],Tasks[[#This Row],[Planned Finish]],WorkWeek,Holidays)))</f>
        <v/>
      </c>
      <c r="AO149" s="21" t="str">
        <f aca="false">IF(Tasks[[#This Row],[Task Name]]="","",IF(Tasks[[#This Row],[Progress]]&gt;=1,"Complete",IF(OR(N(Tasks[[#This Row],[Actual Start]])&gt;0,Tasks[[#This Row],[Progress]]&gt;0),IF(Tasks[[#This Row],[Finish Var]]&gt;0,"Behind","In Progress"),IF(Tasks[[#This Row],[Planned Start]]&lt;StatusDate,"Late Start","Not Started"))))</f>
        <v/>
      </c>
      <c r="AP149" s="21" t="str">
        <f aca="false">IF(Tasks[[#This Row],[Task Name]]="","",IF(IF(Tasks[[#This Row],[_IsSummary]],COUNTIF(INDEX(Tasks[_LeafCritical],Tasks[[#This Row],[_Row]]+1):INDEX(Tasks[_LeafCritical],Tasks[[#This Row],[_Row]]+Tasks[[#This Row],[_Descendants]]),TRUE())&gt;0,Tasks[[#This Row],[_LeafCritical]]),"Yes",""))</f>
        <v/>
      </c>
      <c r="AQ149" s="62" t="str">
        <f aca="false">IF(Tasks[[#This Row],[Task Name]]="","",IF(N(Tasks[[#This Row],[Baseline Start]])&gt;0,Tasks[[#This Row],[Baseline Start]],Tasks[[#This Row],[_CalcStart]]))</f>
        <v/>
      </c>
      <c r="AR149" s="62" t="str">
        <f aca="false">IF(Tasks[[#This Row],[Task Name]]="","",IF(N(Tasks[[#This Row],[Baseline Finish]])&gt;0,Tasks[[#This Row],[Baseline Finish]],Tasks[[#This Row],[_CalcFinish]]))</f>
        <v/>
      </c>
      <c r="AS149" s="46" t="str">
        <f aca="false">IF(Tasks[[#This Row],[Task Name]]="","",IF(Tasks[[#This Row],[Start]]&gt;=Tasks[[#This Row],[Planned Start]],NETWORKDAYS.INTL(Tasks[[#This Row],[Planned Start]],Tasks[[#This Row],[Start]],WorkWeek,Holidays)-1,1-NETWORKDAYS.INTL(Tasks[[#This Row],[Start]],Tasks[[#This Row],[Planned Start]],WorkWeek,Holidays)))</f>
        <v/>
      </c>
      <c r="AT149" s="62" t="str">
        <f aca="false">IF(Tasks[[#This Row],[Task Name]]="","",IF(Tasks[[#This Row],[_IsSummary]],MIN(INDEX(Tasks[_LeafLateStart],Tasks[[#This Row],[_Row]]+1):INDEX(Tasks[_LeafLateStart],Tasks[[#This Row],[_Row]]+Tasks[[#This Row],[_Descendants]])),Tasks[[#This Row],[_LeafLateStart]]))</f>
        <v/>
      </c>
      <c r="AU149" s="62" t="str">
        <f aca="false">IF(Tasks[[#This Row],[Task Name]]="","",IF(Tasks[[#This Row],[_IsSummary]],MAX(INDEX(Tasks[_LeafLateFinish],Tasks[[#This Row],[_Row]]+1):INDEX(Tasks[_LeafLateFinish],Tasks[[#This Row],[_Row]]+Tasks[[#This Row],[_Descendants]])),Tasks[[#This Row],[_LeafLateFinish]]))</f>
        <v/>
      </c>
      <c r="AV149" s="46" t="str">
        <f aca="false">IF(Tasks[[#This Row],[Task Name]]="","",IF(Tasks[[#This Row],[_IsSummary]],MIN(INDEX(Tasks[_LeafTotalSlack],Tasks[[#This Row],[_Row]]+1):INDEX(Tasks[_LeafTotalSlack],Tasks[[#This Row],[_Row]]+Tasks[[#This Row],[_Descendants]])),Tasks[[#This Row],[_LeafTotalSlack]]))</f>
        <v/>
      </c>
      <c r="AW14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4"/>
      <c r="BA14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t="str">
        <f aca="false">IF(Tasks[[#This Row],[Task Name]]="","",IF(Tasks[[#This Row],[_Level]]&lt;=OutlineShowLevel,"Yes","No"))</f>
        <v/>
      </c>
      <c r="BE149" s="85" t="str">
        <f aca="false">IF(Tasks[[#This Row],[Task Name]]="","",IF(Tasks[[#This Row],[_IsSummary]],SUM(INDEX(Tasks[_LeafTotalWork],Tasks[[#This Row],[_Row]]+1):INDEX(Tasks[_LeafTotalWork],Tasks[[#This Row],[_Row]]+Tasks[[#This Row],[_Descendants]])),Tasks[[#This Row],[_LeafTotalWork]]))</f>
        <v/>
      </c>
      <c r="BF149" s="23"/>
      <c r="BG14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t="str">
        <f aca="false">""</f>
        <v/>
      </c>
      <c r="BI149" s="86"/>
      <c r="BJ149" s="22"/>
      <c r="BK149" s="46" t="str">
        <f aca="false">IF(OR(Tasks[[#This Row],[Task Name]]="",Tasks[[#This Row],[Baseline Duration]]=""),"",Tasks[[#This Row],[_SpanDays]]-N(Tasks[[#This Row],[Baseline Duration]]))</f>
        <v/>
      </c>
      <c r="BL149" s="85" t="str">
        <f aca="false">IF(OR(Tasks[[#This Row],[Task Name]]="",Tasks[[#This Row],[Baseline Work]]=""),"",Tasks[[#This Row],[Work]]-N(Tasks[[#This Row],[Baseline Work]]))</f>
        <v/>
      </c>
      <c r="BM149" s="62" t="str">
        <f aca="false">IF(Tasks[[#This Row],[Task Name]]="","",IF(OR(TakeBaseline="Yes",N(Tasks[[#This Row],[Baseline Start]])=0),Tasks[[#This Row],[Start]],Tasks[[#This Row],[Baseline Start]]))</f>
        <v/>
      </c>
      <c r="BN149" s="62" t="str">
        <f aca="false">IF(Tasks[[#This Row],[Task Name]]="","",IF(OR(TakeBaseline="Yes",N(Tasks[[#This Row],[Baseline Finish]])=0),Tasks[[#This Row],[Finish]],Tasks[[#This Row],[Baseline Finish]]))</f>
        <v/>
      </c>
      <c r="BO149" s="21" t="str">
        <f aca="false">IF(Tasks[[#This Row],[Task Name]]="","",IF(OR(TakeBaseline="Yes",N(Tasks[[#This Row],[Baseline Duration]])=0),Tasks[[#This Row],[_SpanDays]],Tasks[[#This Row],[Baseline Duration]]))</f>
        <v/>
      </c>
      <c r="BP149" s="85" t="str">
        <f aca="false">IF(Tasks[[#This Row],[Task Name]]="","",IF(OR(TakeBaseline="Yes",N(Tasks[[#This Row],[Baseline Work]])=0),Tasks[[#This Row],[Work]],Tasks[[#This Row],[Baseline Work]]))</f>
        <v/>
      </c>
      <c r="BQ149" s="7"/>
      <c r="BR149" s="7"/>
      <c r="BS149" s="22"/>
      <c r="BT149" s="87"/>
      <c r="BU149" s="42" t="str">
        <f aca="false">IF(Tasks[[#This Row],[Task Name]]="","",MAX(1,N(Tasks[[#This Row],[Level]])))</f>
        <v/>
      </c>
      <c r="BV149" s="42" t="n">
        <f aca="false">ROW()-ROW(Tasks[[#Headers],[ID]])</f>
        <v>144</v>
      </c>
      <c r="BW149" s="42" t="n">
        <f aca="false">IF(OR(Tasks[[#This Row],[Task Name]]="",Tasks[[#This Row],[_Level]]&lt;=1),0,IFERROR(LOOKUP(2,1/(Tasks[[#Headers],[_Level]]:Tasks[[#This Row],[_Level]]=Tasks[[#This Row],[_Level]]-1),ROW(Tasks[[#Headers],[_Level]]:Tasks[[#This Row],[_Level]])),0))</f>
        <v>0</v>
      </c>
      <c r="BX149" s="42" t="n">
        <f aca="false">IFERROR(N(INDEX(Tasks[_Level],Tasks[[#This Row],[_Row]]+1)),0)</f>
        <v>0</v>
      </c>
      <c r="BY149" s="88" t="b">
        <f aca="false">AND(Tasks[[#This Row],[Task Name]]&lt;&gt;"",Tasks[[#This Row],[_NextLevel]]&gt;Tasks[[#This Row],[_Level]])</f>
        <v>0</v>
      </c>
      <c r="BZ149" s="42" t="n">
        <f aca="false">IF(Tasks[[#This Row],[_IsSummary]],COUNTIF(Tasks[WBS],Tasks[[#This Row],[WBS]]&amp;".*"),0)</f>
        <v>0</v>
      </c>
      <c r="CA149" s="42" t="n">
        <f aca="false">IF(AND(Tasks[[#This Row],[Task Name]]&lt;&gt;"",NOT(Tasks[[#This Row],[_IsSummary]])),1,0)</f>
        <v>0</v>
      </c>
      <c r="CB149" s="42" t="n">
        <f aca="false">IF(N(Tasks[[#This Row],[_Pred1UID]])=0,0,IFERROR(MATCH(Tasks[[#This Row],[_Pred1UID]],Tasks[UID],0),-1))</f>
        <v>0</v>
      </c>
      <c r="CC149" s="42" t="n">
        <f aca="false">IF(N(Tasks[[#This Row],[_Pred2UID]])=0,0,IFERROR(MATCH(Tasks[[#This Row],[_Pred2UID]],Tasks[UID],0),-1))</f>
        <v>0</v>
      </c>
      <c r="CD149" s="42" t="n">
        <f aca="false">IF(N(Tasks[[#This Row],[_Pred3UID]])=0,0,IFERROR(MATCH(Tasks[[#This Row],[_Pred3UID]],Tasks[UID],0),-1))</f>
        <v>0</v>
      </c>
      <c r="CE149" s="42" t="n">
        <f aca="false">IF(N(Tasks[[#This Row],[_Pred4UID]])=0,0,IFERROR(MATCH(Tasks[[#This Row],[_Pred4UID]],Tasks[UID],0),-1))</f>
        <v>0</v>
      </c>
      <c r="CF14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4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49" s="89" t="n">
        <f aca="false">IF(OR(Tasks[[#This Row],[_ConstraintCode]]=2,Tasks[[#This Row],[_ConstraintCode]]=3,Tasks[[#This Row],[_ConstraintCode]]=4,Tasks[[#This Row],[_ConstraintCode]]=6),Tasks[[#This Row],[_ConstraintStart]],0)</f>
        <v>0</v>
      </c>
      <c r="CI149" s="89" t="n">
        <f aca="false">IF(OR(Tasks[[#This Row],[_ConstraintCode]]=2,Tasks[[#This Row],[_ConstraintCode]]=3,Tasks[[#This Row],[_ConstraintCode]]=5,Tasks[[#This Row],[_ConstraintCode]]=7),Tasks[[#This Row],[_ConstraintStart]],2958465)</f>
        <v>2958465</v>
      </c>
      <c r="CJ14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49" s="89" t="str">
        <f aca="false">IF(NOT(Tasks[[#This Row],[_IsLeaf]]=1),"",IF(N(Tasks[[#This Row],[_Days]])&lt;=0,Tasks[[#This Row],[_LeafCalcStart]],WORKDAY.INTL(Tasks[[#This Row],[_LeafCalcStart]],Tasks[[#This Row],[_Days]]-1,WorkWeek,Holidays)))</f>
        <v/>
      </c>
      <c r="CL14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4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49" s="42" t="str">
        <f aca="false">IF(Tasks[[#This Row],[_Predecessors]]="","",TRIM(MID(SUBSTITUTE(SUBSTITUTE(SUBSTITUTE(UPPER(Tasks[[#This Row],[_Predecessors]]),";",",")," ",""),",",REPT(" ",99)),1,99)))</f>
        <v/>
      </c>
      <c r="CO149" s="42" t="str">
        <f aca="false">IF(Tasks[[#This Row],[_Pred1Text]]="","",IFERROR(VALUE(LEFT(Tasks[[#This Row],[_Pred1Text]],MIN(FIND("F",Tasks[[#This Row],[_Pred1Text]]&amp;"F"),FIND("S",Tasks[[#This Row],[_Pred1Text]]&amp;"S"),FIND("+",Tasks[[#This Row],[_Pred1Text]]&amp;"+"),FIND("-",Tasks[[#This Row],[_Pred1Text]]&amp;"-"))-1)),""))</f>
        <v/>
      </c>
      <c r="CP14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4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49" s="42" t="str">
        <f aca="false">IF(Tasks[[#This Row],[_Pred1Text]]="","",TRIM(MID(SUBSTITUTE(SUBSTITUTE(SUBSTITUTE(UPPER(Tasks[[#This Row],[_Predecessors]]),";",",")," ",""),",",REPT(" ",99)),100,99)))</f>
        <v/>
      </c>
      <c r="CS149" s="42" t="str">
        <f aca="false">IF(Tasks[[#This Row],[_Pred2Text]]="","",IFERROR(VALUE(LEFT(Tasks[[#This Row],[_Pred2Text]],MIN(FIND("F",Tasks[[#This Row],[_Pred2Text]]&amp;"F"),FIND("S",Tasks[[#This Row],[_Pred2Text]]&amp;"S"),FIND("+",Tasks[[#This Row],[_Pred2Text]]&amp;"+"),FIND("-",Tasks[[#This Row],[_Pred2Text]]&amp;"-"))-1)),""))</f>
        <v/>
      </c>
      <c r="CT14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4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49" s="42" t="str">
        <f aca="false">IF(Tasks[[#This Row],[_Pred2Text]]="","",TRIM(MID(SUBSTITUTE(SUBSTITUTE(SUBSTITUTE(UPPER(Tasks[[#This Row],[_Predecessors]]),";",",")," ",""),",",REPT(" ",99)),199,99)))</f>
        <v/>
      </c>
      <c r="CW149" s="42" t="str">
        <f aca="false">IF(Tasks[[#This Row],[_Pred3Text]]="","",IFERROR(VALUE(LEFT(Tasks[[#This Row],[_Pred3Text]],MIN(FIND("F",Tasks[[#This Row],[_Pred3Text]]&amp;"F"),FIND("S",Tasks[[#This Row],[_Pred3Text]]&amp;"S"),FIND("+",Tasks[[#This Row],[_Pred3Text]]&amp;"+"),FIND("-",Tasks[[#This Row],[_Pred3Text]]&amp;"-"))-1)),""))</f>
        <v/>
      </c>
      <c r="CX14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4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49" s="42" t="str">
        <f aca="false">IF(Tasks[[#This Row],[_Pred3Text]]="","",TRIM(MID(SUBSTITUTE(SUBSTITUTE(SUBSTITUTE(UPPER(Tasks[[#This Row],[_Predecessors]]),";",",")," ",""),",",REPT(" ",99)),298,99)))</f>
        <v/>
      </c>
      <c r="DA149" s="42" t="str">
        <f aca="false">IF(Tasks[[#This Row],[_Pred4Text]]="","",IFERROR(VALUE(LEFT(Tasks[[#This Row],[_Pred4Text]],MIN(FIND("F",Tasks[[#This Row],[_Pred4Text]]&amp;"F"),FIND("S",Tasks[[#This Row],[_Pred4Text]]&amp;"S"),FIND("+",Tasks[[#This Row],[_Pred4Text]]&amp;"+"),FIND("-",Tasks[[#This Row],[_Pred4Text]]&amp;"-"))-1)),""))</f>
        <v/>
      </c>
      <c r="DB14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4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49" s="42" t="str">
        <f aca="false">IF(OR(Tasks[[#This Row],[Task Name]]="",Tasks[[#This Row],[_Resources]]=""),"",TRIM(MID(SUBSTITUTE(Tasks[[#This Row],[_Resources]],",",REPT(" ",99)),1,99)))</f>
        <v/>
      </c>
      <c r="DE149" s="42" t="str">
        <f aca="false">IF(Tasks[[#This Row],[_Res1Text]]="","",TRIM(MID(SUBSTITUTE(Tasks[[#This Row],[_Resources]],",",REPT(" ",99)),100,99)))</f>
        <v/>
      </c>
      <c r="DF149" s="42" t="str">
        <f aca="false">IF(Tasks[[#This Row],[_Res2Text]]="","",TRIM(MID(SUBSTITUTE(Tasks[[#This Row],[_Resources]],",",REPT(" ",99)),199,99)))</f>
        <v/>
      </c>
      <c r="DG149" s="42" t="str">
        <f aca="false">IF(Tasks[[#This Row],[_Res3Text]]="","",TRIM(MID(SUBSTITUTE(Tasks[[#This Row],[_Resources]],",",REPT(" ",99)),298,99)))</f>
        <v/>
      </c>
      <c r="DH149" s="42" t="n">
        <f aca="false">IF(Tasks[[#This Row],[_Res1Text]]="",0,IFERROR(MATCH(TRIM(LEFT(Tasks[[#This Row],[_Res1Text]],FIND("[",Tasks[[#This Row],[_Res1Text]]&amp;"[")-1)),res_Name,0),IFERROR(MATCH(TRIM(LEFT(Tasks[[#This Row],[_Res1Text]],FIND("[",Tasks[[#This Row],[_Res1Text]]&amp;"[")-1)),res_Initials,0),0)))</f>
        <v>0</v>
      </c>
      <c r="DI149" s="42" t="n">
        <f aca="false">IF(Tasks[[#This Row],[_Res2Text]]="",0,IFERROR(MATCH(TRIM(LEFT(Tasks[[#This Row],[_Res2Text]],FIND("[",Tasks[[#This Row],[_Res2Text]]&amp;"[")-1)),res_Name,0),IFERROR(MATCH(TRIM(LEFT(Tasks[[#This Row],[_Res2Text]],FIND("[",Tasks[[#This Row],[_Res2Text]]&amp;"[")-1)),res_Initials,0),0)))</f>
        <v>0</v>
      </c>
      <c r="DJ149" s="42" t="n">
        <f aca="false">IF(Tasks[[#This Row],[_Res3Text]]="",0,IFERROR(MATCH(TRIM(LEFT(Tasks[[#This Row],[_Res3Text]],FIND("[",Tasks[[#This Row],[_Res3Text]]&amp;"[")-1)),res_Name,0),IFERROR(MATCH(TRIM(LEFT(Tasks[[#This Row],[_Res3Text]],FIND("[",Tasks[[#This Row],[_Res3Text]]&amp;"[")-1)),res_Initials,0),0)))</f>
        <v>0</v>
      </c>
      <c r="DK149" s="42" t="n">
        <f aca="false">IF(Tasks[[#This Row],[_Res4Text]]="",0,IFERROR(MATCH(TRIM(LEFT(Tasks[[#This Row],[_Res4Text]],FIND("[",Tasks[[#This Row],[_Res4Text]]&amp;"[")-1)),res_Name,0),IFERROR(MATCH(TRIM(LEFT(Tasks[[#This Row],[_Res4Text]],FIND("[",Tasks[[#This Row],[_Res4Text]]&amp;"[")-1)),res_Initials,0),0)))</f>
        <v>0</v>
      </c>
      <c r="DL149" s="42" t="str">
        <f aca="false">IF(Tasks[[#This Row],[_Res1Text]]="","",IF(Tasks[[#This Row],[_Res1Row]]&gt;0,INDEX(res_Name,Tasks[[#This Row],[_Res1Row]]),TRIM(LEFT(Tasks[[#This Row],[_Res1Text]],FIND("[",Tasks[[#This Row],[_Res1Text]]&amp;"[")-1))))</f>
        <v/>
      </c>
      <c r="DM14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49" s="42" t="n">
        <f aca="false">IF(NOT(Tasks[[#This Row],[_IsLeaf]]=1),0,(Tasks[[#This Row],[_Resource1]]&lt;&gt;"")+(Tasks[[#This Row],[_Res2]]&lt;&gt;"")+(Tasks[[#This Row],[_Res3]]&lt;&gt;"")+(Tasks[[#This Row],[_Res4]]&lt;&gt;""))</f>
        <v>0</v>
      </c>
      <c r="DO149" s="42" t="str">
        <f aca="false">IF(Tasks[[#This Row],[_Res2Text]]="","",IF(Tasks[[#This Row],[_Res2Row]]&gt;0,INDEX(res_Name,Tasks[[#This Row],[_Res2Row]]),TRIM(LEFT(Tasks[[#This Row],[_Res2Text]],FIND("[",Tasks[[#This Row],[_Res2Text]]&amp;"[")-1))))</f>
        <v/>
      </c>
      <c r="DP14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49" s="42" t="n">
        <f aca="false">IF(OR(NOT(Tasks[[#This Row],[_IsLeaf]]=1),Tasks[[#This Row],[_Res2Row]]=0),0,N(Tasks[[#This Row],[_Days]])*HoursPerDay*IF(Tasks[[#This Row],[_Res2Units]]="",DefaultUnits,Tasks[[#This Row],[_Res2Units]]))</f>
        <v>0</v>
      </c>
      <c r="DR149" s="42" t="n">
        <f aca="false">IF(AND(AND(Tasks[[#This Row],[_IsLeaf]]=1,Tasks[[#This Row],[_LeafTotalWork]]&gt;0),Tasks[[#This Row],[_Res2Work]]&gt;0),Tasks[[#This Row],[_Res2Work]]/(Tasks[[#This Row],[_FinishWorkday]]-Tasks[[#This Row],[_StartWorkday]]+1),0)</f>
        <v>0</v>
      </c>
      <c r="DS149" s="42" t="n">
        <f aca="false">Tasks[[#This Row],[_Res2WorkPerWD]]*MAX(0,Tasks[[#This Row],[_StartWorkday]]-1)</f>
        <v>0</v>
      </c>
      <c r="DT149" s="42" t="n">
        <f aca="false">Tasks[[#This Row],[_Res2Work]]*Tasks[[#This Row],[_LeafProgress]]</f>
        <v>0</v>
      </c>
      <c r="DU149" s="42" t="str">
        <f aca="false">IF(Tasks[[#This Row],[_Res3Text]]="","",IF(Tasks[[#This Row],[_Res3Row]]&gt;0,INDEX(res_Name,Tasks[[#This Row],[_Res3Row]]),TRIM(LEFT(Tasks[[#This Row],[_Res3Text]],FIND("[",Tasks[[#This Row],[_Res3Text]]&amp;"[")-1))))</f>
        <v/>
      </c>
      <c r="DV14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49" s="42" t="n">
        <f aca="false">IF(OR(NOT(Tasks[[#This Row],[_IsLeaf]]=1),Tasks[[#This Row],[_Res3Row]]=0),0,N(Tasks[[#This Row],[_Days]])*HoursPerDay*IF(Tasks[[#This Row],[_Res3Units]]="",DefaultUnits,Tasks[[#This Row],[_Res3Units]]))</f>
        <v>0</v>
      </c>
      <c r="DX149" s="42" t="n">
        <f aca="false">IF(AND(AND(Tasks[[#This Row],[_IsLeaf]]=1,Tasks[[#This Row],[_LeafTotalWork]]&gt;0),Tasks[[#This Row],[_Res3Work]]&gt;0),Tasks[[#This Row],[_Res3Work]]/(Tasks[[#This Row],[_FinishWorkday]]-Tasks[[#This Row],[_StartWorkday]]+1),0)</f>
        <v>0</v>
      </c>
      <c r="DY149" s="42" t="n">
        <f aca="false">Tasks[[#This Row],[_Res3WorkPerWD]]*MAX(0,Tasks[[#This Row],[_StartWorkday]]-1)</f>
        <v>0</v>
      </c>
      <c r="DZ149" s="42" t="n">
        <f aca="false">Tasks[[#This Row],[_Res3Work]]*Tasks[[#This Row],[_LeafProgress]]</f>
        <v>0</v>
      </c>
      <c r="EA149" s="42" t="str">
        <f aca="false">IF(Tasks[[#This Row],[_Res4Text]]="","",IF(Tasks[[#This Row],[_Res4Row]]&gt;0,INDEX(res_Name,Tasks[[#This Row],[_Res4Row]]),TRIM(LEFT(Tasks[[#This Row],[_Res4Text]],FIND("[",Tasks[[#This Row],[_Res4Text]]&amp;"[")-1))))</f>
        <v/>
      </c>
      <c r="EB14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49" s="42" t="n">
        <f aca="false">IF(OR(NOT(Tasks[[#This Row],[_IsLeaf]]=1),Tasks[[#This Row],[_Res4Row]]=0),0,N(Tasks[[#This Row],[_Days]])*HoursPerDay*IF(Tasks[[#This Row],[_Res4Units]]="",DefaultUnits,Tasks[[#This Row],[_Res4Units]]))</f>
        <v>0</v>
      </c>
      <c r="ED149" s="42" t="n">
        <f aca="false">IF(AND(AND(Tasks[[#This Row],[_IsLeaf]]=1,Tasks[[#This Row],[_LeafTotalWork]]&gt;0),Tasks[[#This Row],[_Res4Work]]&gt;0),Tasks[[#This Row],[_Res4Work]]/(Tasks[[#This Row],[_FinishWorkday]]-Tasks[[#This Row],[_StartWorkday]]+1),0)</f>
        <v>0</v>
      </c>
      <c r="EE149" s="42" t="n">
        <f aca="false">Tasks[[#This Row],[_Res4WorkPerWD]]*MAX(0,Tasks[[#This Row],[_StartWorkday]]-1)</f>
        <v>0</v>
      </c>
      <c r="EF149" s="42" t="n">
        <f aca="false">Tasks[[#This Row],[_Res4Work]]*Tasks[[#This Row],[_LeafProgress]]</f>
        <v>0</v>
      </c>
      <c r="EG149" s="42" t="n">
        <f aca="false">IF(ISNUMBER(Tasks[[#This Row],[% Complete]]),Tasks[[#This Row],[% Complete]],IF(Tasks[[#This Row],[Stage]]="",0,IFERROR(INDEX(stg_Pct,MATCH(Tasks[[#This Row],[Stage]],stg_Name,0)),0)))</f>
        <v>0</v>
      </c>
      <c r="EH149" s="42" t="n">
        <f aca="false">IF(NOT(Tasks[[#This Row],[_IsLeaf]]=1),0,IF(N(Tasks[[#This Row],[Actual Finish]])&gt;0,1,MIN(1,Tasks[[#This Row],[_Pct]])))</f>
        <v>0</v>
      </c>
      <c r="EI149" s="42" t="n">
        <f aca="false">IF(OR(NOT(Tasks[[#This Row],[_IsLeaf]]=1),Tasks[[#This Row],[_Res1Row]]=0),0,N(Tasks[[#This Row],[_Days]])*HoursPerDay*IF(Tasks[[#This Row],[_Units1]]="",DefaultUnits,Tasks[[#This Row],[_Units1]]))</f>
        <v>0</v>
      </c>
      <c r="EJ149" s="42" t="n">
        <f aca="false">Tasks[[#This Row],[_LeafWork]]+Tasks[[#This Row],[_Res2Work]]+Tasks[[#This Row],[_Res3Work]]+Tasks[[#This Row],[_Res4Work]]</f>
        <v>0</v>
      </c>
      <c r="EK14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4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4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4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4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4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4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4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49" s="42" t="n">
        <f aca="false">IF(NOT(Tasks[[#This Row],[_IsLeaf]]=1),0,MAX(_xlfn.MAXIFS(Tasks[_Row],Tasks[_Pred1UID],Tasks[[#This Row],[UID]]),_xlfn.MAXIFS(Tasks[_Row],Tasks[_Pred2UID],Tasks[[#This Row],[UID]]),_xlfn.MAXIFS(Tasks[_Row],Tasks[_Pred3UID],Tasks[[#This Row],[UID]]),_xlfn.MAXIFS(Tasks[_Row],Tasks[_Pred4UID],Tasks[[#This Row],[UID]])))</f>
        <v>0</v>
      </c>
      <c r="ET14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4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49" s="89" t="str">
        <f aca="false">IF(NOT(Tasks[[#This Row],[_IsLeaf]]=1),"",IF(N(Tasks[[#This Row],[_Days]])&lt;=0,Tasks[[#This Row],[_LeafLateFinish]],WORKDAY.INTL(Tasks[[#This Row],[_LeafLateFinish]],-(Tasks[[#This Row],[_Days]]-1),WorkWeek,Holidays)))</f>
        <v/>
      </c>
      <c r="EW14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49" s="88" t="b">
        <f aca="false">AND(Tasks[[#This Row],[_IsLeaf]]=1,Tasks[[#This Row],[_LeafProgress]]&lt;1,N(Tasks[[#This Row],[_LeafTotalSlack]])&lt;=CriticalSlackDays)</f>
        <v>0</v>
      </c>
      <c r="EY149" s="42" t="n">
        <f aca="false">IF(AND(Tasks[[#This Row],[_IsLeaf]]=1,Tasks[[#This Row],[_ConstraintCode]]=1,Tasks[[#This Row],[Mode]]&lt;&gt;"Manual",N(Tasks[[#This Row],[Actual Start]])=0),MAX(0,N(Tasks[[#This Row],[Free Slack]])),0)</f>
        <v>0</v>
      </c>
      <c r="EZ149" s="89" t="str">
        <f aca="false">IF(NOT(Tasks[[#This Row],[_IsLeaf]]=1),"",IF(Tasks[[#This Row],[_AlapShift]]=0,Tasks[[#This Row],[_LeafCalcStart]],WORKDAY.INTL(Tasks[[#This Row],[_LeafCalcStart]],Tasks[[#This Row],[_AlapShift]],WorkWeek,Holidays)))</f>
        <v/>
      </c>
      <c r="FA149" s="89" t="str">
        <f aca="false">IF(NOT(Tasks[[#This Row],[_IsLeaf]]=1),"",IF(Tasks[[#This Row],[_AlapShift]]=0,Tasks[[#This Row],[_LeafCalcFinish]],WORKDAY.INTL(Tasks[[#This Row],[_LeafCalcFinish]],Tasks[[#This Row],[_AlapShift]],WorkWeek,Holidays)))</f>
        <v/>
      </c>
      <c r="FB149" s="89" t="str">
        <f aca="false">IF(NOT(Tasks[[#This Row],[_IsLeaf]]=1),"",IF(Tasks[[#This Row],[_AlapShift]]=0,Tasks[[#This Row],[_LeafFcstStart]],WORKDAY.INTL(Tasks[[#This Row],[_LeafFcstStart]],Tasks[[#This Row],[_AlapShift]],WorkWeek,Holidays)))</f>
        <v/>
      </c>
      <c r="FC149" s="89" t="str">
        <f aca="false">IF(NOT(Tasks[[#This Row],[_IsLeaf]]=1),"",IF(Tasks[[#This Row],[_AlapShift]]=0,Tasks[[#This Row],[_LeafFcstFinish]],WORKDAY.INTL(Tasks[[#This Row],[_LeafFcstFinish]],Tasks[[#This Row],[_AlapShift]],WorkWeek,Holidays)))</f>
        <v/>
      </c>
      <c r="FD149" s="89" t="str">
        <f aca="false">IF(Tasks[[#This Row],[Task Name]]="","",IF(Tasks[[#This Row],[_IsSummary]],MIN(INDEX(Tasks[_ShownCalcStart],Tasks[[#This Row],[_Row]]+1):INDEX(Tasks[_ShownCalcStart],Tasks[[#This Row],[_Row]]+Tasks[[#This Row],[_Descendants]])),Tasks[[#This Row],[_ShownCalcStart]]))</f>
        <v/>
      </c>
      <c r="FE149" s="89" t="str">
        <f aca="false">IF(Tasks[[#This Row],[Task Name]]="","",IF(Tasks[[#This Row],[_IsSummary]],MAX(INDEX(Tasks[_ShownCalcFinish],Tasks[[#This Row],[_Row]]+1):INDEX(Tasks[_ShownCalcFinish],Tasks[[#This Row],[_Row]]+Tasks[[#This Row],[_Descendants]])),Tasks[[#This Row],[_ShownCalcFinish]]))</f>
        <v/>
      </c>
      <c r="FF14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4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4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4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4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4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4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4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4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4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4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4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49" s="42" t="n">
        <f aca="false">IF(AND(Tasks[[#This Row],[_IsLeaf]]=1,Tasks[[#This Row],[_LeafTotalWork]]&gt;0),NETWORKDAYS.INTL(ProjectStart,Tasks[[#This Row],[_ShownFcstStart]],WorkWeek,Holidays),0)</f>
        <v>0</v>
      </c>
      <c r="FS149" s="42" t="n">
        <f aca="false">IF(AND(Tasks[[#This Row],[_IsLeaf]]=1,Tasks[[#This Row],[_LeafTotalWork]]&gt;0),MAX(Tasks[[#This Row],[_StartWorkday]],NETWORKDAYS.INTL(ProjectStart,Tasks[[#This Row],[_ShownFcstFinish]],WorkWeek,Holidays)),0)</f>
        <v>0</v>
      </c>
      <c r="FT149" s="42" t="n">
        <f aca="false">IF(AND(Tasks[[#This Row],[_IsLeaf]]=1,Tasks[[#This Row],[_LeafTotalWork]]&gt;0),Tasks[[#This Row],[_LeafWork]]/(Tasks[[#This Row],[_FinishWorkday]]-Tasks[[#This Row],[_StartWorkday]]+1),0)</f>
        <v>0</v>
      </c>
      <c r="FU149" s="42" t="n">
        <f aca="false">Tasks[[#This Row],[_WorkPerWorkday]]*(Tasks[[#This Row],[_StartWorkday]]-1)</f>
        <v>-0</v>
      </c>
      <c r="FV149" s="42" t="n">
        <f aca="false">IF(Tasks[[#This Row],[_IsLeaf]]=1,MAX(N(Tasks[[#This Row],[_Days]]),0.1),0)</f>
        <v>0</v>
      </c>
      <c r="FW149" s="42" t="n">
        <f aca="false">Tasks[[#This Row],[_WeightDur]]*Tasks[[#This Row],[_LeafProgress]]</f>
        <v>0</v>
      </c>
      <c r="FX149" s="42" t="n">
        <f aca="false">Tasks[[#This Row],[_WeightDur]]*Tasks[[#This Row],[_PlannedPct]]</f>
        <v>0</v>
      </c>
      <c r="FY14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49" s="42" t="str">
        <f aca="false">IF(AND(Tasks[[#This Row],[_IsLeaf]]=1,N(Tasks[[#This Row],[_Days]])=0,Tasks[[#This Row],[_LeafProgress]]&lt;1),Tasks[[#This Row],[_ShownFcstFinish]]+Tasks[[#This Row],[_Row]]/100000,"")</f>
        <v/>
      </c>
      <c r="GA14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49" s="42" t="str">
        <f aca="false">IF(Tasks[[#This Row],[Task Name]]="","",LEFT(Tasks[[#This Row],[WBS]],FIND(".",Tasks[[#This Row],[WBS]]&amp;".")-1))</f>
        <v/>
      </c>
      <c r="GC149" s="42" t="str">
        <f aca="false">IF(AND(Tasks[[#This Row],[Task Name]]&lt;&gt;"",Tasks[[#This Row],[_Level]]=1),Tasks[[#This Row],[_Row]],"")</f>
        <v/>
      </c>
      <c r="GD149" s="42" t="str">
        <f aca="false">IF(AND(Tasks[[#This Row],[_IsLeaf]]=1,N(Tasks[[#This Row],[_Days]])=0),Tasks[[#This Row],[Planned Finish]]+Tasks[[#This Row],[_Row]]/100000,"")</f>
        <v/>
      </c>
      <c r="GE149" s="42" t="str">
        <f aca="false">IF(AND(Tasks[[#This Row],[_IsLeaf]]=1,Tasks[[#This Row],[_LeafProgress]]&lt;1,OR(N(Tasks[[#This Row],[Finish Var]])&gt;0,Tasks[[#This Row],[Status]]="Late Start")),MAX(0,Tasks[[#This Row],[Finish Var]])+1-Tasks[[#This Row],[_Row]]/1000000,"")</f>
        <v/>
      </c>
      <c r="GF149" s="42" t="str">
        <f aca="false">IF(AND(Tasks[[#This Row],[_IsLeaf]]=1,N(Tasks[[#This Row],[Actual Start]])=0,Tasks[[#This Row],[_ShownFcstStart]]&gt;=StatusDate,Tasks[[#This Row],[_ShownFcstStart]]&lt;=LookaheadEnd),Tasks[[#This Row],[_ShownFcstStart]]+Tasks[[#This Row],[_Row]]/100000,"")</f>
        <v/>
      </c>
      <c r="GG149" s="42" t="str">
        <f aca="false">IF(AND(Tasks[[#This Row],[_IsLeaf]]=1,Tasks[[#This Row],[_LeafProgress]]&lt;1,Tasks[[#This Row],[_ShownFcstFinish]]&gt;=StatusDate,Tasks[[#This Row],[_ShownFcstFinish]]&lt;=LookaheadEnd),Tasks[[#This Row],[_ShownFcstFinish]]+Tasks[[#This Row],[_Row]]/100000,"")</f>
        <v/>
      </c>
      <c r="GH149" s="42" t="str">
        <f aca="false">IF(Tasks[[#This Row],[_LeafCritical]],Tasks[[#This Row],[_ShownFcstStart]]+Tasks[[#This Row],[_Row]]/100000,"")</f>
        <v/>
      </c>
      <c r="GI149" s="42" t="n">
        <f aca="false">Tasks[[#This Row],[_LeafWork]]*Tasks[[#This Row],[_LeafProgress]]</f>
        <v>0</v>
      </c>
      <c r="GJ149" s="89" t="str">
        <f aca="false">IF(AND(Tasks[[#This Row],[_IsLeaf]]=1,Tasks[[#This Row],[_LeafProgress]]&gt;=1),IF(N(Tasks[[#This Row],[Actual Finish]])&gt;0,Tasks[[#This Row],[Actual Finish]],Tasks[[#This Row],[_ShownFcstFinish]]),"")</f>
        <v/>
      </c>
      <c r="GK149" s="42" t="n">
        <f aca="false">IF(Tasks[[#This Row],[_IsLeaf]]=1,N(Tasks[[#This Row],[Story Points]]),0)</f>
        <v>0</v>
      </c>
      <c r="GL149" s="42" t="str">
        <f aca="false">""</f>
        <v/>
      </c>
      <c r="GM149" s="88" t="b">
        <f aca="false">IF(Tasks[[#This Row],[Task Name]]="",FALSE(),AND(Tasks[[#This Row],[_IsLeaf]]=1,N(Tasks[[#This Row],[_Days]])=0))</f>
        <v>0</v>
      </c>
      <c r="GN149" s="89" t="n">
        <f aca="false">IF(Tasks[[#This Row],[Task Name]]="",0,IF(AND(Tasks[[#This Row],[_IsLeaf]]=1,NOT(Tasks[[#This Row],[_IsMilestone]]),N(Tasks[[#This Row],[Progress]])&gt;0),Tasks[[#This Row],[Start]],0))</f>
        <v>0</v>
      </c>
      <c r="GO149" s="89" t="n">
        <f aca="false">IF(Tasks[[#This Row],[_DoneFrom]]=0,0,IF(Tasks[[#This Row],[Progress]]&gt;=1,Tasks[[#This Row],[Finish]],MAX(Tasks[[#This Row],[_DoneFrom]],Tasks[[#This Row],[Start]]+ROUND((Tasks[[#This Row],[Finish]]-Tasks[[#This Row],[Start]]+1)*Tasks[[#This Row],[Progress]],0)-1)))</f>
        <v>0</v>
      </c>
      <c r="GP149" s="89" t="n">
        <f aca="false">IF(Tasks[[#This Row],[Task Name]]="",0,IF(OR(NOT(Tasks[[#This Row],[_IsLeaf]]=1),Tasks[[#This Row],[_IsMilestone]],N(Tasks[[#This Row],[Progress]])&gt;=1),0,IF(Tasks[[#This Row],[_DoneTo]]&gt;0,Tasks[[#This Row],[_DoneTo]]+1,Tasks[[#This Row],[Start]])))</f>
        <v>0</v>
      </c>
      <c r="GQ149" s="89" t="n">
        <f aca="false">IF(Tasks[[#This Row],[_RemFrom]]=0,0,Tasks[[#This Row],[Finish]])</f>
        <v>0</v>
      </c>
      <c r="GR149" s="88" t="b">
        <f aca="false">IF(Tasks[[#This Row],[Task Name]]="",FALSE(),OR(NOT(BaselineSet),N(Tasks[[#This Row],[Baseline Start]])&gt;0))</f>
        <v>0</v>
      </c>
      <c r="GS14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4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4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49" s="90" t="str">
        <f aca="false">IF(Tasks[[#This Row],[_IsLeaf]]=1,Tasks[[#This Row],[_Row]],"")</f>
        <v/>
      </c>
      <c r="GW149" s="90" t="str">
        <f aca="false">IFERROR(INDEX(Tasks[UID],SMALL(Tasks[_PickKey],Tasks[[#This Row],[_Row]]))&amp;" "&amp;INDEX(Tasks[Task Name],SMALL(Tasks[_PickKey],Tasks[[#This Row],[_Row]])),"")</f>
        <v/>
      </c>
      <c r="GX149" s="42" t="str">
        <f aca="false">IF(Tasks[[#This Row],[Task Name]]="","",IF(Tasks[[#This Row],[_IsSummary]],NETWORKDAYS.INTL(Tasks[[#This Row],[Start]],Tasks[[#This Row],[Finish]],WorkWeek,Holidays),N(Tasks[[#This Row],[_Days]])))</f>
        <v/>
      </c>
    </row>
    <row r="150" customFormat="false" ht="15" hidden="false" customHeight="false" outlineLevel="0" collapsed="false">
      <c r="A150" s="21" t="str">
        <f aca="false">IF(Tasks[[#This Row],[Task Name]]="","",COUNTA(Tasks[[#Headers],[Task Name]]:Tasks[[#This Row],[Task Name]])-1)</f>
        <v/>
      </c>
      <c r="B150" s="22" t="n">
        <v>158</v>
      </c>
      <c r="C150" s="22"/>
      <c r="D150" s="23"/>
      <c r="E150" s="22"/>
      <c r="F150" s="23"/>
      <c r="G150" s="22"/>
      <c r="H150" s="22"/>
      <c r="I150" s="23"/>
      <c r="J150" s="22"/>
      <c r="K150" s="22"/>
      <c r="L150" s="23"/>
      <c r="M150" s="22"/>
      <c r="N150" s="22"/>
      <c r="O150" s="23"/>
      <c r="P150" s="22"/>
      <c r="Q150" s="22"/>
      <c r="R150" s="23"/>
      <c r="S150" s="23"/>
      <c r="T150" s="83"/>
      <c r="U150" s="23"/>
      <c r="V150" s="83"/>
      <c r="W150" s="23"/>
      <c r="X150" s="83"/>
      <c r="Y150" s="23"/>
      <c r="Z150" s="83"/>
      <c r="AA150" s="23"/>
      <c r="AB150" s="23"/>
      <c r="AC150" s="7"/>
      <c r="AD150" s="7"/>
      <c r="AE150" s="62" t="str">
        <f aca="false">IF(Tasks[[#This Row],[Task Name]]="","",IF(Tasks[[#This Row],[_IsSummary]],MIN(INDEX(Tasks[_ShownFcstStart],Tasks[[#This Row],[_Row]]+1):INDEX(Tasks[_ShownFcstStart],Tasks[[#This Row],[_Row]]+Tasks[[#This Row],[_Descendants]])),Tasks[[#This Row],[_ShownFcstStart]]))</f>
        <v/>
      </c>
      <c r="AF150" s="62" t="str">
        <f aca="false">IF(Tasks[[#This Row],[Task Name]]="","",IF(Tasks[[#This Row],[_IsSummary]],MAX(INDEX(Tasks[_ShownFcstFinish],Tasks[[#This Row],[_Row]]+1):INDEX(Tasks[_ShownFcstFinish],Tasks[[#This Row],[_Row]]+Tasks[[#This Row],[_Descendants]])),Tasks[[#This Row],[_ShownFcstFinish]]))</f>
        <v/>
      </c>
      <c r="AG150" s="21" t="str">
        <f aca="false">""</f>
        <v/>
      </c>
      <c r="AH150" s="23"/>
      <c r="AI15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0" s="7"/>
      <c r="AK150" s="22"/>
      <c r="AL150" s="23"/>
      <c r="AM150" s="7"/>
      <c r="AN150" s="46" t="str">
        <f aca="false">IF(Tasks[[#This Row],[Task Name]]="","",IF(Tasks[[#This Row],[Finish]]&gt;=Tasks[[#This Row],[Planned Finish]],NETWORKDAYS.INTL(Tasks[[#This Row],[Planned Finish]],Tasks[[#This Row],[Finish]],WorkWeek,Holidays)-1,1-NETWORKDAYS.INTL(Tasks[[#This Row],[Finish]],Tasks[[#This Row],[Planned Finish]],WorkWeek,Holidays)))</f>
        <v/>
      </c>
      <c r="AO150" s="21" t="str">
        <f aca="false">IF(Tasks[[#This Row],[Task Name]]="","",IF(Tasks[[#This Row],[Progress]]&gt;=1,"Complete",IF(OR(N(Tasks[[#This Row],[Actual Start]])&gt;0,Tasks[[#This Row],[Progress]]&gt;0),IF(Tasks[[#This Row],[Finish Var]]&gt;0,"Behind","In Progress"),IF(Tasks[[#This Row],[Planned Start]]&lt;StatusDate,"Late Start","Not Started"))))</f>
        <v/>
      </c>
      <c r="AP150" s="21" t="str">
        <f aca="false">IF(Tasks[[#This Row],[Task Name]]="","",IF(IF(Tasks[[#This Row],[_IsSummary]],COUNTIF(INDEX(Tasks[_LeafCritical],Tasks[[#This Row],[_Row]]+1):INDEX(Tasks[_LeafCritical],Tasks[[#This Row],[_Row]]+Tasks[[#This Row],[_Descendants]]),TRUE())&gt;0,Tasks[[#This Row],[_LeafCritical]]),"Yes",""))</f>
        <v/>
      </c>
      <c r="AQ150" s="62" t="str">
        <f aca="false">IF(Tasks[[#This Row],[Task Name]]="","",IF(N(Tasks[[#This Row],[Baseline Start]])&gt;0,Tasks[[#This Row],[Baseline Start]],Tasks[[#This Row],[_CalcStart]]))</f>
        <v/>
      </c>
      <c r="AR150" s="62" t="str">
        <f aca="false">IF(Tasks[[#This Row],[Task Name]]="","",IF(N(Tasks[[#This Row],[Baseline Finish]])&gt;0,Tasks[[#This Row],[Baseline Finish]],Tasks[[#This Row],[_CalcFinish]]))</f>
        <v/>
      </c>
      <c r="AS150" s="46" t="str">
        <f aca="false">IF(Tasks[[#This Row],[Task Name]]="","",IF(Tasks[[#This Row],[Start]]&gt;=Tasks[[#This Row],[Planned Start]],NETWORKDAYS.INTL(Tasks[[#This Row],[Planned Start]],Tasks[[#This Row],[Start]],WorkWeek,Holidays)-1,1-NETWORKDAYS.INTL(Tasks[[#This Row],[Start]],Tasks[[#This Row],[Planned Start]],WorkWeek,Holidays)))</f>
        <v/>
      </c>
      <c r="AT150" s="62" t="str">
        <f aca="false">IF(Tasks[[#This Row],[Task Name]]="","",IF(Tasks[[#This Row],[_IsSummary]],MIN(INDEX(Tasks[_LeafLateStart],Tasks[[#This Row],[_Row]]+1):INDEX(Tasks[_LeafLateStart],Tasks[[#This Row],[_Row]]+Tasks[[#This Row],[_Descendants]])),Tasks[[#This Row],[_LeafLateStart]]))</f>
        <v/>
      </c>
      <c r="AU150" s="62" t="str">
        <f aca="false">IF(Tasks[[#This Row],[Task Name]]="","",IF(Tasks[[#This Row],[_IsSummary]],MAX(INDEX(Tasks[_LeafLateFinish],Tasks[[#This Row],[_Row]]+1):INDEX(Tasks[_LeafLateFinish],Tasks[[#This Row],[_Row]]+Tasks[[#This Row],[_Descendants]])),Tasks[[#This Row],[_LeafLateFinish]]))</f>
        <v/>
      </c>
      <c r="AV150" s="46" t="str">
        <f aca="false">IF(Tasks[[#This Row],[Task Name]]="","",IF(Tasks[[#This Row],[_IsSummary]],MIN(INDEX(Tasks[_LeafTotalSlack],Tasks[[#This Row],[_Row]]+1):INDEX(Tasks[_LeafTotalSlack],Tasks[[#This Row],[_Row]]+Tasks[[#This Row],[_Descendants]])),Tasks[[#This Row],[_LeafTotalSlack]]))</f>
        <v/>
      </c>
      <c r="AW15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4"/>
      <c r="BA15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t="str">
        <f aca="false">IF(Tasks[[#This Row],[Task Name]]="","",IF(Tasks[[#This Row],[_Level]]&lt;=OutlineShowLevel,"Yes","No"))</f>
        <v/>
      </c>
      <c r="BE150" s="85" t="str">
        <f aca="false">IF(Tasks[[#This Row],[Task Name]]="","",IF(Tasks[[#This Row],[_IsSummary]],SUM(INDEX(Tasks[_LeafTotalWork],Tasks[[#This Row],[_Row]]+1):INDEX(Tasks[_LeafTotalWork],Tasks[[#This Row],[_Row]]+Tasks[[#This Row],[_Descendants]])),Tasks[[#This Row],[_LeafTotalWork]]))</f>
        <v/>
      </c>
      <c r="BF150" s="23"/>
      <c r="BG15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t="str">
        <f aca="false">""</f>
        <v/>
      </c>
      <c r="BI150" s="86"/>
      <c r="BJ150" s="22"/>
      <c r="BK150" s="46" t="str">
        <f aca="false">IF(OR(Tasks[[#This Row],[Task Name]]="",Tasks[[#This Row],[Baseline Duration]]=""),"",Tasks[[#This Row],[_SpanDays]]-N(Tasks[[#This Row],[Baseline Duration]]))</f>
        <v/>
      </c>
      <c r="BL150" s="85" t="str">
        <f aca="false">IF(OR(Tasks[[#This Row],[Task Name]]="",Tasks[[#This Row],[Baseline Work]]=""),"",Tasks[[#This Row],[Work]]-N(Tasks[[#This Row],[Baseline Work]]))</f>
        <v/>
      </c>
      <c r="BM150" s="62" t="str">
        <f aca="false">IF(Tasks[[#This Row],[Task Name]]="","",IF(OR(TakeBaseline="Yes",N(Tasks[[#This Row],[Baseline Start]])=0),Tasks[[#This Row],[Start]],Tasks[[#This Row],[Baseline Start]]))</f>
        <v/>
      </c>
      <c r="BN150" s="62" t="str">
        <f aca="false">IF(Tasks[[#This Row],[Task Name]]="","",IF(OR(TakeBaseline="Yes",N(Tasks[[#This Row],[Baseline Finish]])=0),Tasks[[#This Row],[Finish]],Tasks[[#This Row],[Baseline Finish]]))</f>
        <v/>
      </c>
      <c r="BO150" s="21" t="str">
        <f aca="false">IF(Tasks[[#This Row],[Task Name]]="","",IF(OR(TakeBaseline="Yes",N(Tasks[[#This Row],[Baseline Duration]])=0),Tasks[[#This Row],[_SpanDays]],Tasks[[#This Row],[Baseline Duration]]))</f>
        <v/>
      </c>
      <c r="BP150" s="85" t="str">
        <f aca="false">IF(Tasks[[#This Row],[Task Name]]="","",IF(OR(TakeBaseline="Yes",N(Tasks[[#This Row],[Baseline Work]])=0),Tasks[[#This Row],[Work]],Tasks[[#This Row],[Baseline Work]]))</f>
        <v/>
      </c>
      <c r="BQ150" s="7"/>
      <c r="BR150" s="7"/>
      <c r="BS150" s="22"/>
      <c r="BT150" s="87"/>
      <c r="BU150" s="42" t="str">
        <f aca="false">IF(Tasks[[#This Row],[Task Name]]="","",MAX(1,N(Tasks[[#This Row],[Level]])))</f>
        <v/>
      </c>
      <c r="BV150" s="42" t="n">
        <f aca="false">ROW()-ROW(Tasks[[#Headers],[ID]])</f>
        <v>145</v>
      </c>
      <c r="BW150" s="42" t="n">
        <f aca="false">IF(OR(Tasks[[#This Row],[Task Name]]="",Tasks[[#This Row],[_Level]]&lt;=1),0,IFERROR(LOOKUP(2,1/(Tasks[[#Headers],[_Level]]:Tasks[[#This Row],[_Level]]=Tasks[[#This Row],[_Level]]-1),ROW(Tasks[[#Headers],[_Level]]:Tasks[[#This Row],[_Level]])),0))</f>
        <v>0</v>
      </c>
      <c r="BX150" s="42" t="n">
        <f aca="false">IFERROR(N(INDEX(Tasks[_Level],Tasks[[#This Row],[_Row]]+1)),0)</f>
        <v>0</v>
      </c>
      <c r="BY150" s="88" t="b">
        <f aca="false">AND(Tasks[[#This Row],[Task Name]]&lt;&gt;"",Tasks[[#This Row],[_NextLevel]]&gt;Tasks[[#This Row],[_Level]])</f>
        <v>0</v>
      </c>
      <c r="BZ150" s="42" t="n">
        <f aca="false">IF(Tasks[[#This Row],[_IsSummary]],COUNTIF(Tasks[WBS],Tasks[[#This Row],[WBS]]&amp;".*"),0)</f>
        <v>0</v>
      </c>
      <c r="CA150" s="42" t="n">
        <f aca="false">IF(AND(Tasks[[#This Row],[Task Name]]&lt;&gt;"",NOT(Tasks[[#This Row],[_IsSummary]])),1,0)</f>
        <v>0</v>
      </c>
      <c r="CB150" s="42" t="n">
        <f aca="false">IF(N(Tasks[[#This Row],[_Pred1UID]])=0,0,IFERROR(MATCH(Tasks[[#This Row],[_Pred1UID]],Tasks[UID],0),-1))</f>
        <v>0</v>
      </c>
      <c r="CC150" s="42" t="n">
        <f aca="false">IF(N(Tasks[[#This Row],[_Pred2UID]])=0,0,IFERROR(MATCH(Tasks[[#This Row],[_Pred2UID]],Tasks[UID],0),-1))</f>
        <v>0</v>
      </c>
      <c r="CD150" s="42" t="n">
        <f aca="false">IF(N(Tasks[[#This Row],[_Pred3UID]])=0,0,IFERROR(MATCH(Tasks[[#This Row],[_Pred3UID]],Tasks[UID],0),-1))</f>
        <v>0</v>
      </c>
      <c r="CE150" s="42" t="n">
        <f aca="false">IF(N(Tasks[[#This Row],[_Pred4UID]])=0,0,IFERROR(MATCH(Tasks[[#This Row],[_Pred4UID]],Tasks[UID],0),-1))</f>
        <v>0</v>
      </c>
      <c r="CF15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0" s="89" t="n">
        <f aca="false">IF(OR(Tasks[[#This Row],[_ConstraintCode]]=2,Tasks[[#This Row],[_ConstraintCode]]=3,Tasks[[#This Row],[_ConstraintCode]]=4,Tasks[[#This Row],[_ConstraintCode]]=6),Tasks[[#This Row],[_ConstraintStart]],0)</f>
        <v>0</v>
      </c>
      <c r="CI150" s="89" t="n">
        <f aca="false">IF(OR(Tasks[[#This Row],[_ConstraintCode]]=2,Tasks[[#This Row],[_ConstraintCode]]=3,Tasks[[#This Row],[_ConstraintCode]]=5,Tasks[[#This Row],[_ConstraintCode]]=7),Tasks[[#This Row],[_ConstraintStart]],2958465)</f>
        <v>2958465</v>
      </c>
      <c r="CJ15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0" s="89" t="str">
        <f aca="false">IF(NOT(Tasks[[#This Row],[_IsLeaf]]=1),"",IF(N(Tasks[[#This Row],[_Days]])&lt;=0,Tasks[[#This Row],[_LeafCalcStart]],WORKDAY.INTL(Tasks[[#This Row],[_LeafCalcStart]],Tasks[[#This Row],[_Days]]-1,WorkWeek,Holidays)))</f>
        <v/>
      </c>
      <c r="CL15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0" s="42" t="str">
        <f aca="false">IF(Tasks[[#This Row],[_Predecessors]]="","",TRIM(MID(SUBSTITUTE(SUBSTITUTE(SUBSTITUTE(UPPER(Tasks[[#This Row],[_Predecessors]]),";",",")," ",""),",",REPT(" ",99)),1,99)))</f>
        <v/>
      </c>
      <c r="CO150" s="42" t="str">
        <f aca="false">IF(Tasks[[#This Row],[_Pred1Text]]="","",IFERROR(VALUE(LEFT(Tasks[[#This Row],[_Pred1Text]],MIN(FIND("F",Tasks[[#This Row],[_Pred1Text]]&amp;"F"),FIND("S",Tasks[[#This Row],[_Pred1Text]]&amp;"S"),FIND("+",Tasks[[#This Row],[_Pred1Text]]&amp;"+"),FIND("-",Tasks[[#This Row],[_Pred1Text]]&amp;"-"))-1)),""))</f>
        <v/>
      </c>
      <c r="CP15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0" s="42" t="str">
        <f aca="false">IF(Tasks[[#This Row],[_Pred1Text]]="","",TRIM(MID(SUBSTITUTE(SUBSTITUTE(SUBSTITUTE(UPPER(Tasks[[#This Row],[_Predecessors]]),";",",")," ",""),",",REPT(" ",99)),100,99)))</f>
        <v/>
      </c>
      <c r="CS150" s="42" t="str">
        <f aca="false">IF(Tasks[[#This Row],[_Pred2Text]]="","",IFERROR(VALUE(LEFT(Tasks[[#This Row],[_Pred2Text]],MIN(FIND("F",Tasks[[#This Row],[_Pred2Text]]&amp;"F"),FIND("S",Tasks[[#This Row],[_Pred2Text]]&amp;"S"),FIND("+",Tasks[[#This Row],[_Pred2Text]]&amp;"+"),FIND("-",Tasks[[#This Row],[_Pred2Text]]&amp;"-"))-1)),""))</f>
        <v/>
      </c>
      <c r="CT15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0" s="42" t="str">
        <f aca="false">IF(Tasks[[#This Row],[_Pred2Text]]="","",TRIM(MID(SUBSTITUTE(SUBSTITUTE(SUBSTITUTE(UPPER(Tasks[[#This Row],[_Predecessors]]),";",",")," ",""),",",REPT(" ",99)),199,99)))</f>
        <v/>
      </c>
      <c r="CW150" s="42" t="str">
        <f aca="false">IF(Tasks[[#This Row],[_Pred3Text]]="","",IFERROR(VALUE(LEFT(Tasks[[#This Row],[_Pred3Text]],MIN(FIND("F",Tasks[[#This Row],[_Pred3Text]]&amp;"F"),FIND("S",Tasks[[#This Row],[_Pred3Text]]&amp;"S"),FIND("+",Tasks[[#This Row],[_Pred3Text]]&amp;"+"),FIND("-",Tasks[[#This Row],[_Pred3Text]]&amp;"-"))-1)),""))</f>
        <v/>
      </c>
      <c r="CX15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0" s="42" t="str">
        <f aca="false">IF(Tasks[[#This Row],[_Pred3Text]]="","",TRIM(MID(SUBSTITUTE(SUBSTITUTE(SUBSTITUTE(UPPER(Tasks[[#This Row],[_Predecessors]]),";",",")," ",""),",",REPT(" ",99)),298,99)))</f>
        <v/>
      </c>
      <c r="DA150" s="42" t="str">
        <f aca="false">IF(Tasks[[#This Row],[_Pred4Text]]="","",IFERROR(VALUE(LEFT(Tasks[[#This Row],[_Pred4Text]],MIN(FIND("F",Tasks[[#This Row],[_Pred4Text]]&amp;"F"),FIND("S",Tasks[[#This Row],[_Pred4Text]]&amp;"S"),FIND("+",Tasks[[#This Row],[_Pred4Text]]&amp;"+"),FIND("-",Tasks[[#This Row],[_Pred4Text]]&amp;"-"))-1)),""))</f>
        <v/>
      </c>
      <c r="DB15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0" s="42" t="str">
        <f aca="false">IF(OR(Tasks[[#This Row],[Task Name]]="",Tasks[[#This Row],[_Resources]]=""),"",TRIM(MID(SUBSTITUTE(Tasks[[#This Row],[_Resources]],",",REPT(" ",99)),1,99)))</f>
        <v/>
      </c>
      <c r="DE150" s="42" t="str">
        <f aca="false">IF(Tasks[[#This Row],[_Res1Text]]="","",TRIM(MID(SUBSTITUTE(Tasks[[#This Row],[_Resources]],",",REPT(" ",99)),100,99)))</f>
        <v/>
      </c>
      <c r="DF150" s="42" t="str">
        <f aca="false">IF(Tasks[[#This Row],[_Res2Text]]="","",TRIM(MID(SUBSTITUTE(Tasks[[#This Row],[_Resources]],",",REPT(" ",99)),199,99)))</f>
        <v/>
      </c>
      <c r="DG150" s="42" t="str">
        <f aca="false">IF(Tasks[[#This Row],[_Res3Text]]="","",TRIM(MID(SUBSTITUTE(Tasks[[#This Row],[_Resources]],",",REPT(" ",99)),298,99)))</f>
        <v/>
      </c>
      <c r="DH150" s="42" t="n">
        <f aca="false">IF(Tasks[[#This Row],[_Res1Text]]="",0,IFERROR(MATCH(TRIM(LEFT(Tasks[[#This Row],[_Res1Text]],FIND("[",Tasks[[#This Row],[_Res1Text]]&amp;"[")-1)),res_Name,0),IFERROR(MATCH(TRIM(LEFT(Tasks[[#This Row],[_Res1Text]],FIND("[",Tasks[[#This Row],[_Res1Text]]&amp;"[")-1)),res_Initials,0),0)))</f>
        <v>0</v>
      </c>
      <c r="DI150" s="42" t="n">
        <f aca="false">IF(Tasks[[#This Row],[_Res2Text]]="",0,IFERROR(MATCH(TRIM(LEFT(Tasks[[#This Row],[_Res2Text]],FIND("[",Tasks[[#This Row],[_Res2Text]]&amp;"[")-1)),res_Name,0),IFERROR(MATCH(TRIM(LEFT(Tasks[[#This Row],[_Res2Text]],FIND("[",Tasks[[#This Row],[_Res2Text]]&amp;"[")-1)),res_Initials,0),0)))</f>
        <v>0</v>
      </c>
      <c r="DJ150" s="42" t="n">
        <f aca="false">IF(Tasks[[#This Row],[_Res3Text]]="",0,IFERROR(MATCH(TRIM(LEFT(Tasks[[#This Row],[_Res3Text]],FIND("[",Tasks[[#This Row],[_Res3Text]]&amp;"[")-1)),res_Name,0),IFERROR(MATCH(TRIM(LEFT(Tasks[[#This Row],[_Res3Text]],FIND("[",Tasks[[#This Row],[_Res3Text]]&amp;"[")-1)),res_Initials,0),0)))</f>
        <v>0</v>
      </c>
      <c r="DK150" s="42" t="n">
        <f aca="false">IF(Tasks[[#This Row],[_Res4Text]]="",0,IFERROR(MATCH(TRIM(LEFT(Tasks[[#This Row],[_Res4Text]],FIND("[",Tasks[[#This Row],[_Res4Text]]&amp;"[")-1)),res_Name,0),IFERROR(MATCH(TRIM(LEFT(Tasks[[#This Row],[_Res4Text]],FIND("[",Tasks[[#This Row],[_Res4Text]]&amp;"[")-1)),res_Initials,0),0)))</f>
        <v>0</v>
      </c>
      <c r="DL150" s="42" t="str">
        <f aca="false">IF(Tasks[[#This Row],[_Res1Text]]="","",IF(Tasks[[#This Row],[_Res1Row]]&gt;0,INDEX(res_Name,Tasks[[#This Row],[_Res1Row]]),TRIM(LEFT(Tasks[[#This Row],[_Res1Text]],FIND("[",Tasks[[#This Row],[_Res1Text]]&amp;"[")-1))))</f>
        <v/>
      </c>
      <c r="DM15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0" s="42" t="n">
        <f aca="false">IF(NOT(Tasks[[#This Row],[_IsLeaf]]=1),0,(Tasks[[#This Row],[_Resource1]]&lt;&gt;"")+(Tasks[[#This Row],[_Res2]]&lt;&gt;"")+(Tasks[[#This Row],[_Res3]]&lt;&gt;"")+(Tasks[[#This Row],[_Res4]]&lt;&gt;""))</f>
        <v>0</v>
      </c>
      <c r="DO150" s="42" t="str">
        <f aca="false">IF(Tasks[[#This Row],[_Res2Text]]="","",IF(Tasks[[#This Row],[_Res2Row]]&gt;0,INDEX(res_Name,Tasks[[#This Row],[_Res2Row]]),TRIM(LEFT(Tasks[[#This Row],[_Res2Text]],FIND("[",Tasks[[#This Row],[_Res2Text]]&amp;"[")-1))))</f>
        <v/>
      </c>
      <c r="DP15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0" s="42" t="n">
        <f aca="false">IF(OR(NOT(Tasks[[#This Row],[_IsLeaf]]=1),Tasks[[#This Row],[_Res2Row]]=0),0,N(Tasks[[#This Row],[_Days]])*HoursPerDay*IF(Tasks[[#This Row],[_Res2Units]]="",DefaultUnits,Tasks[[#This Row],[_Res2Units]]))</f>
        <v>0</v>
      </c>
      <c r="DR150" s="42" t="n">
        <f aca="false">IF(AND(AND(Tasks[[#This Row],[_IsLeaf]]=1,Tasks[[#This Row],[_LeafTotalWork]]&gt;0),Tasks[[#This Row],[_Res2Work]]&gt;0),Tasks[[#This Row],[_Res2Work]]/(Tasks[[#This Row],[_FinishWorkday]]-Tasks[[#This Row],[_StartWorkday]]+1),0)</f>
        <v>0</v>
      </c>
      <c r="DS150" s="42" t="n">
        <f aca="false">Tasks[[#This Row],[_Res2WorkPerWD]]*MAX(0,Tasks[[#This Row],[_StartWorkday]]-1)</f>
        <v>0</v>
      </c>
      <c r="DT150" s="42" t="n">
        <f aca="false">Tasks[[#This Row],[_Res2Work]]*Tasks[[#This Row],[_LeafProgress]]</f>
        <v>0</v>
      </c>
      <c r="DU150" s="42" t="str">
        <f aca="false">IF(Tasks[[#This Row],[_Res3Text]]="","",IF(Tasks[[#This Row],[_Res3Row]]&gt;0,INDEX(res_Name,Tasks[[#This Row],[_Res3Row]]),TRIM(LEFT(Tasks[[#This Row],[_Res3Text]],FIND("[",Tasks[[#This Row],[_Res3Text]]&amp;"[")-1))))</f>
        <v/>
      </c>
      <c r="DV15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0" s="42" t="n">
        <f aca="false">IF(OR(NOT(Tasks[[#This Row],[_IsLeaf]]=1),Tasks[[#This Row],[_Res3Row]]=0),0,N(Tasks[[#This Row],[_Days]])*HoursPerDay*IF(Tasks[[#This Row],[_Res3Units]]="",DefaultUnits,Tasks[[#This Row],[_Res3Units]]))</f>
        <v>0</v>
      </c>
      <c r="DX150" s="42" t="n">
        <f aca="false">IF(AND(AND(Tasks[[#This Row],[_IsLeaf]]=1,Tasks[[#This Row],[_LeafTotalWork]]&gt;0),Tasks[[#This Row],[_Res3Work]]&gt;0),Tasks[[#This Row],[_Res3Work]]/(Tasks[[#This Row],[_FinishWorkday]]-Tasks[[#This Row],[_StartWorkday]]+1),0)</f>
        <v>0</v>
      </c>
      <c r="DY150" s="42" t="n">
        <f aca="false">Tasks[[#This Row],[_Res3WorkPerWD]]*MAX(0,Tasks[[#This Row],[_StartWorkday]]-1)</f>
        <v>0</v>
      </c>
      <c r="DZ150" s="42" t="n">
        <f aca="false">Tasks[[#This Row],[_Res3Work]]*Tasks[[#This Row],[_LeafProgress]]</f>
        <v>0</v>
      </c>
      <c r="EA150" s="42" t="str">
        <f aca="false">IF(Tasks[[#This Row],[_Res4Text]]="","",IF(Tasks[[#This Row],[_Res4Row]]&gt;0,INDEX(res_Name,Tasks[[#This Row],[_Res4Row]]),TRIM(LEFT(Tasks[[#This Row],[_Res4Text]],FIND("[",Tasks[[#This Row],[_Res4Text]]&amp;"[")-1))))</f>
        <v/>
      </c>
      <c r="EB15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0" s="42" t="n">
        <f aca="false">IF(OR(NOT(Tasks[[#This Row],[_IsLeaf]]=1),Tasks[[#This Row],[_Res4Row]]=0),0,N(Tasks[[#This Row],[_Days]])*HoursPerDay*IF(Tasks[[#This Row],[_Res4Units]]="",DefaultUnits,Tasks[[#This Row],[_Res4Units]]))</f>
        <v>0</v>
      </c>
      <c r="ED150" s="42" t="n">
        <f aca="false">IF(AND(AND(Tasks[[#This Row],[_IsLeaf]]=1,Tasks[[#This Row],[_LeafTotalWork]]&gt;0),Tasks[[#This Row],[_Res4Work]]&gt;0),Tasks[[#This Row],[_Res4Work]]/(Tasks[[#This Row],[_FinishWorkday]]-Tasks[[#This Row],[_StartWorkday]]+1),0)</f>
        <v>0</v>
      </c>
      <c r="EE150" s="42" t="n">
        <f aca="false">Tasks[[#This Row],[_Res4WorkPerWD]]*MAX(0,Tasks[[#This Row],[_StartWorkday]]-1)</f>
        <v>0</v>
      </c>
      <c r="EF150" s="42" t="n">
        <f aca="false">Tasks[[#This Row],[_Res4Work]]*Tasks[[#This Row],[_LeafProgress]]</f>
        <v>0</v>
      </c>
      <c r="EG150" s="42" t="n">
        <f aca="false">IF(ISNUMBER(Tasks[[#This Row],[% Complete]]),Tasks[[#This Row],[% Complete]],IF(Tasks[[#This Row],[Stage]]="",0,IFERROR(INDEX(stg_Pct,MATCH(Tasks[[#This Row],[Stage]],stg_Name,0)),0)))</f>
        <v>0</v>
      </c>
      <c r="EH150" s="42" t="n">
        <f aca="false">IF(NOT(Tasks[[#This Row],[_IsLeaf]]=1),0,IF(N(Tasks[[#This Row],[Actual Finish]])&gt;0,1,MIN(1,Tasks[[#This Row],[_Pct]])))</f>
        <v>0</v>
      </c>
      <c r="EI150" s="42" t="n">
        <f aca="false">IF(OR(NOT(Tasks[[#This Row],[_IsLeaf]]=1),Tasks[[#This Row],[_Res1Row]]=0),0,N(Tasks[[#This Row],[_Days]])*HoursPerDay*IF(Tasks[[#This Row],[_Units1]]="",DefaultUnits,Tasks[[#This Row],[_Units1]]))</f>
        <v>0</v>
      </c>
      <c r="EJ150" s="42" t="n">
        <f aca="false">Tasks[[#This Row],[_LeafWork]]+Tasks[[#This Row],[_Res2Work]]+Tasks[[#This Row],[_Res3Work]]+Tasks[[#This Row],[_Res4Work]]</f>
        <v>0</v>
      </c>
      <c r="EK15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0" s="42" t="n">
        <f aca="false">IF(NOT(Tasks[[#This Row],[_IsLeaf]]=1),0,MAX(_xlfn.MAXIFS(Tasks[_Row],Tasks[_Pred1UID],Tasks[[#This Row],[UID]]),_xlfn.MAXIFS(Tasks[_Row],Tasks[_Pred2UID],Tasks[[#This Row],[UID]]),_xlfn.MAXIFS(Tasks[_Row],Tasks[_Pred3UID],Tasks[[#This Row],[UID]]),_xlfn.MAXIFS(Tasks[_Row],Tasks[_Pred4UID],Tasks[[#This Row],[UID]])))</f>
        <v>0</v>
      </c>
      <c r="ET15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0" s="89" t="str">
        <f aca="false">IF(NOT(Tasks[[#This Row],[_IsLeaf]]=1),"",IF(N(Tasks[[#This Row],[_Days]])&lt;=0,Tasks[[#This Row],[_LeafLateFinish]],WORKDAY.INTL(Tasks[[#This Row],[_LeafLateFinish]],-(Tasks[[#This Row],[_Days]]-1),WorkWeek,Holidays)))</f>
        <v/>
      </c>
      <c r="EW15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0" s="88" t="b">
        <f aca="false">AND(Tasks[[#This Row],[_IsLeaf]]=1,Tasks[[#This Row],[_LeafProgress]]&lt;1,N(Tasks[[#This Row],[_LeafTotalSlack]])&lt;=CriticalSlackDays)</f>
        <v>0</v>
      </c>
      <c r="EY150" s="42" t="n">
        <f aca="false">IF(AND(Tasks[[#This Row],[_IsLeaf]]=1,Tasks[[#This Row],[_ConstraintCode]]=1,Tasks[[#This Row],[Mode]]&lt;&gt;"Manual",N(Tasks[[#This Row],[Actual Start]])=0),MAX(0,N(Tasks[[#This Row],[Free Slack]])),0)</f>
        <v>0</v>
      </c>
      <c r="EZ150" s="89" t="str">
        <f aca="false">IF(NOT(Tasks[[#This Row],[_IsLeaf]]=1),"",IF(Tasks[[#This Row],[_AlapShift]]=0,Tasks[[#This Row],[_LeafCalcStart]],WORKDAY.INTL(Tasks[[#This Row],[_LeafCalcStart]],Tasks[[#This Row],[_AlapShift]],WorkWeek,Holidays)))</f>
        <v/>
      </c>
      <c r="FA150" s="89" t="str">
        <f aca="false">IF(NOT(Tasks[[#This Row],[_IsLeaf]]=1),"",IF(Tasks[[#This Row],[_AlapShift]]=0,Tasks[[#This Row],[_LeafCalcFinish]],WORKDAY.INTL(Tasks[[#This Row],[_LeafCalcFinish]],Tasks[[#This Row],[_AlapShift]],WorkWeek,Holidays)))</f>
        <v/>
      </c>
      <c r="FB150" s="89" t="str">
        <f aca="false">IF(NOT(Tasks[[#This Row],[_IsLeaf]]=1),"",IF(Tasks[[#This Row],[_AlapShift]]=0,Tasks[[#This Row],[_LeafFcstStart]],WORKDAY.INTL(Tasks[[#This Row],[_LeafFcstStart]],Tasks[[#This Row],[_AlapShift]],WorkWeek,Holidays)))</f>
        <v/>
      </c>
      <c r="FC150" s="89" t="str">
        <f aca="false">IF(NOT(Tasks[[#This Row],[_IsLeaf]]=1),"",IF(Tasks[[#This Row],[_AlapShift]]=0,Tasks[[#This Row],[_LeafFcstFinish]],WORKDAY.INTL(Tasks[[#This Row],[_LeafFcstFinish]],Tasks[[#This Row],[_AlapShift]],WorkWeek,Holidays)))</f>
        <v/>
      </c>
      <c r="FD150" s="89" t="str">
        <f aca="false">IF(Tasks[[#This Row],[Task Name]]="","",IF(Tasks[[#This Row],[_IsSummary]],MIN(INDEX(Tasks[_ShownCalcStart],Tasks[[#This Row],[_Row]]+1):INDEX(Tasks[_ShownCalcStart],Tasks[[#This Row],[_Row]]+Tasks[[#This Row],[_Descendants]])),Tasks[[#This Row],[_ShownCalcStart]]))</f>
        <v/>
      </c>
      <c r="FE150" s="89" t="str">
        <f aca="false">IF(Tasks[[#This Row],[Task Name]]="","",IF(Tasks[[#This Row],[_IsSummary]],MAX(INDEX(Tasks[_ShownCalcFinish],Tasks[[#This Row],[_Row]]+1):INDEX(Tasks[_ShownCalcFinish],Tasks[[#This Row],[_Row]]+Tasks[[#This Row],[_Descendants]])),Tasks[[#This Row],[_ShownCalcFinish]]))</f>
        <v/>
      </c>
      <c r="FF15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0" s="42" t="n">
        <f aca="false">IF(AND(Tasks[[#This Row],[_IsLeaf]]=1,Tasks[[#This Row],[_LeafTotalWork]]&gt;0),NETWORKDAYS.INTL(ProjectStart,Tasks[[#This Row],[_ShownFcstStart]],WorkWeek,Holidays),0)</f>
        <v>0</v>
      </c>
      <c r="FS150" s="42" t="n">
        <f aca="false">IF(AND(Tasks[[#This Row],[_IsLeaf]]=1,Tasks[[#This Row],[_LeafTotalWork]]&gt;0),MAX(Tasks[[#This Row],[_StartWorkday]],NETWORKDAYS.INTL(ProjectStart,Tasks[[#This Row],[_ShownFcstFinish]],WorkWeek,Holidays)),0)</f>
        <v>0</v>
      </c>
      <c r="FT150" s="42" t="n">
        <f aca="false">IF(AND(Tasks[[#This Row],[_IsLeaf]]=1,Tasks[[#This Row],[_LeafTotalWork]]&gt;0),Tasks[[#This Row],[_LeafWork]]/(Tasks[[#This Row],[_FinishWorkday]]-Tasks[[#This Row],[_StartWorkday]]+1),0)</f>
        <v>0</v>
      </c>
      <c r="FU150" s="42" t="n">
        <f aca="false">Tasks[[#This Row],[_WorkPerWorkday]]*(Tasks[[#This Row],[_StartWorkday]]-1)</f>
        <v>-0</v>
      </c>
      <c r="FV150" s="42" t="n">
        <f aca="false">IF(Tasks[[#This Row],[_IsLeaf]]=1,MAX(N(Tasks[[#This Row],[_Days]]),0.1),0)</f>
        <v>0</v>
      </c>
      <c r="FW150" s="42" t="n">
        <f aca="false">Tasks[[#This Row],[_WeightDur]]*Tasks[[#This Row],[_LeafProgress]]</f>
        <v>0</v>
      </c>
      <c r="FX150" s="42" t="n">
        <f aca="false">Tasks[[#This Row],[_WeightDur]]*Tasks[[#This Row],[_PlannedPct]]</f>
        <v>0</v>
      </c>
      <c r="FY15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0" s="42" t="str">
        <f aca="false">IF(AND(Tasks[[#This Row],[_IsLeaf]]=1,N(Tasks[[#This Row],[_Days]])=0,Tasks[[#This Row],[_LeafProgress]]&lt;1),Tasks[[#This Row],[_ShownFcstFinish]]+Tasks[[#This Row],[_Row]]/100000,"")</f>
        <v/>
      </c>
      <c r="GA15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0" s="42" t="str">
        <f aca="false">IF(Tasks[[#This Row],[Task Name]]="","",LEFT(Tasks[[#This Row],[WBS]],FIND(".",Tasks[[#This Row],[WBS]]&amp;".")-1))</f>
        <v/>
      </c>
      <c r="GC150" s="42" t="str">
        <f aca="false">IF(AND(Tasks[[#This Row],[Task Name]]&lt;&gt;"",Tasks[[#This Row],[_Level]]=1),Tasks[[#This Row],[_Row]],"")</f>
        <v/>
      </c>
      <c r="GD150" s="42" t="str">
        <f aca="false">IF(AND(Tasks[[#This Row],[_IsLeaf]]=1,N(Tasks[[#This Row],[_Days]])=0),Tasks[[#This Row],[Planned Finish]]+Tasks[[#This Row],[_Row]]/100000,"")</f>
        <v/>
      </c>
      <c r="GE150" s="42" t="str">
        <f aca="false">IF(AND(Tasks[[#This Row],[_IsLeaf]]=1,Tasks[[#This Row],[_LeafProgress]]&lt;1,OR(N(Tasks[[#This Row],[Finish Var]])&gt;0,Tasks[[#This Row],[Status]]="Late Start")),MAX(0,Tasks[[#This Row],[Finish Var]])+1-Tasks[[#This Row],[_Row]]/1000000,"")</f>
        <v/>
      </c>
      <c r="GF150" s="42" t="str">
        <f aca="false">IF(AND(Tasks[[#This Row],[_IsLeaf]]=1,N(Tasks[[#This Row],[Actual Start]])=0,Tasks[[#This Row],[_ShownFcstStart]]&gt;=StatusDate,Tasks[[#This Row],[_ShownFcstStart]]&lt;=LookaheadEnd),Tasks[[#This Row],[_ShownFcstStart]]+Tasks[[#This Row],[_Row]]/100000,"")</f>
        <v/>
      </c>
      <c r="GG150" s="42" t="str">
        <f aca="false">IF(AND(Tasks[[#This Row],[_IsLeaf]]=1,Tasks[[#This Row],[_LeafProgress]]&lt;1,Tasks[[#This Row],[_ShownFcstFinish]]&gt;=StatusDate,Tasks[[#This Row],[_ShownFcstFinish]]&lt;=LookaheadEnd),Tasks[[#This Row],[_ShownFcstFinish]]+Tasks[[#This Row],[_Row]]/100000,"")</f>
        <v/>
      </c>
      <c r="GH150" s="42" t="str">
        <f aca="false">IF(Tasks[[#This Row],[_LeafCritical]],Tasks[[#This Row],[_ShownFcstStart]]+Tasks[[#This Row],[_Row]]/100000,"")</f>
        <v/>
      </c>
      <c r="GI150" s="42" t="n">
        <f aca="false">Tasks[[#This Row],[_LeafWork]]*Tasks[[#This Row],[_LeafProgress]]</f>
        <v>0</v>
      </c>
      <c r="GJ150" s="89" t="str">
        <f aca="false">IF(AND(Tasks[[#This Row],[_IsLeaf]]=1,Tasks[[#This Row],[_LeafProgress]]&gt;=1),IF(N(Tasks[[#This Row],[Actual Finish]])&gt;0,Tasks[[#This Row],[Actual Finish]],Tasks[[#This Row],[_ShownFcstFinish]]),"")</f>
        <v/>
      </c>
      <c r="GK150" s="42" t="n">
        <f aca="false">IF(Tasks[[#This Row],[_IsLeaf]]=1,N(Tasks[[#This Row],[Story Points]]),0)</f>
        <v>0</v>
      </c>
      <c r="GL150" s="42" t="str">
        <f aca="false">""</f>
        <v/>
      </c>
      <c r="GM150" s="88" t="b">
        <f aca="false">IF(Tasks[[#This Row],[Task Name]]="",FALSE(),AND(Tasks[[#This Row],[_IsLeaf]]=1,N(Tasks[[#This Row],[_Days]])=0))</f>
        <v>0</v>
      </c>
      <c r="GN150" s="89" t="n">
        <f aca="false">IF(Tasks[[#This Row],[Task Name]]="",0,IF(AND(Tasks[[#This Row],[_IsLeaf]]=1,NOT(Tasks[[#This Row],[_IsMilestone]]),N(Tasks[[#This Row],[Progress]])&gt;0),Tasks[[#This Row],[Start]],0))</f>
        <v>0</v>
      </c>
      <c r="GO150" s="89" t="n">
        <f aca="false">IF(Tasks[[#This Row],[_DoneFrom]]=0,0,IF(Tasks[[#This Row],[Progress]]&gt;=1,Tasks[[#This Row],[Finish]],MAX(Tasks[[#This Row],[_DoneFrom]],Tasks[[#This Row],[Start]]+ROUND((Tasks[[#This Row],[Finish]]-Tasks[[#This Row],[Start]]+1)*Tasks[[#This Row],[Progress]],0)-1)))</f>
        <v>0</v>
      </c>
      <c r="GP150" s="89" t="n">
        <f aca="false">IF(Tasks[[#This Row],[Task Name]]="",0,IF(OR(NOT(Tasks[[#This Row],[_IsLeaf]]=1),Tasks[[#This Row],[_IsMilestone]],N(Tasks[[#This Row],[Progress]])&gt;=1),0,IF(Tasks[[#This Row],[_DoneTo]]&gt;0,Tasks[[#This Row],[_DoneTo]]+1,Tasks[[#This Row],[Start]])))</f>
        <v>0</v>
      </c>
      <c r="GQ150" s="89" t="n">
        <f aca="false">IF(Tasks[[#This Row],[_RemFrom]]=0,0,Tasks[[#This Row],[Finish]])</f>
        <v>0</v>
      </c>
      <c r="GR150" s="88" t="b">
        <f aca="false">IF(Tasks[[#This Row],[Task Name]]="",FALSE(),OR(NOT(BaselineSet),N(Tasks[[#This Row],[Baseline Start]])&gt;0))</f>
        <v>0</v>
      </c>
      <c r="GS15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0" s="90" t="str">
        <f aca="false">IF(Tasks[[#This Row],[_IsLeaf]]=1,Tasks[[#This Row],[_Row]],"")</f>
        <v/>
      </c>
      <c r="GW150" s="90" t="str">
        <f aca="false">IFERROR(INDEX(Tasks[UID],SMALL(Tasks[_PickKey],Tasks[[#This Row],[_Row]]))&amp;" "&amp;INDEX(Tasks[Task Name],SMALL(Tasks[_PickKey],Tasks[[#This Row],[_Row]])),"")</f>
        <v/>
      </c>
      <c r="GX150" s="42" t="str">
        <f aca="false">IF(Tasks[[#This Row],[Task Name]]="","",IF(Tasks[[#This Row],[_IsSummary]],NETWORKDAYS.INTL(Tasks[[#This Row],[Start]],Tasks[[#This Row],[Finish]],WorkWeek,Holidays),N(Tasks[[#This Row],[_Days]])))</f>
        <v/>
      </c>
    </row>
    <row r="151" customFormat="false" ht="15" hidden="false" customHeight="false" outlineLevel="0" collapsed="false">
      <c r="A151" s="21" t="str">
        <f aca="false">IF(Tasks[[#This Row],[Task Name]]="","",COUNTA(Tasks[[#Headers],[Task Name]]:Tasks[[#This Row],[Task Name]])-1)</f>
        <v/>
      </c>
      <c r="B151" s="22" t="n">
        <v>159</v>
      </c>
      <c r="C151" s="22"/>
      <c r="D151" s="23"/>
      <c r="E151" s="22"/>
      <c r="F151" s="23"/>
      <c r="G151" s="22"/>
      <c r="H151" s="22"/>
      <c r="I151" s="23"/>
      <c r="J151" s="22"/>
      <c r="K151" s="22"/>
      <c r="L151" s="23"/>
      <c r="M151" s="22"/>
      <c r="N151" s="22"/>
      <c r="O151" s="23"/>
      <c r="P151" s="22"/>
      <c r="Q151" s="22"/>
      <c r="R151" s="23"/>
      <c r="S151" s="23"/>
      <c r="T151" s="83"/>
      <c r="U151" s="23"/>
      <c r="V151" s="83"/>
      <c r="W151" s="23"/>
      <c r="X151" s="83"/>
      <c r="Y151" s="23"/>
      <c r="Z151" s="83"/>
      <c r="AA151" s="23"/>
      <c r="AB151" s="23"/>
      <c r="AC151" s="7"/>
      <c r="AD151" s="7"/>
      <c r="AE151" s="62" t="str">
        <f aca="false">IF(Tasks[[#This Row],[Task Name]]="","",IF(Tasks[[#This Row],[_IsSummary]],MIN(INDEX(Tasks[_ShownFcstStart],Tasks[[#This Row],[_Row]]+1):INDEX(Tasks[_ShownFcstStart],Tasks[[#This Row],[_Row]]+Tasks[[#This Row],[_Descendants]])),Tasks[[#This Row],[_ShownFcstStart]]))</f>
        <v/>
      </c>
      <c r="AF151" s="62" t="str">
        <f aca="false">IF(Tasks[[#This Row],[Task Name]]="","",IF(Tasks[[#This Row],[_IsSummary]],MAX(INDEX(Tasks[_ShownFcstFinish],Tasks[[#This Row],[_Row]]+1):INDEX(Tasks[_ShownFcstFinish],Tasks[[#This Row],[_Row]]+Tasks[[#This Row],[_Descendants]])),Tasks[[#This Row],[_ShownFcstFinish]]))</f>
        <v/>
      </c>
      <c r="AG151" s="21" t="str">
        <f aca="false">""</f>
        <v/>
      </c>
      <c r="AH151" s="23"/>
      <c r="AI15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1" s="7"/>
      <c r="AK151" s="22"/>
      <c r="AL151" s="23"/>
      <c r="AM151" s="7"/>
      <c r="AN151" s="46" t="str">
        <f aca="false">IF(Tasks[[#This Row],[Task Name]]="","",IF(Tasks[[#This Row],[Finish]]&gt;=Tasks[[#This Row],[Planned Finish]],NETWORKDAYS.INTL(Tasks[[#This Row],[Planned Finish]],Tasks[[#This Row],[Finish]],WorkWeek,Holidays)-1,1-NETWORKDAYS.INTL(Tasks[[#This Row],[Finish]],Tasks[[#This Row],[Planned Finish]],WorkWeek,Holidays)))</f>
        <v/>
      </c>
      <c r="AO151" s="21" t="str">
        <f aca="false">IF(Tasks[[#This Row],[Task Name]]="","",IF(Tasks[[#This Row],[Progress]]&gt;=1,"Complete",IF(OR(N(Tasks[[#This Row],[Actual Start]])&gt;0,Tasks[[#This Row],[Progress]]&gt;0),IF(Tasks[[#This Row],[Finish Var]]&gt;0,"Behind","In Progress"),IF(Tasks[[#This Row],[Planned Start]]&lt;StatusDate,"Late Start","Not Started"))))</f>
        <v/>
      </c>
      <c r="AP151" s="21" t="str">
        <f aca="false">IF(Tasks[[#This Row],[Task Name]]="","",IF(IF(Tasks[[#This Row],[_IsSummary]],COUNTIF(INDEX(Tasks[_LeafCritical],Tasks[[#This Row],[_Row]]+1):INDEX(Tasks[_LeafCritical],Tasks[[#This Row],[_Row]]+Tasks[[#This Row],[_Descendants]]),TRUE())&gt;0,Tasks[[#This Row],[_LeafCritical]]),"Yes",""))</f>
        <v/>
      </c>
      <c r="AQ151" s="62" t="str">
        <f aca="false">IF(Tasks[[#This Row],[Task Name]]="","",IF(N(Tasks[[#This Row],[Baseline Start]])&gt;0,Tasks[[#This Row],[Baseline Start]],Tasks[[#This Row],[_CalcStart]]))</f>
        <v/>
      </c>
      <c r="AR151" s="62" t="str">
        <f aca="false">IF(Tasks[[#This Row],[Task Name]]="","",IF(N(Tasks[[#This Row],[Baseline Finish]])&gt;0,Tasks[[#This Row],[Baseline Finish]],Tasks[[#This Row],[_CalcFinish]]))</f>
        <v/>
      </c>
      <c r="AS151" s="46" t="str">
        <f aca="false">IF(Tasks[[#This Row],[Task Name]]="","",IF(Tasks[[#This Row],[Start]]&gt;=Tasks[[#This Row],[Planned Start]],NETWORKDAYS.INTL(Tasks[[#This Row],[Planned Start]],Tasks[[#This Row],[Start]],WorkWeek,Holidays)-1,1-NETWORKDAYS.INTL(Tasks[[#This Row],[Start]],Tasks[[#This Row],[Planned Start]],WorkWeek,Holidays)))</f>
        <v/>
      </c>
      <c r="AT151" s="62" t="str">
        <f aca="false">IF(Tasks[[#This Row],[Task Name]]="","",IF(Tasks[[#This Row],[_IsSummary]],MIN(INDEX(Tasks[_LeafLateStart],Tasks[[#This Row],[_Row]]+1):INDEX(Tasks[_LeafLateStart],Tasks[[#This Row],[_Row]]+Tasks[[#This Row],[_Descendants]])),Tasks[[#This Row],[_LeafLateStart]]))</f>
        <v/>
      </c>
      <c r="AU151" s="62" t="str">
        <f aca="false">IF(Tasks[[#This Row],[Task Name]]="","",IF(Tasks[[#This Row],[_IsSummary]],MAX(INDEX(Tasks[_LeafLateFinish],Tasks[[#This Row],[_Row]]+1):INDEX(Tasks[_LeafLateFinish],Tasks[[#This Row],[_Row]]+Tasks[[#This Row],[_Descendants]])),Tasks[[#This Row],[_LeafLateFinish]]))</f>
        <v/>
      </c>
      <c r="AV151" s="46" t="str">
        <f aca="false">IF(Tasks[[#This Row],[Task Name]]="","",IF(Tasks[[#This Row],[_IsSummary]],MIN(INDEX(Tasks[_LeafTotalSlack],Tasks[[#This Row],[_Row]]+1):INDEX(Tasks[_LeafTotalSlack],Tasks[[#This Row],[_Row]]+Tasks[[#This Row],[_Descendants]])),Tasks[[#This Row],[_LeafTotalSlack]]))</f>
        <v/>
      </c>
      <c r="AW15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4"/>
      <c r="BA15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t="str">
        <f aca="false">IF(Tasks[[#This Row],[Task Name]]="","",IF(Tasks[[#This Row],[_Level]]&lt;=OutlineShowLevel,"Yes","No"))</f>
        <v/>
      </c>
      <c r="BE151" s="85" t="str">
        <f aca="false">IF(Tasks[[#This Row],[Task Name]]="","",IF(Tasks[[#This Row],[_IsSummary]],SUM(INDEX(Tasks[_LeafTotalWork],Tasks[[#This Row],[_Row]]+1):INDEX(Tasks[_LeafTotalWork],Tasks[[#This Row],[_Row]]+Tasks[[#This Row],[_Descendants]])),Tasks[[#This Row],[_LeafTotalWork]]))</f>
        <v/>
      </c>
      <c r="BF151" s="23"/>
      <c r="BG15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t="str">
        <f aca="false">""</f>
        <v/>
      </c>
      <c r="BI151" s="86"/>
      <c r="BJ151" s="22"/>
      <c r="BK151" s="46" t="str">
        <f aca="false">IF(OR(Tasks[[#This Row],[Task Name]]="",Tasks[[#This Row],[Baseline Duration]]=""),"",Tasks[[#This Row],[_SpanDays]]-N(Tasks[[#This Row],[Baseline Duration]]))</f>
        <v/>
      </c>
      <c r="BL151" s="85" t="str">
        <f aca="false">IF(OR(Tasks[[#This Row],[Task Name]]="",Tasks[[#This Row],[Baseline Work]]=""),"",Tasks[[#This Row],[Work]]-N(Tasks[[#This Row],[Baseline Work]]))</f>
        <v/>
      </c>
      <c r="BM151" s="62" t="str">
        <f aca="false">IF(Tasks[[#This Row],[Task Name]]="","",IF(OR(TakeBaseline="Yes",N(Tasks[[#This Row],[Baseline Start]])=0),Tasks[[#This Row],[Start]],Tasks[[#This Row],[Baseline Start]]))</f>
        <v/>
      </c>
      <c r="BN151" s="62" t="str">
        <f aca="false">IF(Tasks[[#This Row],[Task Name]]="","",IF(OR(TakeBaseline="Yes",N(Tasks[[#This Row],[Baseline Finish]])=0),Tasks[[#This Row],[Finish]],Tasks[[#This Row],[Baseline Finish]]))</f>
        <v/>
      </c>
      <c r="BO151" s="21" t="str">
        <f aca="false">IF(Tasks[[#This Row],[Task Name]]="","",IF(OR(TakeBaseline="Yes",N(Tasks[[#This Row],[Baseline Duration]])=0),Tasks[[#This Row],[_SpanDays]],Tasks[[#This Row],[Baseline Duration]]))</f>
        <v/>
      </c>
      <c r="BP151" s="85" t="str">
        <f aca="false">IF(Tasks[[#This Row],[Task Name]]="","",IF(OR(TakeBaseline="Yes",N(Tasks[[#This Row],[Baseline Work]])=0),Tasks[[#This Row],[Work]],Tasks[[#This Row],[Baseline Work]]))</f>
        <v/>
      </c>
      <c r="BQ151" s="7"/>
      <c r="BR151" s="7"/>
      <c r="BS151" s="22"/>
      <c r="BT151" s="87"/>
      <c r="BU151" s="42" t="str">
        <f aca="false">IF(Tasks[[#This Row],[Task Name]]="","",MAX(1,N(Tasks[[#This Row],[Level]])))</f>
        <v/>
      </c>
      <c r="BV151" s="42" t="n">
        <f aca="false">ROW()-ROW(Tasks[[#Headers],[ID]])</f>
        <v>146</v>
      </c>
      <c r="BW151" s="42" t="n">
        <f aca="false">IF(OR(Tasks[[#This Row],[Task Name]]="",Tasks[[#This Row],[_Level]]&lt;=1),0,IFERROR(LOOKUP(2,1/(Tasks[[#Headers],[_Level]]:Tasks[[#This Row],[_Level]]=Tasks[[#This Row],[_Level]]-1),ROW(Tasks[[#Headers],[_Level]]:Tasks[[#This Row],[_Level]])),0))</f>
        <v>0</v>
      </c>
      <c r="BX151" s="42" t="n">
        <f aca="false">IFERROR(N(INDEX(Tasks[_Level],Tasks[[#This Row],[_Row]]+1)),0)</f>
        <v>0</v>
      </c>
      <c r="BY151" s="88" t="b">
        <f aca="false">AND(Tasks[[#This Row],[Task Name]]&lt;&gt;"",Tasks[[#This Row],[_NextLevel]]&gt;Tasks[[#This Row],[_Level]])</f>
        <v>0</v>
      </c>
      <c r="BZ151" s="42" t="n">
        <f aca="false">IF(Tasks[[#This Row],[_IsSummary]],COUNTIF(Tasks[WBS],Tasks[[#This Row],[WBS]]&amp;".*"),0)</f>
        <v>0</v>
      </c>
      <c r="CA151" s="42" t="n">
        <f aca="false">IF(AND(Tasks[[#This Row],[Task Name]]&lt;&gt;"",NOT(Tasks[[#This Row],[_IsSummary]])),1,0)</f>
        <v>0</v>
      </c>
      <c r="CB151" s="42" t="n">
        <f aca="false">IF(N(Tasks[[#This Row],[_Pred1UID]])=0,0,IFERROR(MATCH(Tasks[[#This Row],[_Pred1UID]],Tasks[UID],0),-1))</f>
        <v>0</v>
      </c>
      <c r="CC151" s="42" t="n">
        <f aca="false">IF(N(Tasks[[#This Row],[_Pred2UID]])=0,0,IFERROR(MATCH(Tasks[[#This Row],[_Pred2UID]],Tasks[UID],0),-1))</f>
        <v>0</v>
      </c>
      <c r="CD151" s="42" t="n">
        <f aca="false">IF(N(Tasks[[#This Row],[_Pred3UID]])=0,0,IFERROR(MATCH(Tasks[[#This Row],[_Pred3UID]],Tasks[UID],0),-1))</f>
        <v>0</v>
      </c>
      <c r="CE151" s="42" t="n">
        <f aca="false">IF(N(Tasks[[#This Row],[_Pred4UID]])=0,0,IFERROR(MATCH(Tasks[[#This Row],[_Pred4UID]],Tasks[UID],0),-1))</f>
        <v>0</v>
      </c>
      <c r="CF15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1" s="89" t="n">
        <f aca="false">IF(OR(Tasks[[#This Row],[_ConstraintCode]]=2,Tasks[[#This Row],[_ConstraintCode]]=3,Tasks[[#This Row],[_ConstraintCode]]=4,Tasks[[#This Row],[_ConstraintCode]]=6),Tasks[[#This Row],[_ConstraintStart]],0)</f>
        <v>0</v>
      </c>
      <c r="CI151" s="89" t="n">
        <f aca="false">IF(OR(Tasks[[#This Row],[_ConstraintCode]]=2,Tasks[[#This Row],[_ConstraintCode]]=3,Tasks[[#This Row],[_ConstraintCode]]=5,Tasks[[#This Row],[_ConstraintCode]]=7),Tasks[[#This Row],[_ConstraintStart]],2958465)</f>
        <v>2958465</v>
      </c>
      <c r="CJ15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1" s="89" t="str">
        <f aca="false">IF(NOT(Tasks[[#This Row],[_IsLeaf]]=1),"",IF(N(Tasks[[#This Row],[_Days]])&lt;=0,Tasks[[#This Row],[_LeafCalcStart]],WORKDAY.INTL(Tasks[[#This Row],[_LeafCalcStart]],Tasks[[#This Row],[_Days]]-1,WorkWeek,Holidays)))</f>
        <v/>
      </c>
      <c r="CL15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1" s="42" t="str">
        <f aca="false">IF(Tasks[[#This Row],[_Predecessors]]="","",TRIM(MID(SUBSTITUTE(SUBSTITUTE(SUBSTITUTE(UPPER(Tasks[[#This Row],[_Predecessors]]),";",",")," ",""),",",REPT(" ",99)),1,99)))</f>
        <v/>
      </c>
      <c r="CO151" s="42" t="str">
        <f aca="false">IF(Tasks[[#This Row],[_Pred1Text]]="","",IFERROR(VALUE(LEFT(Tasks[[#This Row],[_Pred1Text]],MIN(FIND("F",Tasks[[#This Row],[_Pred1Text]]&amp;"F"),FIND("S",Tasks[[#This Row],[_Pred1Text]]&amp;"S"),FIND("+",Tasks[[#This Row],[_Pred1Text]]&amp;"+"),FIND("-",Tasks[[#This Row],[_Pred1Text]]&amp;"-"))-1)),""))</f>
        <v/>
      </c>
      <c r="CP15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1" s="42" t="str">
        <f aca="false">IF(Tasks[[#This Row],[_Pred1Text]]="","",TRIM(MID(SUBSTITUTE(SUBSTITUTE(SUBSTITUTE(UPPER(Tasks[[#This Row],[_Predecessors]]),";",",")," ",""),",",REPT(" ",99)),100,99)))</f>
        <v/>
      </c>
      <c r="CS151" s="42" t="str">
        <f aca="false">IF(Tasks[[#This Row],[_Pred2Text]]="","",IFERROR(VALUE(LEFT(Tasks[[#This Row],[_Pred2Text]],MIN(FIND("F",Tasks[[#This Row],[_Pred2Text]]&amp;"F"),FIND("S",Tasks[[#This Row],[_Pred2Text]]&amp;"S"),FIND("+",Tasks[[#This Row],[_Pred2Text]]&amp;"+"),FIND("-",Tasks[[#This Row],[_Pred2Text]]&amp;"-"))-1)),""))</f>
        <v/>
      </c>
      <c r="CT15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1" s="42" t="str">
        <f aca="false">IF(Tasks[[#This Row],[_Pred2Text]]="","",TRIM(MID(SUBSTITUTE(SUBSTITUTE(SUBSTITUTE(UPPER(Tasks[[#This Row],[_Predecessors]]),";",",")," ",""),",",REPT(" ",99)),199,99)))</f>
        <v/>
      </c>
      <c r="CW151" s="42" t="str">
        <f aca="false">IF(Tasks[[#This Row],[_Pred3Text]]="","",IFERROR(VALUE(LEFT(Tasks[[#This Row],[_Pred3Text]],MIN(FIND("F",Tasks[[#This Row],[_Pred3Text]]&amp;"F"),FIND("S",Tasks[[#This Row],[_Pred3Text]]&amp;"S"),FIND("+",Tasks[[#This Row],[_Pred3Text]]&amp;"+"),FIND("-",Tasks[[#This Row],[_Pred3Text]]&amp;"-"))-1)),""))</f>
        <v/>
      </c>
      <c r="CX15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1" s="42" t="str">
        <f aca="false">IF(Tasks[[#This Row],[_Pred3Text]]="","",TRIM(MID(SUBSTITUTE(SUBSTITUTE(SUBSTITUTE(UPPER(Tasks[[#This Row],[_Predecessors]]),";",",")," ",""),",",REPT(" ",99)),298,99)))</f>
        <v/>
      </c>
      <c r="DA151" s="42" t="str">
        <f aca="false">IF(Tasks[[#This Row],[_Pred4Text]]="","",IFERROR(VALUE(LEFT(Tasks[[#This Row],[_Pred4Text]],MIN(FIND("F",Tasks[[#This Row],[_Pred4Text]]&amp;"F"),FIND("S",Tasks[[#This Row],[_Pred4Text]]&amp;"S"),FIND("+",Tasks[[#This Row],[_Pred4Text]]&amp;"+"),FIND("-",Tasks[[#This Row],[_Pred4Text]]&amp;"-"))-1)),""))</f>
        <v/>
      </c>
      <c r="DB15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1" s="42" t="str">
        <f aca="false">IF(OR(Tasks[[#This Row],[Task Name]]="",Tasks[[#This Row],[_Resources]]=""),"",TRIM(MID(SUBSTITUTE(Tasks[[#This Row],[_Resources]],",",REPT(" ",99)),1,99)))</f>
        <v/>
      </c>
      <c r="DE151" s="42" t="str">
        <f aca="false">IF(Tasks[[#This Row],[_Res1Text]]="","",TRIM(MID(SUBSTITUTE(Tasks[[#This Row],[_Resources]],",",REPT(" ",99)),100,99)))</f>
        <v/>
      </c>
      <c r="DF151" s="42" t="str">
        <f aca="false">IF(Tasks[[#This Row],[_Res2Text]]="","",TRIM(MID(SUBSTITUTE(Tasks[[#This Row],[_Resources]],",",REPT(" ",99)),199,99)))</f>
        <v/>
      </c>
      <c r="DG151" s="42" t="str">
        <f aca="false">IF(Tasks[[#This Row],[_Res3Text]]="","",TRIM(MID(SUBSTITUTE(Tasks[[#This Row],[_Resources]],",",REPT(" ",99)),298,99)))</f>
        <v/>
      </c>
      <c r="DH151" s="42" t="n">
        <f aca="false">IF(Tasks[[#This Row],[_Res1Text]]="",0,IFERROR(MATCH(TRIM(LEFT(Tasks[[#This Row],[_Res1Text]],FIND("[",Tasks[[#This Row],[_Res1Text]]&amp;"[")-1)),res_Name,0),IFERROR(MATCH(TRIM(LEFT(Tasks[[#This Row],[_Res1Text]],FIND("[",Tasks[[#This Row],[_Res1Text]]&amp;"[")-1)),res_Initials,0),0)))</f>
        <v>0</v>
      </c>
      <c r="DI151" s="42" t="n">
        <f aca="false">IF(Tasks[[#This Row],[_Res2Text]]="",0,IFERROR(MATCH(TRIM(LEFT(Tasks[[#This Row],[_Res2Text]],FIND("[",Tasks[[#This Row],[_Res2Text]]&amp;"[")-1)),res_Name,0),IFERROR(MATCH(TRIM(LEFT(Tasks[[#This Row],[_Res2Text]],FIND("[",Tasks[[#This Row],[_Res2Text]]&amp;"[")-1)),res_Initials,0),0)))</f>
        <v>0</v>
      </c>
      <c r="DJ151" s="42" t="n">
        <f aca="false">IF(Tasks[[#This Row],[_Res3Text]]="",0,IFERROR(MATCH(TRIM(LEFT(Tasks[[#This Row],[_Res3Text]],FIND("[",Tasks[[#This Row],[_Res3Text]]&amp;"[")-1)),res_Name,0),IFERROR(MATCH(TRIM(LEFT(Tasks[[#This Row],[_Res3Text]],FIND("[",Tasks[[#This Row],[_Res3Text]]&amp;"[")-1)),res_Initials,0),0)))</f>
        <v>0</v>
      </c>
      <c r="DK151" s="42" t="n">
        <f aca="false">IF(Tasks[[#This Row],[_Res4Text]]="",0,IFERROR(MATCH(TRIM(LEFT(Tasks[[#This Row],[_Res4Text]],FIND("[",Tasks[[#This Row],[_Res4Text]]&amp;"[")-1)),res_Name,0),IFERROR(MATCH(TRIM(LEFT(Tasks[[#This Row],[_Res4Text]],FIND("[",Tasks[[#This Row],[_Res4Text]]&amp;"[")-1)),res_Initials,0),0)))</f>
        <v>0</v>
      </c>
      <c r="DL151" s="42" t="str">
        <f aca="false">IF(Tasks[[#This Row],[_Res1Text]]="","",IF(Tasks[[#This Row],[_Res1Row]]&gt;0,INDEX(res_Name,Tasks[[#This Row],[_Res1Row]]),TRIM(LEFT(Tasks[[#This Row],[_Res1Text]],FIND("[",Tasks[[#This Row],[_Res1Text]]&amp;"[")-1))))</f>
        <v/>
      </c>
      <c r="DM15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1" s="42" t="n">
        <f aca="false">IF(NOT(Tasks[[#This Row],[_IsLeaf]]=1),0,(Tasks[[#This Row],[_Resource1]]&lt;&gt;"")+(Tasks[[#This Row],[_Res2]]&lt;&gt;"")+(Tasks[[#This Row],[_Res3]]&lt;&gt;"")+(Tasks[[#This Row],[_Res4]]&lt;&gt;""))</f>
        <v>0</v>
      </c>
      <c r="DO151" s="42" t="str">
        <f aca="false">IF(Tasks[[#This Row],[_Res2Text]]="","",IF(Tasks[[#This Row],[_Res2Row]]&gt;0,INDEX(res_Name,Tasks[[#This Row],[_Res2Row]]),TRIM(LEFT(Tasks[[#This Row],[_Res2Text]],FIND("[",Tasks[[#This Row],[_Res2Text]]&amp;"[")-1))))</f>
        <v/>
      </c>
      <c r="DP15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1" s="42" t="n">
        <f aca="false">IF(OR(NOT(Tasks[[#This Row],[_IsLeaf]]=1),Tasks[[#This Row],[_Res2Row]]=0),0,N(Tasks[[#This Row],[_Days]])*HoursPerDay*IF(Tasks[[#This Row],[_Res2Units]]="",DefaultUnits,Tasks[[#This Row],[_Res2Units]]))</f>
        <v>0</v>
      </c>
      <c r="DR151" s="42" t="n">
        <f aca="false">IF(AND(AND(Tasks[[#This Row],[_IsLeaf]]=1,Tasks[[#This Row],[_LeafTotalWork]]&gt;0),Tasks[[#This Row],[_Res2Work]]&gt;0),Tasks[[#This Row],[_Res2Work]]/(Tasks[[#This Row],[_FinishWorkday]]-Tasks[[#This Row],[_StartWorkday]]+1),0)</f>
        <v>0</v>
      </c>
      <c r="DS151" s="42" t="n">
        <f aca="false">Tasks[[#This Row],[_Res2WorkPerWD]]*MAX(0,Tasks[[#This Row],[_StartWorkday]]-1)</f>
        <v>0</v>
      </c>
      <c r="DT151" s="42" t="n">
        <f aca="false">Tasks[[#This Row],[_Res2Work]]*Tasks[[#This Row],[_LeafProgress]]</f>
        <v>0</v>
      </c>
      <c r="DU151" s="42" t="str">
        <f aca="false">IF(Tasks[[#This Row],[_Res3Text]]="","",IF(Tasks[[#This Row],[_Res3Row]]&gt;0,INDEX(res_Name,Tasks[[#This Row],[_Res3Row]]),TRIM(LEFT(Tasks[[#This Row],[_Res3Text]],FIND("[",Tasks[[#This Row],[_Res3Text]]&amp;"[")-1))))</f>
        <v/>
      </c>
      <c r="DV15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1" s="42" t="n">
        <f aca="false">IF(OR(NOT(Tasks[[#This Row],[_IsLeaf]]=1),Tasks[[#This Row],[_Res3Row]]=0),0,N(Tasks[[#This Row],[_Days]])*HoursPerDay*IF(Tasks[[#This Row],[_Res3Units]]="",DefaultUnits,Tasks[[#This Row],[_Res3Units]]))</f>
        <v>0</v>
      </c>
      <c r="DX151" s="42" t="n">
        <f aca="false">IF(AND(AND(Tasks[[#This Row],[_IsLeaf]]=1,Tasks[[#This Row],[_LeafTotalWork]]&gt;0),Tasks[[#This Row],[_Res3Work]]&gt;0),Tasks[[#This Row],[_Res3Work]]/(Tasks[[#This Row],[_FinishWorkday]]-Tasks[[#This Row],[_StartWorkday]]+1),0)</f>
        <v>0</v>
      </c>
      <c r="DY151" s="42" t="n">
        <f aca="false">Tasks[[#This Row],[_Res3WorkPerWD]]*MAX(0,Tasks[[#This Row],[_StartWorkday]]-1)</f>
        <v>0</v>
      </c>
      <c r="DZ151" s="42" t="n">
        <f aca="false">Tasks[[#This Row],[_Res3Work]]*Tasks[[#This Row],[_LeafProgress]]</f>
        <v>0</v>
      </c>
      <c r="EA151" s="42" t="str">
        <f aca="false">IF(Tasks[[#This Row],[_Res4Text]]="","",IF(Tasks[[#This Row],[_Res4Row]]&gt;0,INDEX(res_Name,Tasks[[#This Row],[_Res4Row]]),TRIM(LEFT(Tasks[[#This Row],[_Res4Text]],FIND("[",Tasks[[#This Row],[_Res4Text]]&amp;"[")-1))))</f>
        <v/>
      </c>
      <c r="EB15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1" s="42" t="n">
        <f aca="false">IF(OR(NOT(Tasks[[#This Row],[_IsLeaf]]=1),Tasks[[#This Row],[_Res4Row]]=0),0,N(Tasks[[#This Row],[_Days]])*HoursPerDay*IF(Tasks[[#This Row],[_Res4Units]]="",DefaultUnits,Tasks[[#This Row],[_Res4Units]]))</f>
        <v>0</v>
      </c>
      <c r="ED151" s="42" t="n">
        <f aca="false">IF(AND(AND(Tasks[[#This Row],[_IsLeaf]]=1,Tasks[[#This Row],[_LeafTotalWork]]&gt;0),Tasks[[#This Row],[_Res4Work]]&gt;0),Tasks[[#This Row],[_Res4Work]]/(Tasks[[#This Row],[_FinishWorkday]]-Tasks[[#This Row],[_StartWorkday]]+1),0)</f>
        <v>0</v>
      </c>
      <c r="EE151" s="42" t="n">
        <f aca="false">Tasks[[#This Row],[_Res4WorkPerWD]]*MAX(0,Tasks[[#This Row],[_StartWorkday]]-1)</f>
        <v>0</v>
      </c>
      <c r="EF151" s="42" t="n">
        <f aca="false">Tasks[[#This Row],[_Res4Work]]*Tasks[[#This Row],[_LeafProgress]]</f>
        <v>0</v>
      </c>
      <c r="EG151" s="42" t="n">
        <f aca="false">IF(ISNUMBER(Tasks[[#This Row],[% Complete]]),Tasks[[#This Row],[% Complete]],IF(Tasks[[#This Row],[Stage]]="",0,IFERROR(INDEX(stg_Pct,MATCH(Tasks[[#This Row],[Stage]],stg_Name,0)),0)))</f>
        <v>0</v>
      </c>
      <c r="EH151" s="42" t="n">
        <f aca="false">IF(NOT(Tasks[[#This Row],[_IsLeaf]]=1),0,IF(N(Tasks[[#This Row],[Actual Finish]])&gt;0,1,MIN(1,Tasks[[#This Row],[_Pct]])))</f>
        <v>0</v>
      </c>
      <c r="EI151" s="42" t="n">
        <f aca="false">IF(OR(NOT(Tasks[[#This Row],[_IsLeaf]]=1),Tasks[[#This Row],[_Res1Row]]=0),0,N(Tasks[[#This Row],[_Days]])*HoursPerDay*IF(Tasks[[#This Row],[_Units1]]="",DefaultUnits,Tasks[[#This Row],[_Units1]]))</f>
        <v>0</v>
      </c>
      <c r="EJ151" s="42" t="n">
        <f aca="false">Tasks[[#This Row],[_LeafWork]]+Tasks[[#This Row],[_Res2Work]]+Tasks[[#This Row],[_Res3Work]]+Tasks[[#This Row],[_Res4Work]]</f>
        <v>0</v>
      </c>
      <c r="EK15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1" s="42" t="n">
        <f aca="false">IF(NOT(Tasks[[#This Row],[_IsLeaf]]=1),0,MAX(_xlfn.MAXIFS(Tasks[_Row],Tasks[_Pred1UID],Tasks[[#This Row],[UID]]),_xlfn.MAXIFS(Tasks[_Row],Tasks[_Pred2UID],Tasks[[#This Row],[UID]]),_xlfn.MAXIFS(Tasks[_Row],Tasks[_Pred3UID],Tasks[[#This Row],[UID]]),_xlfn.MAXIFS(Tasks[_Row],Tasks[_Pred4UID],Tasks[[#This Row],[UID]])))</f>
        <v>0</v>
      </c>
      <c r="ET15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1" s="89" t="str">
        <f aca="false">IF(NOT(Tasks[[#This Row],[_IsLeaf]]=1),"",IF(N(Tasks[[#This Row],[_Days]])&lt;=0,Tasks[[#This Row],[_LeafLateFinish]],WORKDAY.INTL(Tasks[[#This Row],[_LeafLateFinish]],-(Tasks[[#This Row],[_Days]]-1),WorkWeek,Holidays)))</f>
        <v/>
      </c>
      <c r="EW15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1" s="88" t="b">
        <f aca="false">AND(Tasks[[#This Row],[_IsLeaf]]=1,Tasks[[#This Row],[_LeafProgress]]&lt;1,N(Tasks[[#This Row],[_LeafTotalSlack]])&lt;=CriticalSlackDays)</f>
        <v>0</v>
      </c>
      <c r="EY151" s="42" t="n">
        <f aca="false">IF(AND(Tasks[[#This Row],[_IsLeaf]]=1,Tasks[[#This Row],[_ConstraintCode]]=1,Tasks[[#This Row],[Mode]]&lt;&gt;"Manual",N(Tasks[[#This Row],[Actual Start]])=0),MAX(0,N(Tasks[[#This Row],[Free Slack]])),0)</f>
        <v>0</v>
      </c>
      <c r="EZ151" s="89" t="str">
        <f aca="false">IF(NOT(Tasks[[#This Row],[_IsLeaf]]=1),"",IF(Tasks[[#This Row],[_AlapShift]]=0,Tasks[[#This Row],[_LeafCalcStart]],WORKDAY.INTL(Tasks[[#This Row],[_LeafCalcStart]],Tasks[[#This Row],[_AlapShift]],WorkWeek,Holidays)))</f>
        <v/>
      </c>
      <c r="FA151" s="89" t="str">
        <f aca="false">IF(NOT(Tasks[[#This Row],[_IsLeaf]]=1),"",IF(Tasks[[#This Row],[_AlapShift]]=0,Tasks[[#This Row],[_LeafCalcFinish]],WORKDAY.INTL(Tasks[[#This Row],[_LeafCalcFinish]],Tasks[[#This Row],[_AlapShift]],WorkWeek,Holidays)))</f>
        <v/>
      </c>
      <c r="FB151" s="89" t="str">
        <f aca="false">IF(NOT(Tasks[[#This Row],[_IsLeaf]]=1),"",IF(Tasks[[#This Row],[_AlapShift]]=0,Tasks[[#This Row],[_LeafFcstStart]],WORKDAY.INTL(Tasks[[#This Row],[_LeafFcstStart]],Tasks[[#This Row],[_AlapShift]],WorkWeek,Holidays)))</f>
        <v/>
      </c>
      <c r="FC151" s="89" t="str">
        <f aca="false">IF(NOT(Tasks[[#This Row],[_IsLeaf]]=1),"",IF(Tasks[[#This Row],[_AlapShift]]=0,Tasks[[#This Row],[_LeafFcstFinish]],WORKDAY.INTL(Tasks[[#This Row],[_LeafFcstFinish]],Tasks[[#This Row],[_AlapShift]],WorkWeek,Holidays)))</f>
        <v/>
      </c>
      <c r="FD151" s="89" t="str">
        <f aca="false">IF(Tasks[[#This Row],[Task Name]]="","",IF(Tasks[[#This Row],[_IsSummary]],MIN(INDEX(Tasks[_ShownCalcStart],Tasks[[#This Row],[_Row]]+1):INDEX(Tasks[_ShownCalcStart],Tasks[[#This Row],[_Row]]+Tasks[[#This Row],[_Descendants]])),Tasks[[#This Row],[_ShownCalcStart]]))</f>
        <v/>
      </c>
      <c r="FE151" s="89" t="str">
        <f aca="false">IF(Tasks[[#This Row],[Task Name]]="","",IF(Tasks[[#This Row],[_IsSummary]],MAX(INDEX(Tasks[_ShownCalcFinish],Tasks[[#This Row],[_Row]]+1):INDEX(Tasks[_ShownCalcFinish],Tasks[[#This Row],[_Row]]+Tasks[[#This Row],[_Descendants]])),Tasks[[#This Row],[_ShownCalcFinish]]))</f>
        <v/>
      </c>
      <c r="FF15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1" s="42" t="n">
        <f aca="false">IF(AND(Tasks[[#This Row],[_IsLeaf]]=1,Tasks[[#This Row],[_LeafTotalWork]]&gt;0),NETWORKDAYS.INTL(ProjectStart,Tasks[[#This Row],[_ShownFcstStart]],WorkWeek,Holidays),0)</f>
        <v>0</v>
      </c>
      <c r="FS151" s="42" t="n">
        <f aca="false">IF(AND(Tasks[[#This Row],[_IsLeaf]]=1,Tasks[[#This Row],[_LeafTotalWork]]&gt;0),MAX(Tasks[[#This Row],[_StartWorkday]],NETWORKDAYS.INTL(ProjectStart,Tasks[[#This Row],[_ShownFcstFinish]],WorkWeek,Holidays)),0)</f>
        <v>0</v>
      </c>
      <c r="FT151" s="42" t="n">
        <f aca="false">IF(AND(Tasks[[#This Row],[_IsLeaf]]=1,Tasks[[#This Row],[_LeafTotalWork]]&gt;0),Tasks[[#This Row],[_LeafWork]]/(Tasks[[#This Row],[_FinishWorkday]]-Tasks[[#This Row],[_StartWorkday]]+1),0)</f>
        <v>0</v>
      </c>
      <c r="FU151" s="42" t="n">
        <f aca="false">Tasks[[#This Row],[_WorkPerWorkday]]*(Tasks[[#This Row],[_StartWorkday]]-1)</f>
        <v>-0</v>
      </c>
      <c r="FV151" s="42" t="n">
        <f aca="false">IF(Tasks[[#This Row],[_IsLeaf]]=1,MAX(N(Tasks[[#This Row],[_Days]]),0.1),0)</f>
        <v>0</v>
      </c>
      <c r="FW151" s="42" t="n">
        <f aca="false">Tasks[[#This Row],[_WeightDur]]*Tasks[[#This Row],[_LeafProgress]]</f>
        <v>0</v>
      </c>
      <c r="FX151" s="42" t="n">
        <f aca="false">Tasks[[#This Row],[_WeightDur]]*Tasks[[#This Row],[_PlannedPct]]</f>
        <v>0</v>
      </c>
      <c r="FY15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1" s="42" t="str">
        <f aca="false">IF(AND(Tasks[[#This Row],[_IsLeaf]]=1,N(Tasks[[#This Row],[_Days]])=0,Tasks[[#This Row],[_LeafProgress]]&lt;1),Tasks[[#This Row],[_ShownFcstFinish]]+Tasks[[#This Row],[_Row]]/100000,"")</f>
        <v/>
      </c>
      <c r="GA15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1" s="42" t="str">
        <f aca="false">IF(Tasks[[#This Row],[Task Name]]="","",LEFT(Tasks[[#This Row],[WBS]],FIND(".",Tasks[[#This Row],[WBS]]&amp;".")-1))</f>
        <v/>
      </c>
      <c r="GC151" s="42" t="str">
        <f aca="false">IF(AND(Tasks[[#This Row],[Task Name]]&lt;&gt;"",Tasks[[#This Row],[_Level]]=1),Tasks[[#This Row],[_Row]],"")</f>
        <v/>
      </c>
      <c r="GD151" s="42" t="str">
        <f aca="false">IF(AND(Tasks[[#This Row],[_IsLeaf]]=1,N(Tasks[[#This Row],[_Days]])=0),Tasks[[#This Row],[Planned Finish]]+Tasks[[#This Row],[_Row]]/100000,"")</f>
        <v/>
      </c>
      <c r="GE151" s="42" t="str">
        <f aca="false">IF(AND(Tasks[[#This Row],[_IsLeaf]]=1,Tasks[[#This Row],[_LeafProgress]]&lt;1,OR(N(Tasks[[#This Row],[Finish Var]])&gt;0,Tasks[[#This Row],[Status]]="Late Start")),MAX(0,Tasks[[#This Row],[Finish Var]])+1-Tasks[[#This Row],[_Row]]/1000000,"")</f>
        <v/>
      </c>
      <c r="GF151" s="42" t="str">
        <f aca="false">IF(AND(Tasks[[#This Row],[_IsLeaf]]=1,N(Tasks[[#This Row],[Actual Start]])=0,Tasks[[#This Row],[_ShownFcstStart]]&gt;=StatusDate,Tasks[[#This Row],[_ShownFcstStart]]&lt;=LookaheadEnd),Tasks[[#This Row],[_ShownFcstStart]]+Tasks[[#This Row],[_Row]]/100000,"")</f>
        <v/>
      </c>
      <c r="GG151" s="42" t="str">
        <f aca="false">IF(AND(Tasks[[#This Row],[_IsLeaf]]=1,Tasks[[#This Row],[_LeafProgress]]&lt;1,Tasks[[#This Row],[_ShownFcstFinish]]&gt;=StatusDate,Tasks[[#This Row],[_ShownFcstFinish]]&lt;=LookaheadEnd),Tasks[[#This Row],[_ShownFcstFinish]]+Tasks[[#This Row],[_Row]]/100000,"")</f>
        <v/>
      </c>
      <c r="GH151" s="42" t="str">
        <f aca="false">IF(Tasks[[#This Row],[_LeafCritical]],Tasks[[#This Row],[_ShownFcstStart]]+Tasks[[#This Row],[_Row]]/100000,"")</f>
        <v/>
      </c>
      <c r="GI151" s="42" t="n">
        <f aca="false">Tasks[[#This Row],[_LeafWork]]*Tasks[[#This Row],[_LeafProgress]]</f>
        <v>0</v>
      </c>
      <c r="GJ151" s="89" t="str">
        <f aca="false">IF(AND(Tasks[[#This Row],[_IsLeaf]]=1,Tasks[[#This Row],[_LeafProgress]]&gt;=1),IF(N(Tasks[[#This Row],[Actual Finish]])&gt;0,Tasks[[#This Row],[Actual Finish]],Tasks[[#This Row],[_ShownFcstFinish]]),"")</f>
        <v/>
      </c>
      <c r="GK151" s="42" t="n">
        <f aca="false">IF(Tasks[[#This Row],[_IsLeaf]]=1,N(Tasks[[#This Row],[Story Points]]),0)</f>
        <v>0</v>
      </c>
      <c r="GL151" s="42" t="str">
        <f aca="false">""</f>
        <v/>
      </c>
      <c r="GM151" s="88" t="b">
        <f aca="false">IF(Tasks[[#This Row],[Task Name]]="",FALSE(),AND(Tasks[[#This Row],[_IsLeaf]]=1,N(Tasks[[#This Row],[_Days]])=0))</f>
        <v>0</v>
      </c>
      <c r="GN151" s="89" t="n">
        <f aca="false">IF(Tasks[[#This Row],[Task Name]]="",0,IF(AND(Tasks[[#This Row],[_IsLeaf]]=1,NOT(Tasks[[#This Row],[_IsMilestone]]),N(Tasks[[#This Row],[Progress]])&gt;0),Tasks[[#This Row],[Start]],0))</f>
        <v>0</v>
      </c>
      <c r="GO151" s="89" t="n">
        <f aca="false">IF(Tasks[[#This Row],[_DoneFrom]]=0,0,IF(Tasks[[#This Row],[Progress]]&gt;=1,Tasks[[#This Row],[Finish]],MAX(Tasks[[#This Row],[_DoneFrom]],Tasks[[#This Row],[Start]]+ROUND((Tasks[[#This Row],[Finish]]-Tasks[[#This Row],[Start]]+1)*Tasks[[#This Row],[Progress]],0)-1)))</f>
        <v>0</v>
      </c>
      <c r="GP151" s="89" t="n">
        <f aca="false">IF(Tasks[[#This Row],[Task Name]]="",0,IF(OR(NOT(Tasks[[#This Row],[_IsLeaf]]=1),Tasks[[#This Row],[_IsMilestone]],N(Tasks[[#This Row],[Progress]])&gt;=1),0,IF(Tasks[[#This Row],[_DoneTo]]&gt;0,Tasks[[#This Row],[_DoneTo]]+1,Tasks[[#This Row],[Start]])))</f>
        <v>0</v>
      </c>
      <c r="GQ151" s="89" t="n">
        <f aca="false">IF(Tasks[[#This Row],[_RemFrom]]=0,0,Tasks[[#This Row],[Finish]])</f>
        <v>0</v>
      </c>
      <c r="GR151" s="88" t="b">
        <f aca="false">IF(Tasks[[#This Row],[Task Name]]="",FALSE(),OR(NOT(BaselineSet),N(Tasks[[#This Row],[Baseline Start]])&gt;0))</f>
        <v>0</v>
      </c>
      <c r="GS15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1" s="90" t="str">
        <f aca="false">IF(Tasks[[#This Row],[_IsLeaf]]=1,Tasks[[#This Row],[_Row]],"")</f>
        <v/>
      </c>
      <c r="GW151" s="90" t="str">
        <f aca="false">IFERROR(INDEX(Tasks[UID],SMALL(Tasks[_PickKey],Tasks[[#This Row],[_Row]]))&amp;" "&amp;INDEX(Tasks[Task Name],SMALL(Tasks[_PickKey],Tasks[[#This Row],[_Row]])),"")</f>
        <v/>
      </c>
      <c r="GX151" s="42" t="str">
        <f aca="false">IF(Tasks[[#This Row],[Task Name]]="","",IF(Tasks[[#This Row],[_IsSummary]],NETWORKDAYS.INTL(Tasks[[#This Row],[Start]],Tasks[[#This Row],[Finish]],WorkWeek,Holidays),N(Tasks[[#This Row],[_Days]])))</f>
        <v/>
      </c>
    </row>
    <row r="152" customFormat="false" ht="15" hidden="false" customHeight="false" outlineLevel="0" collapsed="false">
      <c r="A152" s="21" t="str">
        <f aca="false">IF(Tasks[[#This Row],[Task Name]]="","",COUNTA(Tasks[[#Headers],[Task Name]]:Tasks[[#This Row],[Task Name]])-1)</f>
        <v/>
      </c>
      <c r="B152" s="22" t="n">
        <v>160</v>
      </c>
      <c r="C152" s="22"/>
      <c r="D152" s="23"/>
      <c r="E152" s="22"/>
      <c r="F152" s="23"/>
      <c r="G152" s="22"/>
      <c r="H152" s="22"/>
      <c r="I152" s="23"/>
      <c r="J152" s="22"/>
      <c r="K152" s="22"/>
      <c r="L152" s="23"/>
      <c r="M152" s="22"/>
      <c r="N152" s="22"/>
      <c r="O152" s="23"/>
      <c r="P152" s="22"/>
      <c r="Q152" s="22"/>
      <c r="R152" s="23"/>
      <c r="S152" s="23"/>
      <c r="T152" s="83"/>
      <c r="U152" s="23"/>
      <c r="V152" s="83"/>
      <c r="W152" s="23"/>
      <c r="X152" s="83"/>
      <c r="Y152" s="23"/>
      <c r="Z152" s="83"/>
      <c r="AA152" s="23"/>
      <c r="AB152" s="23"/>
      <c r="AC152" s="7"/>
      <c r="AD152" s="7"/>
      <c r="AE152" s="62" t="str">
        <f aca="false">IF(Tasks[[#This Row],[Task Name]]="","",IF(Tasks[[#This Row],[_IsSummary]],MIN(INDEX(Tasks[_ShownFcstStart],Tasks[[#This Row],[_Row]]+1):INDEX(Tasks[_ShownFcstStart],Tasks[[#This Row],[_Row]]+Tasks[[#This Row],[_Descendants]])),Tasks[[#This Row],[_ShownFcstStart]]))</f>
        <v/>
      </c>
      <c r="AF152" s="62" t="str">
        <f aca="false">IF(Tasks[[#This Row],[Task Name]]="","",IF(Tasks[[#This Row],[_IsSummary]],MAX(INDEX(Tasks[_ShownFcstFinish],Tasks[[#This Row],[_Row]]+1):INDEX(Tasks[_ShownFcstFinish],Tasks[[#This Row],[_Row]]+Tasks[[#This Row],[_Descendants]])),Tasks[[#This Row],[_ShownFcstFinish]]))</f>
        <v/>
      </c>
      <c r="AG152" s="21" t="str">
        <f aca="false">""</f>
        <v/>
      </c>
      <c r="AH152" s="23"/>
      <c r="AI15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2" s="7"/>
      <c r="AK152" s="22"/>
      <c r="AL152" s="23"/>
      <c r="AM152" s="7"/>
      <c r="AN152" s="46" t="str">
        <f aca="false">IF(Tasks[[#This Row],[Task Name]]="","",IF(Tasks[[#This Row],[Finish]]&gt;=Tasks[[#This Row],[Planned Finish]],NETWORKDAYS.INTL(Tasks[[#This Row],[Planned Finish]],Tasks[[#This Row],[Finish]],WorkWeek,Holidays)-1,1-NETWORKDAYS.INTL(Tasks[[#This Row],[Finish]],Tasks[[#This Row],[Planned Finish]],WorkWeek,Holidays)))</f>
        <v/>
      </c>
      <c r="AO152" s="21" t="str">
        <f aca="false">IF(Tasks[[#This Row],[Task Name]]="","",IF(Tasks[[#This Row],[Progress]]&gt;=1,"Complete",IF(OR(N(Tasks[[#This Row],[Actual Start]])&gt;0,Tasks[[#This Row],[Progress]]&gt;0),IF(Tasks[[#This Row],[Finish Var]]&gt;0,"Behind","In Progress"),IF(Tasks[[#This Row],[Planned Start]]&lt;StatusDate,"Late Start","Not Started"))))</f>
        <v/>
      </c>
      <c r="AP152" s="21" t="str">
        <f aca="false">IF(Tasks[[#This Row],[Task Name]]="","",IF(IF(Tasks[[#This Row],[_IsSummary]],COUNTIF(INDEX(Tasks[_LeafCritical],Tasks[[#This Row],[_Row]]+1):INDEX(Tasks[_LeafCritical],Tasks[[#This Row],[_Row]]+Tasks[[#This Row],[_Descendants]]),TRUE())&gt;0,Tasks[[#This Row],[_LeafCritical]]),"Yes",""))</f>
        <v/>
      </c>
      <c r="AQ152" s="62" t="str">
        <f aca="false">IF(Tasks[[#This Row],[Task Name]]="","",IF(N(Tasks[[#This Row],[Baseline Start]])&gt;0,Tasks[[#This Row],[Baseline Start]],Tasks[[#This Row],[_CalcStart]]))</f>
        <v/>
      </c>
      <c r="AR152" s="62" t="str">
        <f aca="false">IF(Tasks[[#This Row],[Task Name]]="","",IF(N(Tasks[[#This Row],[Baseline Finish]])&gt;0,Tasks[[#This Row],[Baseline Finish]],Tasks[[#This Row],[_CalcFinish]]))</f>
        <v/>
      </c>
      <c r="AS152" s="46" t="str">
        <f aca="false">IF(Tasks[[#This Row],[Task Name]]="","",IF(Tasks[[#This Row],[Start]]&gt;=Tasks[[#This Row],[Planned Start]],NETWORKDAYS.INTL(Tasks[[#This Row],[Planned Start]],Tasks[[#This Row],[Start]],WorkWeek,Holidays)-1,1-NETWORKDAYS.INTL(Tasks[[#This Row],[Start]],Tasks[[#This Row],[Planned Start]],WorkWeek,Holidays)))</f>
        <v/>
      </c>
      <c r="AT152" s="62" t="str">
        <f aca="false">IF(Tasks[[#This Row],[Task Name]]="","",IF(Tasks[[#This Row],[_IsSummary]],MIN(INDEX(Tasks[_LeafLateStart],Tasks[[#This Row],[_Row]]+1):INDEX(Tasks[_LeafLateStart],Tasks[[#This Row],[_Row]]+Tasks[[#This Row],[_Descendants]])),Tasks[[#This Row],[_LeafLateStart]]))</f>
        <v/>
      </c>
      <c r="AU152" s="62" t="str">
        <f aca="false">IF(Tasks[[#This Row],[Task Name]]="","",IF(Tasks[[#This Row],[_IsSummary]],MAX(INDEX(Tasks[_LeafLateFinish],Tasks[[#This Row],[_Row]]+1):INDEX(Tasks[_LeafLateFinish],Tasks[[#This Row],[_Row]]+Tasks[[#This Row],[_Descendants]])),Tasks[[#This Row],[_LeafLateFinish]]))</f>
        <v/>
      </c>
      <c r="AV152" s="46" t="str">
        <f aca="false">IF(Tasks[[#This Row],[Task Name]]="","",IF(Tasks[[#This Row],[_IsSummary]],MIN(INDEX(Tasks[_LeafTotalSlack],Tasks[[#This Row],[_Row]]+1):INDEX(Tasks[_LeafTotalSlack],Tasks[[#This Row],[_Row]]+Tasks[[#This Row],[_Descendants]])),Tasks[[#This Row],[_LeafTotalSlack]]))</f>
        <v/>
      </c>
      <c r="AW15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4"/>
      <c r="BA15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t="str">
        <f aca="false">IF(Tasks[[#This Row],[Task Name]]="","",IF(Tasks[[#This Row],[_Level]]&lt;=OutlineShowLevel,"Yes","No"))</f>
        <v/>
      </c>
      <c r="BE152" s="85" t="str">
        <f aca="false">IF(Tasks[[#This Row],[Task Name]]="","",IF(Tasks[[#This Row],[_IsSummary]],SUM(INDEX(Tasks[_LeafTotalWork],Tasks[[#This Row],[_Row]]+1):INDEX(Tasks[_LeafTotalWork],Tasks[[#This Row],[_Row]]+Tasks[[#This Row],[_Descendants]])),Tasks[[#This Row],[_LeafTotalWork]]))</f>
        <v/>
      </c>
      <c r="BF152" s="23"/>
      <c r="BG15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t="str">
        <f aca="false">""</f>
        <v/>
      </c>
      <c r="BI152" s="86"/>
      <c r="BJ152" s="22"/>
      <c r="BK152" s="46" t="str">
        <f aca="false">IF(OR(Tasks[[#This Row],[Task Name]]="",Tasks[[#This Row],[Baseline Duration]]=""),"",Tasks[[#This Row],[_SpanDays]]-N(Tasks[[#This Row],[Baseline Duration]]))</f>
        <v/>
      </c>
      <c r="BL152" s="85" t="str">
        <f aca="false">IF(OR(Tasks[[#This Row],[Task Name]]="",Tasks[[#This Row],[Baseline Work]]=""),"",Tasks[[#This Row],[Work]]-N(Tasks[[#This Row],[Baseline Work]]))</f>
        <v/>
      </c>
      <c r="BM152" s="62" t="str">
        <f aca="false">IF(Tasks[[#This Row],[Task Name]]="","",IF(OR(TakeBaseline="Yes",N(Tasks[[#This Row],[Baseline Start]])=0),Tasks[[#This Row],[Start]],Tasks[[#This Row],[Baseline Start]]))</f>
        <v/>
      </c>
      <c r="BN152" s="62" t="str">
        <f aca="false">IF(Tasks[[#This Row],[Task Name]]="","",IF(OR(TakeBaseline="Yes",N(Tasks[[#This Row],[Baseline Finish]])=0),Tasks[[#This Row],[Finish]],Tasks[[#This Row],[Baseline Finish]]))</f>
        <v/>
      </c>
      <c r="BO152" s="21" t="str">
        <f aca="false">IF(Tasks[[#This Row],[Task Name]]="","",IF(OR(TakeBaseline="Yes",N(Tasks[[#This Row],[Baseline Duration]])=0),Tasks[[#This Row],[_SpanDays]],Tasks[[#This Row],[Baseline Duration]]))</f>
        <v/>
      </c>
      <c r="BP152" s="85" t="str">
        <f aca="false">IF(Tasks[[#This Row],[Task Name]]="","",IF(OR(TakeBaseline="Yes",N(Tasks[[#This Row],[Baseline Work]])=0),Tasks[[#This Row],[Work]],Tasks[[#This Row],[Baseline Work]]))</f>
        <v/>
      </c>
      <c r="BQ152" s="7"/>
      <c r="BR152" s="7"/>
      <c r="BS152" s="22"/>
      <c r="BT152" s="87"/>
      <c r="BU152" s="42" t="str">
        <f aca="false">IF(Tasks[[#This Row],[Task Name]]="","",MAX(1,N(Tasks[[#This Row],[Level]])))</f>
        <v/>
      </c>
      <c r="BV152" s="42" t="n">
        <f aca="false">ROW()-ROW(Tasks[[#Headers],[ID]])</f>
        <v>147</v>
      </c>
      <c r="BW152" s="42" t="n">
        <f aca="false">IF(OR(Tasks[[#This Row],[Task Name]]="",Tasks[[#This Row],[_Level]]&lt;=1),0,IFERROR(LOOKUP(2,1/(Tasks[[#Headers],[_Level]]:Tasks[[#This Row],[_Level]]=Tasks[[#This Row],[_Level]]-1),ROW(Tasks[[#Headers],[_Level]]:Tasks[[#This Row],[_Level]])),0))</f>
        <v>0</v>
      </c>
      <c r="BX152" s="42" t="n">
        <f aca="false">IFERROR(N(INDEX(Tasks[_Level],Tasks[[#This Row],[_Row]]+1)),0)</f>
        <v>0</v>
      </c>
      <c r="BY152" s="88" t="b">
        <f aca="false">AND(Tasks[[#This Row],[Task Name]]&lt;&gt;"",Tasks[[#This Row],[_NextLevel]]&gt;Tasks[[#This Row],[_Level]])</f>
        <v>0</v>
      </c>
      <c r="BZ152" s="42" t="n">
        <f aca="false">IF(Tasks[[#This Row],[_IsSummary]],COUNTIF(Tasks[WBS],Tasks[[#This Row],[WBS]]&amp;".*"),0)</f>
        <v>0</v>
      </c>
      <c r="CA152" s="42" t="n">
        <f aca="false">IF(AND(Tasks[[#This Row],[Task Name]]&lt;&gt;"",NOT(Tasks[[#This Row],[_IsSummary]])),1,0)</f>
        <v>0</v>
      </c>
      <c r="CB152" s="42" t="n">
        <f aca="false">IF(N(Tasks[[#This Row],[_Pred1UID]])=0,0,IFERROR(MATCH(Tasks[[#This Row],[_Pred1UID]],Tasks[UID],0),-1))</f>
        <v>0</v>
      </c>
      <c r="CC152" s="42" t="n">
        <f aca="false">IF(N(Tasks[[#This Row],[_Pred2UID]])=0,0,IFERROR(MATCH(Tasks[[#This Row],[_Pred2UID]],Tasks[UID],0),-1))</f>
        <v>0</v>
      </c>
      <c r="CD152" s="42" t="n">
        <f aca="false">IF(N(Tasks[[#This Row],[_Pred3UID]])=0,0,IFERROR(MATCH(Tasks[[#This Row],[_Pred3UID]],Tasks[UID],0),-1))</f>
        <v>0</v>
      </c>
      <c r="CE152" s="42" t="n">
        <f aca="false">IF(N(Tasks[[#This Row],[_Pred4UID]])=0,0,IFERROR(MATCH(Tasks[[#This Row],[_Pred4UID]],Tasks[UID],0),-1))</f>
        <v>0</v>
      </c>
      <c r="CF15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2" s="89" t="n">
        <f aca="false">IF(OR(Tasks[[#This Row],[_ConstraintCode]]=2,Tasks[[#This Row],[_ConstraintCode]]=3,Tasks[[#This Row],[_ConstraintCode]]=4,Tasks[[#This Row],[_ConstraintCode]]=6),Tasks[[#This Row],[_ConstraintStart]],0)</f>
        <v>0</v>
      </c>
      <c r="CI152" s="89" t="n">
        <f aca="false">IF(OR(Tasks[[#This Row],[_ConstraintCode]]=2,Tasks[[#This Row],[_ConstraintCode]]=3,Tasks[[#This Row],[_ConstraintCode]]=5,Tasks[[#This Row],[_ConstraintCode]]=7),Tasks[[#This Row],[_ConstraintStart]],2958465)</f>
        <v>2958465</v>
      </c>
      <c r="CJ15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2" s="89" t="str">
        <f aca="false">IF(NOT(Tasks[[#This Row],[_IsLeaf]]=1),"",IF(N(Tasks[[#This Row],[_Days]])&lt;=0,Tasks[[#This Row],[_LeafCalcStart]],WORKDAY.INTL(Tasks[[#This Row],[_LeafCalcStart]],Tasks[[#This Row],[_Days]]-1,WorkWeek,Holidays)))</f>
        <v/>
      </c>
      <c r="CL15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2" s="42" t="str">
        <f aca="false">IF(Tasks[[#This Row],[_Predecessors]]="","",TRIM(MID(SUBSTITUTE(SUBSTITUTE(SUBSTITUTE(UPPER(Tasks[[#This Row],[_Predecessors]]),";",",")," ",""),",",REPT(" ",99)),1,99)))</f>
        <v/>
      </c>
      <c r="CO152" s="42" t="str">
        <f aca="false">IF(Tasks[[#This Row],[_Pred1Text]]="","",IFERROR(VALUE(LEFT(Tasks[[#This Row],[_Pred1Text]],MIN(FIND("F",Tasks[[#This Row],[_Pred1Text]]&amp;"F"),FIND("S",Tasks[[#This Row],[_Pred1Text]]&amp;"S"),FIND("+",Tasks[[#This Row],[_Pred1Text]]&amp;"+"),FIND("-",Tasks[[#This Row],[_Pred1Text]]&amp;"-"))-1)),""))</f>
        <v/>
      </c>
      <c r="CP15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2" s="42" t="str">
        <f aca="false">IF(Tasks[[#This Row],[_Pred1Text]]="","",TRIM(MID(SUBSTITUTE(SUBSTITUTE(SUBSTITUTE(UPPER(Tasks[[#This Row],[_Predecessors]]),";",",")," ",""),",",REPT(" ",99)),100,99)))</f>
        <v/>
      </c>
      <c r="CS152" s="42" t="str">
        <f aca="false">IF(Tasks[[#This Row],[_Pred2Text]]="","",IFERROR(VALUE(LEFT(Tasks[[#This Row],[_Pred2Text]],MIN(FIND("F",Tasks[[#This Row],[_Pred2Text]]&amp;"F"),FIND("S",Tasks[[#This Row],[_Pred2Text]]&amp;"S"),FIND("+",Tasks[[#This Row],[_Pred2Text]]&amp;"+"),FIND("-",Tasks[[#This Row],[_Pred2Text]]&amp;"-"))-1)),""))</f>
        <v/>
      </c>
      <c r="CT15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2" s="42" t="str">
        <f aca="false">IF(Tasks[[#This Row],[_Pred2Text]]="","",TRIM(MID(SUBSTITUTE(SUBSTITUTE(SUBSTITUTE(UPPER(Tasks[[#This Row],[_Predecessors]]),";",",")," ",""),",",REPT(" ",99)),199,99)))</f>
        <v/>
      </c>
      <c r="CW152" s="42" t="str">
        <f aca="false">IF(Tasks[[#This Row],[_Pred3Text]]="","",IFERROR(VALUE(LEFT(Tasks[[#This Row],[_Pred3Text]],MIN(FIND("F",Tasks[[#This Row],[_Pred3Text]]&amp;"F"),FIND("S",Tasks[[#This Row],[_Pred3Text]]&amp;"S"),FIND("+",Tasks[[#This Row],[_Pred3Text]]&amp;"+"),FIND("-",Tasks[[#This Row],[_Pred3Text]]&amp;"-"))-1)),""))</f>
        <v/>
      </c>
      <c r="CX15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2" s="42" t="str">
        <f aca="false">IF(Tasks[[#This Row],[_Pred3Text]]="","",TRIM(MID(SUBSTITUTE(SUBSTITUTE(SUBSTITUTE(UPPER(Tasks[[#This Row],[_Predecessors]]),";",",")," ",""),",",REPT(" ",99)),298,99)))</f>
        <v/>
      </c>
      <c r="DA152" s="42" t="str">
        <f aca="false">IF(Tasks[[#This Row],[_Pred4Text]]="","",IFERROR(VALUE(LEFT(Tasks[[#This Row],[_Pred4Text]],MIN(FIND("F",Tasks[[#This Row],[_Pred4Text]]&amp;"F"),FIND("S",Tasks[[#This Row],[_Pred4Text]]&amp;"S"),FIND("+",Tasks[[#This Row],[_Pred4Text]]&amp;"+"),FIND("-",Tasks[[#This Row],[_Pred4Text]]&amp;"-"))-1)),""))</f>
        <v/>
      </c>
      <c r="DB15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2" s="42" t="str">
        <f aca="false">IF(OR(Tasks[[#This Row],[Task Name]]="",Tasks[[#This Row],[_Resources]]=""),"",TRIM(MID(SUBSTITUTE(Tasks[[#This Row],[_Resources]],",",REPT(" ",99)),1,99)))</f>
        <v/>
      </c>
      <c r="DE152" s="42" t="str">
        <f aca="false">IF(Tasks[[#This Row],[_Res1Text]]="","",TRIM(MID(SUBSTITUTE(Tasks[[#This Row],[_Resources]],",",REPT(" ",99)),100,99)))</f>
        <v/>
      </c>
      <c r="DF152" s="42" t="str">
        <f aca="false">IF(Tasks[[#This Row],[_Res2Text]]="","",TRIM(MID(SUBSTITUTE(Tasks[[#This Row],[_Resources]],",",REPT(" ",99)),199,99)))</f>
        <v/>
      </c>
      <c r="DG152" s="42" t="str">
        <f aca="false">IF(Tasks[[#This Row],[_Res3Text]]="","",TRIM(MID(SUBSTITUTE(Tasks[[#This Row],[_Resources]],",",REPT(" ",99)),298,99)))</f>
        <v/>
      </c>
      <c r="DH152" s="42" t="n">
        <f aca="false">IF(Tasks[[#This Row],[_Res1Text]]="",0,IFERROR(MATCH(TRIM(LEFT(Tasks[[#This Row],[_Res1Text]],FIND("[",Tasks[[#This Row],[_Res1Text]]&amp;"[")-1)),res_Name,0),IFERROR(MATCH(TRIM(LEFT(Tasks[[#This Row],[_Res1Text]],FIND("[",Tasks[[#This Row],[_Res1Text]]&amp;"[")-1)),res_Initials,0),0)))</f>
        <v>0</v>
      </c>
      <c r="DI152" s="42" t="n">
        <f aca="false">IF(Tasks[[#This Row],[_Res2Text]]="",0,IFERROR(MATCH(TRIM(LEFT(Tasks[[#This Row],[_Res2Text]],FIND("[",Tasks[[#This Row],[_Res2Text]]&amp;"[")-1)),res_Name,0),IFERROR(MATCH(TRIM(LEFT(Tasks[[#This Row],[_Res2Text]],FIND("[",Tasks[[#This Row],[_Res2Text]]&amp;"[")-1)),res_Initials,0),0)))</f>
        <v>0</v>
      </c>
      <c r="DJ152" s="42" t="n">
        <f aca="false">IF(Tasks[[#This Row],[_Res3Text]]="",0,IFERROR(MATCH(TRIM(LEFT(Tasks[[#This Row],[_Res3Text]],FIND("[",Tasks[[#This Row],[_Res3Text]]&amp;"[")-1)),res_Name,0),IFERROR(MATCH(TRIM(LEFT(Tasks[[#This Row],[_Res3Text]],FIND("[",Tasks[[#This Row],[_Res3Text]]&amp;"[")-1)),res_Initials,0),0)))</f>
        <v>0</v>
      </c>
      <c r="DK152" s="42" t="n">
        <f aca="false">IF(Tasks[[#This Row],[_Res4Text]]="",0,IFERROR(MATCH(TRIM(LEFT(Tasks[[#This Row],[_Res4Text]],FIND("[",Tasks[[#This Row],[_Res4Text]]&amp;"[")-1)),res_Name,0),IFERROR(MATCH(TRIM(LEFT(Tasks[[#This Row],[_Res4Text]],FIND("[",Tasks[[#This Row],[_Res4Text]]&amp;"[")-1)),res_Initials,0),0)))</f>
        <v>0</v>
      </c>
      <c r="DL152" s="42" t="str">
        <f aca="false">IF(Tasks[[#This Row],[_Res1Text]]="","",IF(Tasks[[#This Row],[_Res1Row]]&gt;0,INDEX(res_Name,Tasks[[#This Row],[_Res1Row]]),TRIM(LEFT(Tasks[[#This Row],[_Res1Text]],FIND("[",Tasks[[#This Row],[_Res1Text]]&amp;"[")-1))))</f>
        <v/>
      </c>
      <c r="DM15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2" s="42" t="n">
        <f aca="false">IF(NOT(Tasks[[#This Row],[_IsLeaf]]=1),0,(Tasks[[#This Row],[_Resource1]]&lt;&gt;"")+(Tasks[[#This Row],[_Res2]]&lt;&gt;"")+(Tasks[[#This Row],[_Res3]]&lt;&gt;"")+(Tasks[[#This Row],[_Res4]]&lt;&gt;""))</f>
        <v>0</v>
      </c>
      <c r="DO152" s="42" t="str">
        <f aca="false">IF(Tasks[[#This Row],[_Res2Text]]="","",IF(Tasks[[#This Row],[_Res2Row]]&gt;0,INDEX(res_Name,Tasks[[#This Row],[_Res2Row]]),TRIM(LEFT(Tasks[[#This Row],[_Res2Text]],FIND("[",Tasks[[#This Row],[_Res2Text]]&amp;"[")-1))))</f>
        <v/>
      </c>
      <c r="DP15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2" s="42" t="n">
        <f aca="false">IF(OR(NOT(Tasks[[#This Row],[_IsLeaf]]=1),Tasks[[#This Row],[_Res2Row]]=0),0,N(Tasks[[#This Row],[_Days]])*HoursPerDay*IF(Tasks[[#This Row],[_Res2Units]]="",DefaultUnits,Tasks[[#This Row],[_Res2Units]]))</f>
        <v>0</v>
      </c>
      <c r="DR152" s="42" t="n">
        <f aca="false">IF(AND(AND(Tasks[[#This Row],[_IsLeaf]]=1,Tasks[[#This Row],[_LeafTotalWork]]&gt;0),Tasks[[#This Row],[_Res2Work]]&gt;0),Tasks[[#This Row],[_Res2Work]]/(Tasks[[#This Row],[_FinishWorkday]]-Tasks[[#This Row],[_StartWorkday]]+1),0)</f>
        <v>0</v>
      </c>
      <c r="DS152" s="42" t="n">
        <f aca="false">Tasks[[#This Row],[_Res2WorkPerWD]]*MAX(0,Tasks[[#This Row],[_StartWorkday]]-1)</f>
        <v>0</v>
      </c>
      <c r="DT152" s="42" t="n">
        <f aca="false">Tasks[[#This Row],[_Res2Work]]*Tasks[[#This Row],[_LeafProgress]]</f>
        <v>0</v>
      </c>
      <c r="DU152" s="42" t="str">
        <f aca="false">IF(Tasks[[#This Row],[_Res3Text]]="","",IF(Tasks[[#This Row],[_Res3Row]]&gt;0,INDEX(res_Name,Tasks[[#This Row],[_Res3Row]]),TRIM(LEFT(Tasks[[#This Row],[_Res3Text]],FIND("[",Tasks[[#This Row],[_Res3Text]]&amp;"[")-1))))</f>
        <v/>
      </c>
      <c r="DV15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2" s="42" t="n">
        <f aca="false">IF(OR(NOT(Tasks[[#This Row],[_IsLeaf]]=1),Tasks[[#This Row],[_Res3Row]]=0),0,N(Tasks[[#This Row],[_Days]])*HoursPerDay*IF(Tasks[[#This Row],[_Res3Units]]="",DefaultUnits,Tasks[[#This Row],[_Res3Units]]))</f>
        <v>0</v>
      </c>
      <c r="DX152" s="42" t="n">
        <f aca="false">IF(AND(AND(Tasks[[#This Row],[_IsLeaf]]=1,Tasks[[#This Row],[_LeafTotalWork]]&gt;0),Tasks[[#This Row],[_Res3Work]]&gt;0),Tasks[[#This Row],[_Res3Work]]/(Tasks[[#This Row],[_FinishWorkday]]-Tasks[[#This Row],[_StartWorkday]]+1),0)</f>
        <v>0</v>
      </c>
      <c r="DY152" s="42" t="n">
        <f aca="false">Tasks[[#This Row],[_Res3WorkPerWD]]*MAX(0,Tasks[[#This Row],[_StartWorkday]]-1)</f>
        <v>0</v>
      </c>
      <c r="DZ152" s="42" t="n">
        <f aca="false">Tasks[[#This Row],[_Res3Work]]*Tasks[[#This Row],[_LeafProgress]]</f>
        <v>0</v>
      </c>
      <c r="EA152" s="42" t="str">
        <f aca="false">IF(Tasks[[#This Row],[_Res4Text]]="","",IF(Tasks[[#This Row],[_Res4Row]]&gt;0,INDEX(res_Name,Tasks[[#This Row],[_Res4Row]]),TRIM(LEFT(Tasks[[#This Row],[_Res4Text]],FIND("[",Tasks[[#This Row],[_Res4Text]]&amp;"[")-1))))</f>
        <v/>
      </c>
      <c r="EB15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2" s="42" t="n">
        <f aca="false">IF(OR(NOT(Tasks[[#This Row],[_IsLeaf]]=1),Tasks[[#This Row],[_Res4Row]]=0),0,N(Tasks[[#This Row],[_Days]])*HoursPerDay*IF(Tasks[[#This Row],[_Res4Units]]="",DefaultUnits,Tasks[[#This Row],[_Res4Units]]))</f>
        <v>0</v>
      </c>
      <c r="ED152" s="42" t="n">
        <f aca="false">IF(AND(AND(Tasks[[#This Row],[_IsLeaf]]=1,Tasks[[#This Row],[_LeafTotalWork]]&gt;0),Tasks[[#This Row],[_Res4Work]]&gt;0),Tasks[[#This Row],[_Res4Work]]/(Tasks[[#This Row],[_FinishWorkday]]-Tasks[[#This Row],[_StartWorkday]]+1),0)</f>
        <v>0</v>
      </c>
      <c r="EE152" s="42" t="n">
        <f aca="false">Tasks[[#This Row],[_Res4WorkPerWD]]*MAX(0,Tasks[[#This Row],[_StartWorkday]]-1)</f>
        <v>0</v>
      </c>
      <c r="EF152" s="42" t="n">
        <f aca="false">Tasks[[#This Row],[_Res4Work]]*Tasks[[#This Row],[_LeafProgress]]</f>
        <v>0</v>
      </c>
      <c r="EG152" s="42" t="n">
        <f aca="false">IF(ISNUMBER(Tasks[[#This Row],[% Complete]]),Tasks[[#This Row],[% Complete]],IF(Tasks[[#This Row],[Stage]]="",0,IFERROR(INDEX(stg_Pct,MATCH(Tasks[[#This Row],[Stage]],stg_Name,0)),0)))</f>
        <v>0</v>
      </c>
      <c r="EH152" s="42" t="n">
        <f aca="false">IF(NOT(Tasks[[#This Row],[_IsLeaf]]=1),0,IF(N(Tasks[[#This Row],[Actual Finish]])&gt;0,1,MIN(1,Tasks[[#This Row],[_Pct]])))</f>
        <v>0</v>
      </c>
      <c r="EI152" s="42" t="n">
        <f aca="false">IF(OR(NOT(Tasks[[#This Row],[_IsLeaf]]=1),Tasks[[#This Row],[_Res1Row]]=0),0,N(Tasks[[#This Row],[_Days]])*HoursPerDay*IF(Tasks[[#This Row],[_Units1]]="",DefaultUnits,Tasks[[#This Row],[_Units1]]))</f>
        <v>0</v>
      </c>
      <c r="EJ152" s="42" t="n">
        <f aca="false">Tasks[[#This Row],[_LeafWork]]+Tasks[[#This Row],[_Res2Work]]+Tasks[[#This Row],[_Res3Work]]+Tasks[[#This Row],[_Res4Work]]</f>
        <v>0</v>
      </c>
      <c r="EK15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2" s="42" t="n">
        <f aca="false">IF(NOT(Tasks[[#This Row],[_IsLeaf]]=1),0,MAX(_xlfn.MAXIFS(Tasks[_Row],Tasks[_Pred1UID],Tasks[[#This Row],[UID]]),_xlfn.MAXIFS(Tasks[_Row],Tasks[_Pred2UID],Tasks[[#This Row],[UID]]),_xlfn.MAXIFS(Tasks[_Row],Tasks[_Pred3UID],Tasks[[#This Row],[UID]]),_xlfn.MAXIFS(Tasks[_Row],Tasks[_Pred4UID],Tasks[[#This Row],[UID]])))</f>
        <v>0</v>
      </c>
      <c r="ET15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2" s="89" t="str">
        <f aca="false">IF(NOT(Tasks[[#This Row],[_IsLeaf]]=1),"",IF(N(Tasks[[#This Row],[_Days]])&lt;=0,Tasks[[#This Row],[_LeafLateFinish]],WORKDAY.INTL(Tasks[[#This Row],[_LeafLateFinish]],-(Tasks[[#This Row],[_Days]]-1),WorkWeek,Holidays)))</f>
        <v/>
      </c>
      <c r="EW15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2" s="88" t="b">
        <f aca="false">AND(Tasks[[#This Row],[_IsLeaf]]=1,Tasks[[#This Row],[_LeafProgress]]&lt;1,N(Tasks[[#This Row],[_LeafTotalSlack]])&lt;=CriticalSlackDays)</f>
        <v>0</v>
      </c>
      <c r="EY152" s="42" t="n">
        <f aca="false">IF(AND(Tasks[[#This Row],[_IsLeaf]]=1,Tasks[[#This Row],[_ConstraintCode]]=1,Tasks[[#This Row],[Mode]]&lt;&gt;"Manual",N(Tasks[[#This Row],[Actual Start]])=0),MAX(0,N(Tasks[[#This Row],[Free Slack]])),0)</f>
        <v>0</v>
      </c>
      <c r="EZ152" s="89" t="str">
        <f aca="false">IF(NOT(Tasks[[#This Row],[_IsLeaf]]=1),"",IF(Tasks[[#This Row],[_AlapShift]]=0,Tasks[[#This Row],[_LeafCalcStart]],WORKDAY.INTL(Tasks[[#This Row],[_LeafCalcStart]],Tasks[[#This Row],[_AlapShift]],WorkWeek,Holidays)))</f>
        <v/>
      </c>
      <c r="FA152" s="89" t="str">
        <f aca="false">IF(NOT(Tasks[[#This Row],[_IsLeaf]]=1),"",IF(Tasks[[#This Row],[_AlapShift]]=0,Tasks[[#This Row],[_LeafCalcFinish]],WORKDAY.INTL(Tasks[[#This Row],[_LeafCalcFinish]],Tasks[[#This Row],[_AlapShift]],WorkWeek,Holidays)))</f>
        <v/>
      </c>
      <c r="FB152" s="89" t="str">
        <f aca="false">IF(NOT(Tasks[[#This Row],[_IsLeaf]]=1),"",IF(Tasks[[#This Row],[_AlapShift]]=0,Tasks[[#This Row],[_LeafFcstStart]],WORKDAY.INTL(Tasks[[#This Row],[_LeafFcstStart]],Tasks[[#This Row],[_AlapShift]],WorkWeek,Holidays)))</f>
        <v/>
      </c>
      <c r="FC152" s="89" t="str">
        <f aca="false">IF(NOT(Tasks[[#This Row],[_IsLeaf]]=1),"",IF(Tasks[[#This Row],[_AlapShift]]=0,Tasks[[#This Row],[_LeafFcstFinish]],WORKDAY.INTL(Tasks[[#This Row],[_LeafFcstFinish]],Tasks[[#This Row],[_AlapShift]],WorkWeek,Holidays)))</f>
        <v/>
      </c>
      <c r="FD152" s="89" t="str">
        <f aca="false">IF(Tasks[[#This Row],[Task Name]]="","",IF(Tasks[[#This Row],[_IsSummary]],MIN(INDEX(Tasks[_ShownCalcStart],Tasks[[#This Row],[_Row]]+1):INDEX(Tasks[_ShownCalcStart],Tasks[[#This Row],[_Row]]+Tasks[[#This Row],[_Descendants]])),Tasks[[#This Row],[_ShownCalcStart]]))</f>
        <v/>
      </c>
      <c r="FE152" s="89" t="str">
        <f aca="false">IF(Tasks[[#This Row],[Task Name]]="","",IF(Tasks[[#This Row],[_IsSummary]],MAX(INDEX(Tasks[_ShownCalcFinish],Tasks[[#This Row],[_Row]]+1):INDEX(Tasks[_ShownCalcFinish],Tasks[[#This Row],[_Row]]+Tasks[[#This Row],[_Descendants]])),Tasks[[#This Row],[_ShownCalcFinish]]))</f>
        <v/>
      </c>
      <c r="FF15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2" s="42" t="n">
        <f aca="false">IF(AND(Tasks[[#This Row],[_IsLeaf]]=1,Tasks[[#This Row],[_LeafTotalWork]]&gt;0),NETWORKDAYS.INTL(ProjectStart,Tasks[[#This Row],[_ShownFcstStart]],WorkWeek,Holidays),0)</f>
        <v>0</v>
      </c>
      <c r="FS152" s="42" t="n">
        <f aca="false">IF(AND(Tasks[[#This Row],[_IsLeaf]]=1,Tasks[[#This Row],[_LeafTotalWork]]&gt;0),MAX(Tasks[[#This Row],[_StartWorkday]],NETWORKDAYS.INTL(ProjectStart,Tasks[[#This Row],[_ShownFcstFinish]],WorkWeek,Holidays)),0)</f>
        <v>0</v>
      </c>
      <c r="FT152" s="42" t="n">
        <f aca="false">IF(AND(Tasks[[#This Row],[_IsLeaf]]=1,Tasks[[#This Row],[_LeafTotalWork]]&gt;0),Tasks[[#This Row],[_LeafWork]]/(Tasks[[#This Row],[_FinishWorkday]]-Tasks[[#This Row],[_StartWorkday]]+1),0)</f>
        <v>0</v>
      </c>
      <c r="FU152" s="42" t="n">
        <f aca="false">Tasks[[#This Row],[_WorkPerWorkday]]*(Tasks[[#This Row],[_StartWorkday]]-1)</f>
        <v>-0</v>
      </c>
      <c r="FV152" s="42" t="n">
        <f aca="false">IF(Tasks[[#This Row],[_IsLeaf]]=1,MAX(N(Tasks[[#This Row],[_Days]]),0.1),0)</f>
        <v>0</v>
      </c>
      <c r="FW152" s="42" t="n">
        <f aca="false">Tasks[[#This Row],[_WeightDur]]*Tasks[[#This Row],[_LeafProgress]]</f>
        <v>0</v>
      </c>
      <c r="FX152" s="42" t="n">
        <f aca="false">Tasks[[#This Row],[_WeightDur]]*Tasks[[#This Row],[_PlannedPct]]</f>
        <v>0</v>
      </c>
      <c r="FY15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2" s="42" t="str">
        <f aca="false">IF(AND(Tasks[[#This Row],[_IsLeaf]]=1,N(Tasks[[#This Row],[_Days]])=0,Tasks[[#This Row],[_LeafProgress]]&lt;1),Tasks[[#This Row],[_ShownFcstFinish]]+Tasks[[#This Row],[_Row]]/100000,"")</f>
        <v/>
      </c>
      <c r="GA15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2" s="42" t="str">
        <f aca="false">IF(Tasks[[#This Row],[Task Name]]="","",LEFT(Tasks[[#This Row],[WBS]],FIND(".",Tasks[[#This Row],[WBS]]&amp;".")-1))</f>
        <v/>
      </c>
      <c r="GC152" s="42" t="str">
        <f aca="false">IF(AND(Tasks[[#This Row],[Task Name]]&lt;&gt;"",Tasks[[#This Row],[_Level]]=1),Tasks[[#This Row],[_Row]],"")</f>
        <v/>
      </c>
      <c r="GD152" s="42" t="str">
        <f aca="false">IF(AND(Tasks[[#This Row],[_IsLeaf]]=1,N(Tasks[[#This Row],[_Days]])=0),Tasks[[#This Row],[Planned Finish]]+Tasks[[#This Row],[_Row]]/100000,"")</f>
        <v/>
      </c>
      <c r="GE152" s="42" t="str">
        <f aca="false">IF(AND(Tasks[[#This Row],[_IsLeaf]]=1,Tasks[[#This Row],[_LeafProgress]]&lt;1,OR(N(Tasks[[#This Row],[Finish Var]])&gt;0,Tasks[[#This Row],[Status]]="Late Start")),MAX(0,Tasks[[#This Row],[Finish Var]])+1-Tasks[[#This Row],[_Row]]/1000000,"")</f>
        <v/>
      </c>
      <c r="GF152" s="42" t="str">
        <f aca="false">IF(AND(Tasks[[#This Row],[_IsLeaf]]=1,N(Tasks[[#This Row],[Actual Start]])=0,Tasks[[#This Row],[_ShownFcstStart]]&gt;=StatusDate,Tasks[[#This Row],[_ShownFcstStart]]&lt;=LookaheadEnd),Tasks[[#This Row],[_ShownFcstStart]]+Tasks[[#This Row],[_Row]]/100000,"")</f>
        <v/>
      </c>
      <c r="GG152" s="42" t="str">
        <f aca="false">IF(AND(Tasks[[#This Row],[_IsLeaf]]=1,Tasks[[#This Row],[_LeafProgress]]&lt;1,Tasks[[#This Row],[_ShownFcstFinish]]&gt;=StatusDate,Tasks[[#This Row],[_ShownFcstFinish]]&lt;=LookaheadEnd),Tasks[[#This Row],[_ShownFcstFinish]]+Tasks[[#This Row],[_Row]]/100000,"")</f>
        <v/>
      </c>
      <c r="GH152" s="42" t="str">
        <f aca="false">IF(Tasks[[#This Row],[_LeafCritical]],Tasks[[#This Row],[_ShownFcstStart]]+Tasks[[#This Row],[_Row]]/100000,"")</f>
        <v/>
      </c>
      <c r="GI152" s="42" t="n">
        <f aca="false">Tasks[[#This Row],[_LeafWork]]*Tasks[[#This Row],[_LeafProgress]]</f>
        <v>0</v>
      </c>
      <c r="GJ152" s="89" t="str">
        <f aca="false">IF(AND(Tasks[[#This Row],[_IsLeaf]]=1,Tasks[[#This Row],[_LeafProgress]]&gt;=1),IF(N(Tasks[[#This Row],[Actual Finish]])&gt;0,Tasks[[#This Row],[Actual Finish]],Tasks[[#This Row],[_ShownFcstFinish]]),"")</f>
        <v/>
      </c>
      <c r="GK152" s="42" t="n">
        <f aca="false">IF(Tasks[[#This Row],[_IsLeaf]]=1,N(Tasks[[#This Row],[Story Points]]),0)</f>
        <v>0</v>
      </c>
      <c r="GL152" s="42" t="str">
        <f aca="false">""</f>
        <v/>
      </c>
      <c r="GM152" s="88" t="b">
        <f aca="false">IF(Tasks[[#This Row],[Task Name]]="",FALSE(),AND(Tasks[[#This Row],[_IsLeaf]]=1,N(Tasks[[#This Row],[_Days]])=0))</f>
        <v>0</v>
      </c>
      <c r="GN152" s="89" t="n">
        <f aca="false">IF(Tasks[[#This Row],[Task Name]]="",0,IF(AND(Tasks[[#This Row],[_IsLeaf]]=1,NOT(Tasks[[#This Row],[_IsMilestone]]),N(Tasks[[#This Row],[Progress]])&gt;0),Tasks[[#This Row],[Start]],0))</f>
        <v>0</v>
      </c>
      <c r="GO152" s="89" t="n">
        <f aca="false">IF(Tasks[[#This Row],[_DoneFrom]]=0,0,IF(Tasks[[#This Row],[Progress]]&gt;=1,Tasks[[#This Row],[Finish]],MAX(Tasks[[#This Row],[_DoneFrom]],Tasks[[#This Row],[Start]]+ROUND((Tasks[[#This Row],[Finish]]-Tasks[[#This Row],[Start]]+1)*Tasks[[#This Row],[Progress]],0)-1)))</f>
        <v>0</v>
      </c>
      <c r="GP152" s="89" t="n">
        <f aca="false">IF(Tasks[[#This Row],[Task Name]]="",0,IF(OR(NOT(Tasks[[#This Row],[_IsLeaf]]=1),Tasks[[#This Row],[_IsMilestone]],N(Tasks[[#This Row],[Progress]])&gt;=1),0,IF(Tasks[[#This Row],[_DoneTo]]&gt;0,Tasks[[#This Row],[_DoneTo]]+1,Tasks[[#This Row],[Start]])))</f>
        <v>0</v>
      </c>
      <c r="GQ152" s="89" t="n">
        <f aca="false">IF(Tasks[[#This Row],[_RemFrom]]=0,0,Tasks[[#This Row],[Finish]])</f>
        <v>0</v>
      </c>
      <c r="GR152" s="88" t="b">
        <f aca="false">IF(Tasks[[#This Row],[Task Name]]="",FALSE(),OR(NOT(BaselineSet),N(Tasks[[#This Row],[Baseline Start]])&gt;0))</f>
        <v>0</v>
      </c>
      <c r="GS15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2" s="90" t="str">
        <f aca="false">IF(Tasks[[#This Row],[_IsLeaf]]=1,Tasks[[#This Row],[_Row]],"")</f>
        <v/>
      </c>
      <c r="GW152" s="90" t="str">
        <f aca="false">IFERROR(INDEX(Tasks[UID],SMALL(Tasks[_PickKey],Tasks[[#This Row],[_Row]]))&amp;" "&amp;INDEX(Tasks[Task Name],SMALL(Tasks[_PickKey],Tasks[[#This Row],[_Row]])),"")</f>
        <v/>
      </c>
      <c r="GX152" s="42" t="str">
        <f aca="false">IF(Tasks[[#This Row],[Task Name]]="","",IF(Tasks[[#This Row],[_IsSummary]],NETWORKDAYS.INTL(Tasks[[#This Row],[Start]],Tasks[[#This Row],[Finish]],WorkWeek,Holidays),N(Tasks[[#This Row],[_Days]])))</f>
        <v/>
      </c>
    </row>
    <row r="153" customFormat="false" ht="15" hidden="false" customHeight="false" outlineLevel="0" collapsed="false">
      <c r="A153" s="21" t="str">
        <f aca="false">IF(Tasks[[#This Row],[Task Name]]="","",COUNTA(Tasks[[#Headers],[Task Name]]:Tasks[[#This Row],[Task Name]])-1)</f>
        <v/>
      </c>
      <c r="B153" s="22" t="n">
        <v>161</v>
      </c>
      <c r="C153" s="22"/>
      <c r="D153" s="23"/>
      <c r="E153" s="22"/>
      <c r="F153" s="23"/>
      <c r="G153" s="22"/>
      <c r="H153" s="22"/>
      <c r="I153" s="23"/>
      <c r="J153" s="22"/>
      <c r="K153" s="22"/>
      <c r="L153" s="23"/>
      <c r="M153" s="22"/>
      <c r="N153" s="22"/>
      <c r="O153" s="23"/>
      <c r="P153" s="22"/>
      <c r="Q153" s="22"/>
      <c r="R153" s="23"/>
      <c r="S153" s="23"/>
      <c r="T153" s="83"/>
      <c r="U153" s="23"/>
      <c r="V153" s="83"/>
      <c r="W153" s="23"/>
      <c r="X153" s="83"/>
      <c r="Y153" s="23"/>
      <c r="Z153" s="83"/>
      <c r="AA153" s="23"/>
      <c r="AB153" s="23"/>
      <c r="AC153" s="7"/>
      <c r="AD153" s="7"/>
      <c r="AE153" s="62" t="str">
        <f aca="false">IF(Tasks[[#This Row],[Task Name]]="","",IF(Tasks[[#This Row],[_IsSummary]],MIN(INDEX(Tasks[_ShownFcstStart],Tasks[[#This Row],[_Row]]+1):INDEX(Tasks[_ShownFcstStart],Tasks[[#This Row],[_Row]]+Tasks[[#This Row],[_Descendants]])),Tasks[[#This Row],[_ShownFcstStart]]))</f>
        <v/>
      </c>
      <c r="AF153" s="62" t="str">
        <f aca="false">IF(Tasks[[#This Row],[Task Name]]="","",IF(Tasks[[#This Row],[_IsSummary]],MAX(INDEX(Tasks[_ShownFcstFinish],Tasks[[#This Row],[_Row]]+1):INDEX(Tasks[_ShownFcstFinish],Tasks[[#This Row],[_Row]]+Tasks[[#This Row],[_Descendants]])),Tasks[[#This Row],[_ShownFcstFinish]]))</f>
        <v/>
      </c>
      <c r="AG153" s="21" t="str">
        <f aca="false">""</f>
        <v/>
      </c>
      <c r="AH153" s="23"/>
      <c r="AI15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3" s="7"/>
      <c r="AK153" s="22"/>
      <c r="AL153" s="23"/>
      <c r="AM153" s="7"/>
      <c r="AN153" s="46" t="str">
        <f aca="false">IF(Tasks[[#This Row],[Task Name]]="","",IF(Tasks[[#This Row],[Finish]]&gt;=Tasks[[#This Row],[Planned Finish]],NETWORKDAYS.INTL(Tasks[[#This Row],[Planned Finish]],Tasks[[#This Row],[Finish]],WorkWeek,Holidays)-1,1-NETWORKDAYS.INTL(Tasks[[#This Row],[Finish]],Tasks[[#This Row],[Planned Finish]],WorkWeek,Holidays)))</f>
        <v/>
      </c>
      <c r="AO153" s="21" t="str">
        <f aca="false">IF(Tasks[[#This Row],[Task Name]]="","",IF(Tasks[[#This Row],[Progress]]&gt;=1,"Complete",IF(OR(N(Tasks[[#This Row],[Actual Start]])&gt;0,Tasks[[#This Row],[Progress]]&gt;0),IF(Tasks[[#This Row],[Finish Var]]&gt;0,"Behind","In Progress"),IF(Tasks[[#This Row],[Planned Start]]&lt;StatusDate,"Late Start","Not Started"))))</f>
        <v/>
      </c>
      <c r="AP153" s="21" t="str">
        <f aca="false">IF(Tasks[[#This Row],[Task Name]]="","",IF(IF(Tasks[[#This Row],[_IsSummary]],COUNTIF(INDEX(Tasks[_LeafCritical],Tasks[[#This Row],[_Row]]+1):INDEX(Tasks[_LeafCritical],Tasks[[#This Row],[_Row]]+Tasks[[#This Row],[_Descendants]]),TRUE())&gt;0,Tasks[[#This Row],[_LeafCritical]]),"Yes",""))</f>
        <v/>
      </c>
      <c r="AQ153" s="62" t="str">
        <f aca="false">IF(Tasks[[#This Row],[Task Name]]="","",IF(N(Tasks[[#This Row],[Baseline Start]])&gt;0,Tasks[[#This Row],[Baseline Start]],Tasks[[#This Row],[_CalcStart]]))</f>
        <v/>
      </c>
      <c r="AR153" s="62" t="str">
        <f aca="false">IF(Tasks[[#This Row],[Task Name]]="","",IF(N(Tasks[[#This Row],[Baseline Finish]])&gt;0,Tasks[[#This Row],[Baseline Finish]],Tasks[[#This Row],[_CalcFinish]]))</f>
        <v/>
      </c>
      <c r="AS153" s="46" t="str">
        <f aca="false">IF(Tasks[[#This Row],[Task Name]]="","",IF(Tasks[[#This Row],[Start]]&gt;=Tasks[[#This Row],[Planned Start]],NETWORKDAYS.INTL(Tasks[[#This Row],[Planned Start]],Tasks[[#This Row],[Start]],WorkWeek,Holidays)-1,1-NETWORKDAYS.INTL(Tasks[[#This Row],[Start]],Tasks[[#This Row],[Planned Start]],WorkWeek,Holidays)))</f>
        <v/>
      </c>
      <c r="AT153" s="62" t="str">
        <f aca="false">IF(Tasks[[#This Row],[Task Name]]="","",IF(Tasks[[#This Row],[_IsSummary]],MIN(INDEX(Tasks[_LeafLateStart],Tasks[[#This Row],[_Row]]+1):INDEX(Tasks[_LeafLateStart],Tasks[[#This Row],[_Row]]+Tasks[[#This Row],[_Descendants]])),Tasks[[#This Row],[_LeafLateStart]]))</f>
        <v/>
      </c>
      <c r="AU153" s="62" t="str">
        <f aca="false">IF(Tasks[[#This Row],[Task Name]]="","",IF(Tasks[[#This Row],[_IsSummary]],MAX(INDEX(Tasks[_LeafLateFinish],Tasks[[#This Row],[_Row]]+1):INDEX(Tasks[_LeafLateFinish],Tasks[[#This Row],[_Row]]+Tasks[[#This Row],[_Descendants]])),Tasks[[#This Row],[_LeafLateFinish]]))</f>
        <v/>
      </c>
      <c r="AV153" s="46" t="str">
        <f aca="false">IF(Tasks[[#This Row],[Task Name]]="","",IF(Tasks[[#This Row],[_IsSummary]],MIN(INDEX(Tasks[_LeafTotalSlack],Tasks[[#This Row],[_Row]]+1):INDEX(Tasks[_LeafTotalSlack],Tasks[[#This Row],[_Row]]+Tasks[[#This Row],[_Descendants]])),Tasks[[#This Row],[_LeafTotalSlack]]))</f>
        <v/>
      </c>
      <c r="AW15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4"/>
      <c r="BA15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t="str">
        <f aca="false">IF(Tasks[[#This Row],[Task Name]]="","",IF(Tasks[[#This Row],[_Level]]&lt;=OutlineShowLevel,"Yes","No"))</f>
        <v/>
      </c>
      <c r="BE153" s="85" t="str">
        <f aca="false">IF(Tasks[[#This Row],[Task Name]]="","",IF(Tasks[[#This Row],[_IsSummary]],SUM(INDEX(Tasks[_LeafTotalWork],Tasks[[#This Row],[_Row]]+1):INDEX(Tasks[_LeafTotalWork],Tasks[[#This Row],[_Row]]+Tasks[[#This Row],[_Descendants]])),Tasks[[#This Row],[_LeafTotalWork]]))</f>
        <v/>
      </c>
      <c r="BF153" s="23"/>
      <c r="BG15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t="str">
        <f aca="false">""</f>
        <v/>
      </c>
      <c r="BI153" s="86"/>
      <c r="BJ153" s="22"/>
      <c r="BK153" s="46" t="str">
        <f aca="false">IF(OR(Tasks[[#This Row],[Task Name]]="",Tasks[[#This Row],[Baseline Duration]]=""),"",Tasks[[#This Row],[_SpanDays]]-N(Tasks[[#This Row],[Baseline Duration]]))</f>
        <v/>
      </c>
      <c r="BL153" s="85" t="str">
        <f aca="false">IF(OR(Tasks[[#This Row],[Task Name]]="",Tasks[[#This Row],[Baseline Work]]=""),"",Tasks[[#This Row],[Work]]-N(Tasks[[#This Row],[Baseline Work]]))</f>
        <v/>
      </c>
      <c r="BM153" s="62" t="str">
        <f aca="false">IF(Tasks[[#This Row],[Task Name]]="","",IF(OR(TakeBaseline="Yes",N(Tasks[[#This Row],[Baseline Start]])=0),Tasks[[#This Row],[Start]],Tasks[[#This Row],[Baseline Start]]))</f>
        <v/>
      </c>
      <c r="BN153" s="62" t="str">
        <f aca="false">IF(Tasks[[#This Row],[Task Name]]="","",IF(OR(TakeBaseline="Yes",N(Tasks[[#This Row],[Baseline Finish]])=0),Tasks[[#This Row],[Finish]],Tasks[[#This Row],[Baseline Finish]]))</f>
        <v/>
      </c>
      <c r="BO153" s="21" t="str">
        <f aca="false">IF(Tasks[[#This Row],[Task Name]]="","",IF(OR(TakeBaseline="Yes",N(Tasks[[#This Row],[Baseline Duration]])=0),Tasks[[#This Row],[_SpanDays]],Tasks[[#This Row],[Baseline Duration]]))</f>
        <v/>
      </c>
      <c r="BP153" s="85" t="str">
        <f aca="false">IF(Tasks[[#This Row],[Task Name]]="","",IF(OR(TakeBaseline="Yes",N(Tasks[[#This Row],[Baseline Work]])=0),Tasks[[#This Row],[Work]],Tasks[[#This Row],[Baseline Work]]))</f>
        <v/>
      </c>
      <c r="BQ153" s="7"/>
      <c r="BR153" s="7"/>
      <c r="BS153" s="22"/>
      <c r="BT153" s="87"/>
      <c r="BU153" s="42" t="str">
        <f aca="false">IF(Tasks[[#This Row],[Task Name]]="","",MAX(1,N(Tasks[[#This Row],[Level]])))</f>
        <v/>
      </c>
      <c r="BV153" s="42" t="n">
        <f aca="false">ROW()-ROW(Tasks[[#Headers],[ID]])</f>
        <v>148</v>
      </c>
      <c r="BW153" s="42" t="n">
        <f aca="false">IF(OR(Tasks[[#This Row],[Task Name]]="",Tasks[[#This Row],[_Level]]&lt;=1),0,IFERROR(LOOKUP(2,1/(Tasks[[#Headers],[_Level]]:Tasks[[#This Row],[_Level]]=Tasks[[#This Row],[_Level]]-1),ROW(Tasks[[#Headers],[_Level]]:Tasks[[#This Row],[_Level]])),0))</f>
        <v>0</v>
      </c>
      <c r="BX153" s="42" t="n">
        <f aca="false">IFERROR(N(INDEX(Tasks[_Level],Tasks[[#This Row],[_Row]]+1)),0)</f>
        <v>0</v>
      </c>
      <c r="BY153" s="88" t="b">
        <f aca="false">AND(Tasks[[#This Row],[Task Name]]&lt;&gt;"",Tasks[[#This Row],[_NextLevel]]&gt;Tasks[[#This Row],[_Level]])</f>
        <v>0</v>
      </c>
      <c r="BZ153" s="42" t="n">
        <f aca="false">IF(Tasks[[#This Row],[_IsSummary]],COUNTIF(Tasks[WBS],Tasks[[#This Row],[WBS]]&amp;".*"),0)</f>
        <v>0</v>
      </c>
      <c r="CA153" s="42" t="n">
        <f aca="false">IF(AND(Tasks[[#This Row],[Task Name]]&lt;&gt;"",NOT(Tasks[[#This Row],[_IsSummary]])),1,0)</f>
        <v>0</v>
      </c>
      <c r="CB153" s="42" t="n">
        <f aca="false">IF(N(Tasks[[#This Row],[_Pred1UID]])=0,0,IFERROR(MATCH(Tasks[[#This Row],[_Pred1UID]],Tasks[UID],0),-1))</f>
        <v>0</v>
      </c>
      <c r="CC153" s="42" t="n">
        <f aca="false">IF(N(Tasks[[#This Row],[_Pred2UID]])=0,0,IFERROR(MATCH(Tasks[[#This Row],[_Pred2UID]],Tasks[UID],0),-1))</f>
        <v>0</v>
      </c>
      <c r="CD153" s="42" t="n">
        <f aca="false">IF(N(Tasks[[#This Row],[_Pred3UID]])=0,0,IFERROR(MATCH(Tasks[[#This Row],[_Pred3UID]],Tasks[UID],0),-1))</f>
        <v>0</v>
      </c>
      <c r="CE153" s="42" t="n">
        <f aca="false">IF(N(Tasks[[#This Row],[_Pred4UID]])=0,0,IFERROR(MATCH(Tasks[[#This Row],[_Pred4UID]],Tasks[UID],0),-1))</f>
        <v>0</v>
      </c>
      <c r="CF15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3" s="89" t="n">
        <f aca="false">IF(OR(Tasks[[#This Row],[_ConstraintCode]]=2,Tasks[[#This Row],[_ConstraintCode]]=3,Tasks[[#This Row],[_ConstraintCode]]=4,Tasks[[#This Row],[_ConstraintCode]]=6),Tasks[[#This Row],[_ConstraintStart]],0)</f>
        <v>0</v>
      </c>
      <c r="CI153" s="89" t="n">
        <f aca="false">IF(OR(Tasks[[#This Row],[_ConstraintCode]]=2,Tasks[[#This Row],[_ConstraintCode]]=3,Tasks[[#This Row],[_ConstraintCode]]=5,Tasks[[#This Row],[_ConstraintCode]]=7),Tasks[[#This Row],[_ConstraintStart]],2958465)</f>
        <v>2958465</v>
      </c>
      <c r="CJ15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3" s="89" t="str">
        <f aca="false">IF(NOT(Tasks[[#This Row],[_IsLeaf]]=1),"",IF(N(Tasks[[#This Row],[_Days]])&lt;=0,Tasks[[#This Row],[_LeafCalcStart]],WORKDAY.INTL(Tasks[[#This Row],[_LeafCalcStart]],Tasks[[#This Row],[_Days]]-1,WorkWeek,Holidays)))</f>
        <v/>
      </c>
      <c r="CL15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3" s="42" t="str">
        <f aca="false">IF(Tasks[[#This Row],[_Predecessors]]="","",TRIM(MID(SUBSTITUTE(SUBSTITUTE(SUBSTITUTE(UPPER(Tasks[[#This Row],[_Predecessors]]),";",",")," ",""),",",REPT(" ",99)),1,99)))</f>
        <v/>
      </c>
      <c r="CO153" s="42" t="str">
        <f aca="false">IF(Tasks[[#This Row],[_Pred1Text]]="","",IFERROR(VALUE(LEFT(Tasks[[#This Row],[_Pred1Text]],MIN(FIND("F",Tasks[[#This Row],[_Pred1Text]]&amp;"F"),FIND("S",Tasks[[#This Row],[_Pred1Text]]&amp;"S"),FIND("+",Tasks[[#This Row],[_Pred1Text]]&amp;"+"),FIND("-",Tasks[[#This Row],[_Pred1Text]]&amp;"-"))-1)),""))</f>
        <v/>
      </c>
      <c r="CP15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3" s="42" t="str">
        <f aca="false">IF(Tasks[[#This Row],[_Pred1Text]]="","",TRIM(MID(SUBSTITUTE(SUBSTITUTE(SUBSTITUTE(UPPER(Tasks[[#This Row],[_Predecessors]]),";",",")," ",""),",",REPT(" ",99)),100,99)))</f>
        <v/>
      </c>
      <c r="CS153" s="42" t="str">
        <f aca="false">IF(Tasks[[#This Row],[_Pred2Text]]="","",IFERROR(VALUE(LEFT(Tasks[[#This Row],[_Pred2Text]],MIN(FIND("F",Tasks[[#This Row],[_Pred2Text]]&amp;"F"),FIND("S",Tasks[[#This Row],[_Pred2Text]]&amp;"S"),FIND("+",Tasks[[#This Row],[_Pred2Text]]&amp;"+"),FIND("-",Tasks[[#This Row],[_Pred2Text]]&amp;"-"))-1)),""))</f>
        <v/>
      </c>
      <c r="CT15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3" s="42" t="str">
        <f aca="false">IF(Tasks[[#This Row],[_Pred2Text]]="","",TRIM(MID(SUBSTITUTE(SUBSTITUTE(SUBSTITUTE(UPPER(Tasks[[#This Row],[_Predecessors]]),";",",")," ",""),",",REPT(" ",99)),199,99)))</f>
        <v/>
      </c>
      <c r="CW153" s="42" t="str">
        <f aca="false">IF(Tasks[[#This Row],[_Pred3Text]]="","",IFERROR(VALUE(LEFT(Tasks[[#This Row],[_Pred3Text]],MIN(FIND("F",Tasks[[#This Row],[_Pred3Text]]&amp;"F"),FIND("S",Tasks[[#This Row],[_Pred3Text]]&amp;"S"),FIND("+",Tasks[[#This Row],[_Pred3Text]]&amp;"+"),FIND("-",Tasks[[#This Row],[_Pred3Text]]&amp;"-"))-1)),""))</f>
        <v/>
      </c>
      <c r="CX15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3" s="42" t="str">
        <f aca="false">IF(Tasks[[#This Row],[_Pred3Text]]="","",TRIM(MID(SUBSTITUTE(SUBSTITUTE(SUBSTITUTE(UPPER(Tasks[[#This Row],[_Predecessors]]),";",",")," ",""),",",REPT(" ",99)),298,99)))</f>
        <v/>
      </c>
      <c r="DA153" s="42" t="str">
        <f aca="false">IF(Tasks[[#This Row],[_Pred4Text]]="","",IFERROR(VALUE(LEFT(Tasks[[#This Row],[_Pred4Text]],MIN(FIND("F",Tasks[[#This Row],[_Pred4Text]]&amp;"F"),FIND("S",Tasks[[#This Row],[_Pred4Text]]&amp;"S"),FIND("+",Tasks[[#This Row],[_Pred4Text]]&amp;"+"),FIND("-",Tasks[[#This Row],[_Pred4Text]]&amp;"-"))-1)),""))</f>
        <v/>
      </c>
      <c r="DB15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3" s="42" t="str">
        <f aca="false">IF(OR(Tasks[[#This Row],[Task Name]]="",Tasks[[#This Row],[_Resources]]=""),"",TRIM(MID(SUBSTITUTE(Tasks[[#This Row],[_Resources]],",",REPT(" ",99)),1,99)))</f>
        <v/>
      </c>
      <c r="DE153" s="42" t="str">
        <f aca="false">IF(Tasks[[#This Row],[_Res1Text]]="","",TRIM(MID(SUBSTITUTE(Tasks[[#This Row],[_Resources]],",",REPT(" ",99)),100,99)))</f>
        <v/>
      </c>
      <c r="DF153" s="42" t="str">
        <f aca="false">IF(Tasks[[#This Row],[_Res2Text]]="","",TRIM(MID(SUBSTITUTE(Tasks[[#This Row],[_Resources]],",",REPT(" ",99)),199,99)))</f>
        <v/>
      </c>
      <c r="DG153" s="42" t="str">
        <f aca="false">IF(Tasks[[#This Row],[_Res3Text]]="","",TRIM(MID(SUBSTITUTE(Tasks[[#This Row],[_Resources]],",",REPT(" ",99)),298,99)))</f>
        <v/>
      </c>
      <c r="DH153" s="42" t="n">
        <f aca="false">IF(Tasks[[#This Row],[_Res1Text]]="",0,IFERROR(MATCH(TRIM(LEFT(Tasks[[#This Row],[_Res1Text]],FIND("[",Tasks[[#This Row],[_Res1Text]]&amp;"[")-1)),res_Name,0),IFERROR(MATCH(TRIM(LEFT(Tasks[[#This Row],[_Res1Text]],FIND("[",Tasks[[#This Row],[_Res1Text]]&amp;"[")-1)),res_Initials,0),0)))</f>
        <v>0</v>
      </c>
      <c r="DI153" s="42" t="n">
        <f aca="false">IF(Tasks[[#This Row],[_Res2Text]]="",0,IFERROR(MATCH(TRIM(LEFT(Tasks[[#This Row],[_Res2Text]],FIND("[",Tasks[[#This Row],[_Res2Text]]&amp;"[")-1)),res_Name,0),IFERROR(MATCH(TRIM(LEFT(Tasks[[#This Row],[_Res2Text]],FIND("[",Tasks[[#This Row],[_Res2Text]]&amp;"[")-1)),res_Initials,0),0)))</f>
        <v>0</v>
      </c>
      <c r="DJ153" s="42" t="n">
        <f aca="false">IF(Tasks[[#This Row],[_Res3Text]]="",0,IFERROR(MATCH(TRIM(LEFT(Tasks[[#This Row],[_Res3Text]],FIND("[",Tasks[[#This Row],[_Res3Text]]&amp;"[")-1)),res_Name,0),IFERROR(MATCH(TRIM(LEFT(Tasks[[#This Row],[_Res3Text]],FIND("[",Tasks[[#This Row],[_Res3Text]]&amp;"[")-1)),res_Initials,0),0)))</f>
        <v>0</v>
      </c>
      <c r="DK153" s="42" t="n">
        <f aca="false">IF(Tasks[[#This Row],[_Res4Text]]="",0,IFERROR(MATCH(TRIM(LEFT(Tasks[[#This Row],[_Res4Text]],FIND("[",Tasks[[#This Row],[_Res4Text]]&amp;"[")-1)),res_Name,0),IFERROR(MATCH(TRIM(LEFT(Tasks[[#This Row],[_Res4Text]],FIND("[",Tasks[[#This Row],[_Res4Text]]&amp;"[")-1)),res_Initials,0),0)))</f>
        <v>0</v>
      </c>
      <c r="DL153" s="42" t="str">
        <f aca="false">IF(Tasks[[#This Row],[_Res1Text]]="","",IF(Tasks[[#This Row],[_Res1Row]]&gt;0,INDEX(res_Name,Tasks[[#This Row],[_Res1Row]]),TRIM(LEFT(Tasks[[#This Row],[_Res1Text]],FIND("[",Tasks[[#This Row],[_Res1Text]]&amp;"[")-1))))</f>
        <v/>
      </c>
      <c r="DM15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3" s="42" t="n">
        <f aca="false">IF(NOT(Tasks[[#This Row],[_IsLeaf]]=1),0,(Tasks[[#This Row],[_Resource1]]&lt;&gt;"")+(Tasks[[#This Row],[_Res2]]&lt;&gt;"")+(Tasks[[#This Row],[_Res3]]&lt;&gt;"")+(Tasks[[#This Row],[_Res4]]&lt;&gt;""))</f>
        <v>0</v>
      </c>
      <c r="DO153" s="42" t="str">
        <f aca="false">IF(Tasks[[#This Row],[_Res2Text]]="","",IF(Tasks[[#This Row],[_Res2Row]]&gt;0,INDEX(res_Name,Tasks[[#This Row],[_Res2Row]]),TRIM(LEFT(Tasks[[#This Row],[_Res2Text]],FIND("[",Tasks[[#This Row],[_Res2Text]]&amp;"[")-1))))</f>
        <v/>
      </c>
      <c r="DP15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3" s="42" t="n">
        <f aca="false">IF(OR(NOT(Tasks[[#This Row],[_IsLeaf]]=1),Tasks[[#This Row],[_Res2Row]]=0),0,N(Tasks[[#This Row],[_Days]])*HoursPerDay*IF(Tasks[[#This Row],[_Res2Units]]="",DefaultUnits,Tasks[[#This Row],[_Res2Units]]))</f>
        <v>0</v>
      </c>
      <c r="DR153" s="42" t="n">
        <f aca="false">IF(AND(AND(Tasks[[#This Row],[_IsLeaf]]=1,Tasks[[#This Row],[_LeafTotalWork]]&gt;0),Tasks[[#This Row],[_Res2Work]]&gt;0),Tasks[[#This Row],[_Res2Work]]/(Tasks[[#This Row],[_FinishWorkday]]-Tasks[[#This Row],[_StartWorkday]]+1),0)</f>
        <v>0</v>
      </c>
      <c r="DS153" s="42" t="n">
        <f aca="false">Tasks[[#This Row],[_Res2WorkPerWD]]*MAX(0,Tasks[[#This Row],[_StartWorkday]]-1)</f>
        <v>0</v>
      </c>
      <c r="DT153" s="42" t="n">
        <f aca="false">Tasks[[#This Row],[_Res2Work]]*Tasks[[#This Row],[_LeafProgress]]</f>
        <v>0</v>
      </c>
      <c r="DU153" s="42" t="str">
        <f aca="false">IF(Tasks[[#This Row],[_Res3Text]]="","",IF(Tasks[[#This Row],[_Res3Row]]&gt;0,INDEX(res_Name,Tasks[[#This Row],[_Res3Row]]),TRIM(LEFT(Tasks[[#This Row],[_Res3Text]],FIND("[",Tasks[[#This Row],[_Res3Text]]&amp;"[")-1))))</f>
        <v/>
      </c>
      <c r="DV15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3" s="42" t="n">
        <f aca="false">IF(OR(NOT(Tasks[[#This Row],[_IsLeaf]]=1),Tasks[[#This Row],[_Res3Row]]=0),0,N(Tasks[[#This Row],[_Days]])*HoursPerDay*IF(Tasks[[#This Row],[_Res3Units]]="",DefaultUnits,Tasks[[#This Row],[_Res3Units]]))</f>
        <v>0</v>
      </c>
      <c r="DX153" s="42" t="n">
        <f aca="false">IF(AND(AND(Tasks[[#This Row],[_IsLeaf]]=1,Tasks[[#This Row],[_LeafTotalWork]]&gt;0),Tasks[[#This Row],[_Res3Work]]&gt;0),Tasks[[#This Row],[_Res3Work]]/(Tasks[[#This Row],[_FinishWorkday]]-Tasks[[#This Row],[_StartWorkday]]+1),0)</f>
        <v>0</v>
      </c>
      <c r="DY153" s="42" t="n">
        <f aca="false">Tasks[[#This Row],[_Res3WorkPerWD]]*MAX(0,Tasks[[#This Row],[_StartWorkday]]-1)</f>
        <v>0</v>
      </c>
      <c r="DZ153" s="42" t="n">
        <f aca="false">Tasks[[#This Row],[_Res3Work]]*Tasks[[#This Row],[_LeafProgress]]</f>
        <v>0</v>
      </c>
      <c r="EA153" s="42" t="str">
        <f aca="false">IF(Tasks[[#This Row],[_Res4Text]]="","",IF(Tasks[[#This Row],[_Res4Row]]&gt;0,INDEX(res_Name,Tasks[[#This Row],[_Res4Row]]),TRIM(LEFT(Tasks[[#This Row],[_Res4Text]],FIND("[",Tasks[[#This Row],[_Res4Text]]&amp;"[")-1))))</f>
        <v/>
      </c>
      <c r="EB15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3" s="42" t="n">
        <f aca="false">IF(OR(NOT(Tasks[[#This Row],[_IsLeaf]]=1),Tasks[[#This Row],[_Res4Row]]=0),0,N(Tasks[[#This Row],[_Days]])*HoursPerDay*IF(Tasks[[#This Row],[_Res4Units]]="",DefaultUnits,Tasks[[#This Row],[_Res4Units]]))</f>
        <v>0</v>
      </c>
      <c r="ED153" s="42" t="n">
        <f aca="false">IF(AND(AND(Tasks[[#This Row],[_IsLeaf]]=1,Tasks[[#This Row],[_LeafTotalWork]]&gt;0),Tasks[[#This Row],[_Res4Work]]&gt;0),Tasks[[#This Row],[_Res4Work]]/(Tasks[[#This Row],[_FinishWorkday]]-Tasks[[#This Row],[_StartWorkday]]+1),0)</f>
        <v>0</v>
      </c>
      <c r="EE153" s="42" t="n">
        <f aca="false">Tasks[[#This Row],[_Res4WorkPerWD]]*MAX(0,Tasks[[#This Row],[_StartWorkday]]-1)</f>
        <v>0</v>
      </c>
      <c r="EF153" s="42" t="n">
        <f aca="false">Tasks[[#This Row],[_Res4Work]]*Tasks[[#This Row],[_LeafProgress]]</f>
        <v>0</v>
      </c>
      <c r="EG153" s="42" t="n">
        <f aca="false">IF(ISNUMBER(Tasks[[#This Row],[% Complete]]),Tasks[[#This Row],[% Complete]],IF(Tasks[[#This Row],[Stage]]="",0,IFERROR(INDEX(stg_Pct,MATCH(Tasks[[#This Row],[Stage]],stg_Name,0)),0)))</f>
        <v>0</v>
      </c>
      <c r="EH153" s="42" t="n">
        <f aca="false">IF(NOT(Tasks[[#This Row],[_IsLeaf]]=1),0,IF(N(Tasks[[#This Row],[Actual Finish]])&gt;0,1,MIN(1,Tasks[[#This Row],[_Pct]])))</f>
        <v>0</v>
      </c>
      <c r="EI153" s="42" t="n">
        <f aca="false">IF(OR(NOT(Tasks[[#This Row],[_IsLeaf]]=1),Tasks[[#This Row],[_Res1Row]]=0),0,N(Tasks[[#This Row],[_Days]])*HoursPerDay*IF(Tasks[[#This Row],[_Units1]]="",DefaultUnits,Tasks[[#This Row],[_Units1]]))</f>
        <v>0</v>
      </c>
      <c r="EJ153" s="42" t="n">
        <f aca="false">Tasks[[#This Row],[_LeafWork]]+Tasks[[#This Row],[_Res2Work]]+Tasks[[#This Row],[_Res3Work]]+Tasks[[#This Row],[_Res4Work]]</f>
        <v>0</v>
      </c>
      <c r="EK15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3" s="42" t="n">
        <f aca="false">IF(NOT(Tasks[[#This Row],[_IsLeaf]]=1),0,MAX(_xlfn.MAXIFS(Tasks[_Row],Tasks[_Pred1UID],Tasks[[#This Row],[UID]]),_xlfn.MAXIFS(Tasks[_Row],Tasks[_Pred2UID],Tasks[[#This Row],[UID]]),_xlfn.MAXIFS(Tasks[_Row],Tasks[_Pred3UID],Tasks[[#This Row],[UID]]),_xlfn.MAXIFS(Tasks[_Row],Tasks[_Pred4UID],Tasks[[#This Row],[UID]])))</f>
        <v>0</v>
      </c>
      <c r="ET15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3" s="89" t="str">
        <f aca="false">IF(NOT(Tasks[[#This Row],[_IsLeaf]]=1),"",IF(N(Tasks[[#This Row],[_Days]])&lt;=0,Tasks[[#This Row],[_LeafLateFinish]],WORKDAY.INTL(Tasks[[#This Row],[_LeafLateFinish]],-(Tasks[[#This Row],[_Days]]-1),WorkWeek,Holidays)))</f>
        <v/>
      </c>
      <c r="EW15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3" s="88" t="b">
        <f aca="false">AND(Tasks[[#This Row],[_IsLeaf]]=1,Tasks[[#This Row],[_LeafProgress]]&lt;1,N(Tasks[[#This Row],[_LeafTotalSlack]])&lt;=CriticalSlackDays)</f>
        <v>0</v>
      </c>
      <c r="EY153" s="42" t="n">
        <f aca="false">IF(AND(Tasks[[#This Row],[_IsLeaf]]=1,Tasks[[#This Row],[_ConstraintCode]]=1,Tasks[[#This Row],[Mode]]&lt;&gt;"Manual",N(Tasks[[#This Row],[Actual Start]])=0),MAX(0,N(Tasks[[#This Row],[Free Slack]])),0)</f>
        <v>0</v>
      </c>
      <c r="EZ153" s="89" t="str">
        <f aca="false">IF(NOT(Tasks[[#This Row],[_IsLeaf]]=1),"",IF(Tasks[[#This Row],[_AlapShift]]=0,Tasks[[#This Row],[_LeafCalcStart]],WORKDAY.INTL(Tasks[[#This Row],[_LeafCalcStart]],Tasks[[#This Row],[_AlapShift]],WorkWeek,Holidays)))</f>
        <v/>
      </c>
      <c r="FA153" s="89" t="str">
        <f aca="false">IF(NOT(Tasks[[#This Row],[_IsLeaf]]=1),"",IF(Tasks[[#This Row],[_AlapShift]]=0,Tasks[[#This Row],[_LeafCalcFinish]],WORKDAY.INTL(Tasks[[#This Row],[_LeafCalcFinish]],Tasks[[#This Row],[_AlapShift]],WorkWeek,Holidays)))</f>
        <v/>
      </c>
      <c r="FB153" s="89" t="str">
        <f aca="false">IF(NOT(Tasks[[#This Row],[_IsLeaf]]=1),"",IF(Tasks[[#This Row],[_AlapShift]]=0,Tasks[[#This Row],[_LeafFcstStart]],WORKDAY.INTL(Tasks[[#This Row],[_LeafFcstStart]],Tasks[[#This Row],[_AlapShift]],WorkWeek,Holidays)))</f>
        <v/>
      </c>
      <c r="FC153" s="89" t="str">
        <f aca="false">IF(NOT(Tasks[[#This Row],[_IsLeaf]]=1),"",IF(Tasks[[#This Row],[_AlapShift]]=0,Tasks[[#This Row],[_LeafFcstFinish]],WORKDAY.INTL(Tasks[[#This Row],[_LeafFcstFinish]],Tasks[[#This Row],[_AlapShift]],WorkWeek,Holidays)))</f>
        <v/>
      </c>
      <c r="FD153" s="89" t="str">
        <f aca="false">IF(Tasks[[#This Row],[Task Name]]="","",IF(Tasks[[#This Row],[_IsSummary]],MIN(INDEX(Tasks[_ShownCalcStart],Tasks[[#This Row],[_Row]]+1):INDEX(Tasks[_ShownCalcStart],Tasks[[#This Row],[_Row]]+Tasks[[#This Row],[_Descendants]])),Tasks[[#This Row],[_ShownCalcStart]]))</f>
        <v/>
      </c>
      <c r="FE153" s="89" t="str">
        <f aca="false">IF(Tasks[[#This Row],[Task Name]]="","",IF(Tasks[[#This Row],[_IsSummary]],MAX(INDEX(Tasks[_ShownCalcFinish],Tasks[[#This Row],[_Row]]+1):INDEX(Tasks[_ShownCalcFinish],Tasks[[#This Row],[_Row]]+Tasks[[#This Row],[_Descendants]])),Tasks[[#This Row],[_ShownCalcFinish]]))</f>
        <v/>
      </c>
      <c r="FF15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3" s="42" t="n">
        <f aca="false">IF(AND(Tasks[[#This Row],[_IsLeaf]]=1,Tasks[[#This Row],[_LeafTotalWork]]&gt;0),NETWORKDAYS.INTL(ProjectStart,Tasks[[#This Row],[_ShownFcstStart]],WorkWeek,Holidays),0)</f>
        <v>0</v>
      </c>
      <c r="FS153" s="42" t="n">
        <f aca="false">IF(AND(Tasks[[#This Row],[_IsLeaf]]=1,Tasks[[#This Row],[_LeafTotalWork]]&gt;0),MAX(Tasks[[#This Row],[_StartWorkday]],NETWORKDAYS.INTL(ProjectStart,Tasks[[#This Row],[_ShownFcstFinish]],WorkWeek,Holidays)),0)</f>
        <v>0</v>
      </c>
      <c r="FT153" s="42" t="n">
        <f aca="false">IF(AND(Tasks[[#This Row],[_IsLeaf]]=1,Tasks[[#This Row],[_LeafTotalWork]]&gt;0),Tasks[[#This Row],[_LeafWork]]/(Tasks[[#This Row],[_FinishWorkday]]-Tasks[[#This Row],[_StartWorkday]]+1),0)</f>
        <v>0</v>
      </c>
      <c r="FU153" s="42" t="n">
        <f aca="false">Tasks[[#This Row],[_WorkPerWorkday]]*(Tasks[[#This Row],[_StartWorkday]]-1)</f>
        <v>-0</v>
      </c>
      <c r="FV153" s="42" t="n">
        <f aca="false">IF(Tasks[[#This Row],[_IsLeaf]]=1,MAX(N(Tasks[[#This Row],[_Days]]),0.1),0)</f>
        <v>0</v>
      </c>
      <c r="FW153" s="42" t="n">
        <f aca="false">Tasks[[#This Row],[_WeightDur]]*Tasks[[#This Row],[_LeafProgress]]</f>
        <v>0</v>
      </c>
      <c r="FX153" s="42" t="n">
        <f aca="false">Tasks[[#This Row],[_WeightDur]]*Tasks[[#This Row],[_PlannedPct]]</f>
        <v>0</v>
      </c>
      <c r="FY15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3" s="42" t="str">
        <f aca="false">IF(AND(Tasks[[#This Row],[_IsLeaf]]=1,N(Tasks[[#This Row],[_Days]])=0,Tasks[[#This Row],[_LeafProgress]]&lt;1),Tasks[[#This Row],[_ShownFcstFinish]]+Tasks[[#This Row],[_Row]]/100000,"")</f>
        <v/>
      </c>
      <c r="GA15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3" s="42" t="str">
        <f aca="false">IF(Tasks[[#This Row],[Task Name]]="","",LEFT(Tasks[[#This Row],[WBS]],FIND(".",Tasks[[#This Row],[WBS]]&amp;".")-1))</f>
        <v/>
      </c>
      <c r="GC153" s="42" t="str">
        <f aca="false">IF(AND(Tasks[[#This Row],[Task Name]]&lt;&gt;"",Tasks[[#This Row],[_Level]]=1),Tasks[[#This Row],[_Row]],"")</f>
        <v/>
      </c>
      <c r="GD153" s="42" t="str">
        <f aca="false">IF(AND(Tasks[[#This Row],[_IsLeaf]]=1,N(Tasks[[#This Row],[_Days]])=0),Tasks[[#This Row],[Planned Finish]]+Tasks[[#This Row],[_Row]]/100000,"")</f>
        <v/>
      </c>
      <c r="GE153" s="42" t="str">
        <f aca="false">IF(AND(Tasks[[#This Row],[_IsLeaf]]=1,Tasks[[#This Row],[_LeafProgress]]&lt;1,OR(N(Tasks[[#This Row],[Finish Var]])&gt;0,Tasks[[#This Row],[Status]]="Late Start")),MAX(0,Tasks[[#This Row],[Finish Var]])+1-Tasks[[#This Row],[_Row]]/1000000,"")</f>
        <v/>
      </c>
      <c r="GF153" s="42" t="str">
        <f aca="false">IF(AND(Tasks[[#This Row],[_IsLeaf]]=1,N(Tasks[[#This Row],[Actual Start]])=0,Tasks[[#This Row],[_ShownFcstStart]]&gt;=StatusDate,Tasks[[#This Row],[_ShownFcstStart]]&lt;=LookaheadEnd),Tasks[[#This Row],[_ShownFcstStart]]+Tasks[[#This Row],[_Row]]/100000,"")</f>
        <v/>
      </c>
      <c r="GG153" s="42" t="str">
        <f aca="false">IF(AND(Tasks[[#This Row],[_IsLeaf]]=1,Tasks[[#This Row],[_LeafProgress]]&lt;1,Tasks[[#This Row],[_ShownFcstFinish]]&gt;=StatusDate,Tasks[[#This Row],[_ShownFcstFinish]]&lt;=LookaheadEnd),Tasks[[#This Row],[_ShownFcstFinish]]+Tasks[[#This Row],[_Row]]/100000,"")</f>
        <v/>
      </c>
      <c r="GH153" s="42" t="str">
        <f aca="false">IF(Tasks[[#This Row],[_LeafCritical]],Tasks[[#This Row],[_ShownFcstStart]]+Tasks[[#This Row],[_Row]]/100000,"")</f>
        <v/>
      </c>
      <c r="GI153" s="42" t="n">
        <f aca="false">Tasks[[#This Row],[_LeafWork]]*Tasks[[#This Row],[_LeafProgress]]</f>
        <v>0</v>
      </c>
      <c r="GJ153" s="89" t="str">
        <f aca="false">IF(AND(Tasks[[#This Row],[_IsLeaf]]=1,Tasks[[#This Row],[_LeafProgress]]&gt;=1),IF(N(Tasks[[#This Row],[Actual Finish]])&gt;0,Tasks[[#This Row],[Actual Finish]],Tasks[[#This Row],[_ShownFcstFinish]]),"")</f>
        <v/>
      </c>
      <c r="GK153" s="42" t="n">
        <f aca="false">IF(Tasks[[#This Row],[_IsLeaf]]=1,N(Tasks[[#This Row],[Story Points]]),0)</f>
        <v>0</v>
      </c>
      <c r="GL153" s="42" t="str">
        <f aca="false">""</f>
        <v/>
      </c>
      <c r="GM153" s="88" t="b">
        <f aca="false">IF(Tasks[[#This Row],[Task Name]]="",FALSE(),AND(Tasks[[#This Row],[_IsLeaf]]=1,N(Tasks[[#This Row],[_Days]])=0))</f>
        <v>0</v>
      </c>
      <c r="GN153" s="89" t="n">
        <f aca="false">IF(Tasks[[#This Row],[Task Name]]="",0,IF(AND(Tasks[[#This Row],[_IsLeaf]]=1,NOT(Tasks[[#This Row],[_IsMilestone]]),N(Tasks[[#This Row],[Progress]])&gt;0),Tasks[[#This Row],[Start]],0))</f>
        <v>0</v>
      </c>
      <c r="GO153" s="89" t="n">
        <f aca="false">IF(Tasks[[#This Row],[_DoneFrom]]=0,0,IF(Tasks[[#This Row],[Progress]]&gt;=1,Tasks[[#This Row],[Finish]],MAX(Tasks[[#This Row],[_DoneFrom]],Tasks[[#This Row],[Start]]+ROUND((Tasks[[#This Row],[Finish]]-Tasks[[#This Row],[Start]]+1)*Tasks[[#This Row],[Progress]],0)-1)))</f>
        <v>0</v>
      </c>
      <c r="GP153" s="89" t="n">
        <f aca="false">IF(Tasks[[#This Row],[Task Name]]="",0,IF(OR(NOT(Tasks[[#This Row],[_IsLeaf]]=1),Tasks[[#This Row],[_IsMilestone]],N(Tasks[[#This Row],[Progress]])&gt;=1),0,IF(Tasks[[#This Row],[_DoneTo]]&gt;0,Tasks[[#This Row],[_DoneTo]]+1,Tasks[[#This Row],[Start]])))</f>
        <v>0</v>
      </c>
      <c r="GQ153" s="89" t="n">
        <f aca="false">IF(Tasks[[#This Row],[_RemFrom]]=0,0,Tasks[[#This Row],[Finish]])</f>
        <v>0</v>
      </c>
      <c r="GR153" s="88" t="b">
        <f aca="false">IF(Tasks[[#This Row],[Task Name]]="",FALSE(),OR(NOT(BaselineSet),N(Tasks[[#This Row],[Baseline Start]])&gt;0))</f>
        <v>0</v>
      </c>
      <c r="GS15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3" s="90" t="str">
        <f aca="false">IF(Tasks[[#This Row],[_IsLeaf]]=1,Tasks[[#This Row],[_Row]],"")</f>
        <v/>
      </c>
      <c r="GW153" s="90" t="str">
        <f aca="false">IFERROR(INDEX(Tasks[UID],SMALL(Tasks[_PickKey],Tasks[[#This Row],[_Row]]))&amp;" "&amp;INDEX(Tasks[Task Name],SMALL(Tasks[_PickKey],Tasks[[#This Row],[_Row]])),"")</f>
        <v/>
      </c>
      <c r="GX153" s="42" t="str">
        <f aca="false">IF(Tasks[[#This Row],[Task Name]]="","",IF(Tasks[[#This Row],[_IsSummary]],NETWORKDAYS.INTL(Tasks[[#This Row],[Start]],Tasks[[#This Row],[Finish]],WorkWeek,Holidays),N(Tasks[[#This Row],[_Days]])))</f>
        <v/>
      </c>
    </row>
    <row r="154" customFormat="false" ht="15" hidden="false" customHeight="false" outlineLevel="0" collapsed="false">
      <c r="A154" s="21" t="str">
        <f aca="false">IF(Tasks[[#This Row],[Task Name]]="","",COUNTA(Tasks[[#Headers],[Task Name]]:Tasks[[#This Row],[Task Name]])-1)</f>
        <v/>
      </c>
      <c r="B154" s="22" t="n">
        <v>162</v>
      </c>
      <c r="C154" s="22"/>
      <c r="D154" s="23"/>
      <c r="E154" s="22"/>
      <c r="F154" s="23"/>
      <c r="G154" s="22"/>
      <c r="H154" s="22"/>
      <c r="I154" s="23"/>
      <c r="J154" s="22"/>
      <c r="K154" s="22"/>
      <c r="L154" s="23"/>
      <c r="M154" s="22"/>
      <c r="N154" s="22"/>
      <c r="O154" s="23"/>
      <c r="P154" s="22"/>
      <c r="Q154" s="22"/>
      <c r="R154" s="23"/>
      <c r="S154" s="23"/>
      <c r="T154" s="83"/>
      <c r="U154" s="23"/>
      <c r="V154" s="83"/>
      <c r="W154" s="23"/>
      <c r="X154" s="83"/>
      <c r="Y154" s="23"/>
      <c r="Z154" s="83"/>
      <c r="AA154" s="23"/>
      <c r="AB154" s="23"/>
      <c r="AC154" s="7"/>
      <c r="AD154" s="7"/>
      <c r="AE154" s="62" t="str">
        <f aca="false">IF(Tasks[[#This Row],[Task Name]]="","",IF(Tasks[[#This Row],[_IsSummary]],MIN(INDEX(Tasks[_ShownFcstStart],Tasks[[#This Row],[_Row]]+1):INDEX(Tasks[_ShownFcstStart],Tasks[[#This Row],[_Row]]+Tasks[[#This Row],[_Descendants]])),Tasks[[#This Row],[_ShownFcstStart]]))</f>
        <v/>
      </c>
      <c r="AF154" s="62" t="str">
        <f aca="false">IF(Tasks[[#This Row],[Task Name]]="","",IF(Tasks[[#This Row],[_IsSummary]],MAX(INDEX(Tasks[_ShownFcstFinish],Tasks[[#This Row],[_Row]]+1):INDEX(Tasks[_ShownFcstFinish],Tasks[[#This Row],[_Row]]+Tasks[[#This Row],[_Descendants]])),Tasks[[#This Row],[_ShownFcstFinish]]))</f>
        <v/>
      </c>
      <c r="AG154" s="21" t="str">
        <f aca="false">""</f>
        <v/>
      </c>
      <c r="AH154" s="23"/>
      <c r="AI15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4" s="7"/>
      <c r="AK154" s="22"/>
      <c r="AL154" s="23"/>
      <c r="AM154" s="7"/>
      <c r="AN154" s="46" t="str">
        <f aca="false">IF(Tasks[[#This Row],[Task Name]]="","",IF(Tasks[[#This Row],[Finish]]&gt;=Tasks[[#This Row],[Planned Finish]],NETWORKDAYS.INTL(Tasks[[#This Row],[Planned Finish]],Tasks[[#This Row],[Finish]],WorkWeek,Holidays)-1,1-NETWORKDAYS.INTL(Tasks[[#This Row],[Finish]],Tasks[[#This Row],[Planned Finish]],WorkWeek,Holidays)))</f>
        <v/>
      </c>
      <c r="AO154" s="21" t="str">
        <f aca="false">IF(Tasks[[#This Row],[Task Name]]="","",IF(Tasks[[#This Row],[Progress]]&gt;=1,"Complete",IF(OR(N(Tasks[[#This Row],[Actual Start]])&gt;0,Tasks[[#This Row],[Progress]]&gt;0),IF(Tasks[[#This Row],[Finish Var]]&gt;0,"Behind","In Progress"),IF(Tasks[[#This Row],[Planned Start]]&lt;StatusDate,"Late Start","Not Started"))))</f>
        <v/>
      </c>
      <c r="AP154" s="21" t="str">
        <f aca="false">IF(Tasks[[#This Row],[Task Name]]="","",IF(IF(Tasks[[#This Row],[_IsSummary]],COUNTIF(INDEX(Tasks[_LeafCritical],Tasks[[#This Row],[_Row]]+1):INDEX(Tasks[_LeafCritical],Tasks[[#This Row],[_Row]]+Tasks[[#This Row],[_Descendants]]),TRUE())&gt;0,Tasks[[#This Row],[_LeafCritical]]),"Yes",""))</f>
        <v/>
      </c>
      <c r="AQ154" s="62" t="str">
        <f aca="false">IF(Tasks[[#This Row],[Task Name]]="","",IF(N(Tasks[[#This Row],[Baseline Start]])&gt;0,Tasks[[#This Row],[Baseline Start]],Tasks[[#This Row],[_CalcStart]]))</f>
        <v/>
      </c>
      <c r="AR154" s="62" t="str">
        <f aca="false">IF(Tasks[[#This Row],[Task Name]]="","",IF(N(Tasks[[#This Row],[Baseline Finish]])&gt;0,Tasks[[#This Row],[Baseline Finish]],Tasks[[#This Row],[_CalcFinish]]))</f>
        <v/>
      </c>
      <c r="AS154" s="46" t="str">
        <f aca="false">IF(Tasks[[#This Row],[Task Name]]="","",IF(Tasks[[#This Row],[Start]]&gt;=Tasks[[#This Row],[Planned Start]],NETWORKDAYS.INTL(Tasks[[#This Row],[Planned Start]],Tasks[[#This Row],[Start]],WorkWeek,Holidays)-1,1-NETWORKDAYS.INTL(Tasks[[#This Row],[Start]],Tasks[[#This Row],[Planned Start]],WorkWeek,Holidays)))</f>
        <v/>
      </c>
      <c r="AT154" s="62" t="str">
        <f aca="false">IF(Tasks[[#This Row],[Task Name]]="","",IF(Tasks[[#This Row],[_IsSummary]],MIN(INDEX(Tasks[_LeafLateStart],Tasks[[#This Row],[_Row]]+1):INDEX(Tasks[_LeafLateStart],Tasks[[#This Row],[_Row]]+Tasks[[#This Row],[_Descendants]])),Tasks[[#This Row],[_LeafLateStart]]))</f>
        <v/>
      </c>
      <c r="AU154" s="62" t="str">
        <f aca="false">IF(Tasks[[#This Row],[Task Name]]="","",IF(Tasks[[#This Row],[_IsSummary]],MAX(INDEX(Tasks[_LeafLateFinish],Tasks[[#This Row],[_Row]]+1):INDEX(Tasks[_LeafLateFinish],Tasks[[#This Row],[_Row]]+Tasks[[#This Row],[_Descendants]])),Tasks[[#This Row],[_LeafLateFinish]]))</f>
        <v/>
      </c>
      <c r="AV154" s="46" t="str">
        <f aca="false">IF(Tasks[[#This Row],[Task Name]]="","",IF(Tasks[[#This Row],[_IsSummary]],MIN(INDEX(Tasks[_LeafTotalSlack],Tasks[[#This Row],[_Row]]+1):INDEX(Tasks[_LeafTotalSlack],Tasks[[#This Row],[_Row]]+Tasks[[#This Row],[_Descendants]])),Tasks[[#This Row],[_LeafTotalSlack]]))</f>
        <v/>
      </c>
      <c r="AW15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4"/>
      <c r="BA15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t="str">
        <f aca="false">IF(Tasks[[#This Row],[Task Name]]="","",IF(Tasks[[#This Row],[_Level]]&lt;=OutlineShowLevel,"Yes","No"))</f>
        <v/>
      </c>
      <c r="BE154" s="85" t="str">
        <f aca="false">IF(Tasks[[#This Row],[Task Name]]="","",IF(Tasks[[#This Row],[_IsSummary]],SUM(INDEX(Tasks[_LeafTotalWork],Tasks[[#This Row],[_Row]]+1):INDEX(Tasks[_LeafTotalWork],Tasks[[#This Row],[_Row]]+Tasks[[#This Row],[_Descendants]])),Tasks[[#This Row],[_LeafTotalWork]]))</f>
        <v/>
      </c>
      <c r="BF154" s="23"/>
      <c r="BG15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t="str">
        <f aca="false">""</f>
        <v/>
      </c>
      <c r="BI154" s="86"/>
      <c r="BJ154" s="22"/>
      <c r="BK154" s="46" t="str">
        <f aca="false">IF(OR(Tasks[[#This Row],[Task Name]]="",Tasks[[#This Row],[Baseline Duration]]=""),"",Tasks[[#This Row],[_SpanDays]]-N(Tasks[[#This Row],[Baseline Duration]]))</f>
        <v/>
      </c>
      <c r="BL154" s="85" t="str">
        <f aca="false">IF(OR(Tasks[[#This Row],[Task Name]]="",Tasks[[#This Row],[Baseline Work]]=""),"",Tasks[[#This Row],[Work]]-N(Tasks[[#This Row],[Baseline Work]]))</f>
        <v/>
      </c>
      <c r="BM154" s="62" t="str">
        <f aca="false">IF(Tasks[[#This Row],[Task Name]]="","",IF(OR(TakeBaseline="Yes",N(Tasks[[#This Row],[Baseline Start]])=0),Tasks[[#This Row],[Start]],Tasks[[#This Row],[Baseline Start]]))</f>
        <v/>
      </c>
      <c r="BN154" s="62" t="str">
        <f aca="false">IF(Tasks[[#This Row],[Task Name]]="","",IF(OR(TakeBaseline="Yes",N(Tasks[[#This Row],[Baseline Finish]])=0),Tasks[[#This Row],[Finish]],Tasks[[#This Row],[Baseline Finish]]))</f>
        <v/>
      </c>
      <c r="BO154" s="21" t="str">
        <f aca="false">IF(Tasks[[#This Row],[Task Name]]="","",IF(OR(TakeBaseline="Yes",N(Tasks[[#This Row],[Baseline Duration]])=0),Tasks[[#This Row],[_SpanDays]],Tasks[[#This Row],[Baseline Duration]]))</f>
        <v/>
      </c>
      <c r="BP154" s="85" t="str">
        <f aca="false">IF(Tasks[[#This Row],[Task Name]]="","",IF(OR(TakeBaseline="Yes",N(Tasks[[#This Row],[Baseline Work]])=0),Tasks[[#This Row],[Work]],Tasks[[#This Row],[Baseline Work]]))</f>
        <v/>
      </c>
      <c r="BQ154" s="7"/>
      <c r="BR154" s="7"/>
      <c r="BS154" s="22"/>
      <c r="BT154" s="87"/>
      <c r="BU154" s="42" t="str">
        <f aca="false">IF(Tasks[[#This Row],[Task Name]]="","",MAX(1,N(Tasks[[#This Row],[Level]])))</f>
        <v/>
      </c>
      <c r="BV154" s="42" t="n">
        <f aca="false">ROW()-ROW(Tasks[[#Headers],[ID]])</f>
        <v>149</v>
      </c>
      <c r="BW154" s="42" t="n">
        <f aca="false">IF(OR(Tasks[[#This Row],[Task Name]]="",Tasks[[#This Row],[_Level]]&lt;=1),0,IFERROR(LOOKUP(2,1/(Tasks[[#Headers],[_Level]]:Tasks[[#This Row],[_Level]]=Tasks[[#This Row],[_Level]]-1),ROW(Tasks[[#Headers],[_Level]]:Tasks[[#This Row],[_Level]])),0))</f>
        <v>0</v>
      </c>
      <c r="BX154" s="42" t="n">
        <f aca="false">IFERROR(N(INDEX(Tasks[_Level],Tasks[[#This Row],[_Row]]+1)),0)</f>
        <v>0</v>
      </c>
      <c r="BY154" s="88" t="b">
        <f aca="false">AND(Tasks[[#This Row],[Task Name]]&lt;&gt;"",Tasks[[#This Row],[_NextLevel]]&gt;Tasks[[#This Row],[_Level]])</f>
        <v>0</v>
      </c>
      <c r="BZ154" s="42" t="n">
        <f aca="false">IF(Tasks[[#This Row],[_IsSummary]],COUNTIF(Tasks[WBS],Tasks[[#This Row],[WBS]]&amp;".*"),0)</f>
        <v>0</v>
      </c>
      <c r="CA154" s="42" t="n">
        <f aca="false">IF(AND(Tasks[[#This Row],[Task Name]]&lt;&gt;"",NOT(Tasks[[#This Row],[_IsSummary]])),1,0)</f>
        <v>0</v>
      </c>
      <c r="CB154" s="42" t="n">
        <f aca="false">IF(N(Tasks[[#This Row],[_Pred1UID]])=0,0,IFERROR(MATCH(Tasks[[#This Row],[_Pred1UID]],Tasks[UID],0),-1))</f>
        <v>0</v>
      </c>
      <c r="CC154" s="42" t="n">
        <f aca="false">IF(N(Tasks[[#This Row],[_Pred2UID]])=0,0,IFERROR(MATCH(Tasks[[#This Row],[_Pred2UID]],Tasks[UID],0),-1))</f>
        <v>0</v>
      </c>
      <c r="CD154" s="42" t="n">
        <f aca="false">IF(N(Tasks[[#This Row],[_Pred3UID]])=0,0,IFERROR(MATCH(Tasks[[#This Row],[_Pred3UID]],Tasks[UID],0),-1))</f>
        <v>0</v>
      </c>
      <c r="CE154" s="42" t="n">
        <f aca="false">IF(N(Tasks[[#This Row],[_Pred4UID]])=0,0,IFERROR(MATCH(Tasks[[#This Row],[_Pred4UID]],Tasks[UID],0),-1))</f>
        <v>0</v>
      </c>
      <c r="CF15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4" s="89" t="n">
        <f aca="false">IF(OR(Tasks[[#This Row],[_ConstraintCode]]=2,Tasks[[#This Row],[_ConstraintCode]]=3,Tasks[[#This Row],[_ConstraintCode]]=4,Tasks[[#This Row],[_ConstraintCode]]=6),Tasks[[#This Row],[_ConstraintStart]],0)</f>
        <v>0</v>
      </c>
      <c r="CI154" s="89" t="n">
        <f aca="false">IF(OR(Tasks[[#This Row],[_ConstraintCode]]=2,Tasks[[#This Row],[_ConstraintCode]]=3,Tasks[[#This Row],[_ConstraintCode]]=5,Tasks[[#This Row],[_ConstraintCode]]=7),Tasks[[#This Row],[_ConstraintStart]],2958465)</f>
        <v>2958465</v>
      </c>
      <c r="CJ15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4" s="89" t="str">
        <f aca="false">IF(NOT(Tasks[[#This Row],[_IsLeaf]]=1),"",IF(N(Tasks[[#This Row],[_Days]])&lt;=0,Tasks[[#This Row],[_LeafCalcStart]],WORKDAY.INTL(Tasks[[#This Row],[_LeafCalcStart]],Tasks[[#This Row],[_Days]]-1,WorkWeek,Holidays)))</f>
        <v/>
      </c>
      <c r="CL15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4" s="42" t="str">
        <f aca="false">IF(Tasks[[#This Row],[_Predecessors]]="","",TRIM(MID(SUBSTITUTE(SUBSTITUTE(SUBSTITUTE(UPPER(Tasks[[#This Row],[_Predecessors]]),";",",")," ",""),",",REPT(" ",99)),1,99)))</f>
        <v/>
      </c>
      <c r="CO154" s="42" t="str">
        <f aca="false">IF(Tasks[[#This Row],[_Pred1Text]]="","",IFERROR(VALUE(LEFT(Tasks[[#This Row],[_Pred1Text]],MIN(FIND("F",Tasks[[#This Row],[_Pred1Text]]&amp;"F"),FIND("S",Tasks[[#This Row],[_Pred1Text]]&amp;"S"),FIND("+",Tasks[[#This Row],[_Pred1Text]]&amp;"+"),FIND("-",Tasks[[#This Row],[_Pred1Text]]&amp;"-"))-1)),""))</f>
        <v/>
      </c>
      <c r="CP15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4" s="42" t="str">
        <f aca="false">IF(Tasks[[#This Row],[_Pred1Text]]="","",TRIM(MID(SUBSTITUTE(SUBSTITUTE(SUBSTITUTE(UPPER(Tasks[[#This Row],[_Predecessors]]),";",",")," ",""),",",REPT(" ",99)),100,99)))</f>
        <v/>
      </c>
      <c r="CS154" s="42" t="str">
        <f aca="false">IF(Tasks[[#This Row],[_Pred2Text]]="","",IFERROR(VALUE(LEFT(Tasks[[#This Row],[_Pred2Text]],MIN(FIND("F",Tasks[[#This Row],[_Pred2Text]]&amp;"F"),FIND("S",Tasks[[#This Row],[_Pred2Text]]&amp;"S"),FIND("+",Tasks[[#This Row],[_Pred2Text]]&amp;"+"),FIND("-",Tasks[[#This Row],[_Pred2Text]]&amp;"-"))-1)),""))</f>
        <v/>
      </c>
      <c r="CT15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4" s="42" t="str">
        <f aca="false">IF(Tasks[[#This Row],[_Pred2Text]]="","",TRIM(MID(SUBSTITUTE(SUBSTITUTE(SUBSTITUTE(UPPER(Tasks[[#This Row],[_Predecessors]]),";",",")," ",""),",",REPT(" ",99)),199,99)))</f>
        <v/>
      </c>
      <c r="CW154" s="42" t="str">
        <f aca="false">IF(Tasks[[#This Row],[_Pred3Text]]="","",IFERROR(VALUE(LEFT(Tasks[[#This Row],[_Pred3Text]],MIN(FIND("F",Tasks[[#This Row],[_Pred3Text]]&amp;"F"),FIND("S",Tasks[[#This Row],[_Pred3Text]]&amp;"S"),FIND("+",Tasks[[#This Row],[_Pred3Text]]&amp;"+"),FIND("-",Tasks[[#This Row],[_Pred3Text]]&amp;"-"))-1)),""))</f>
        <v/>
      </c>
      <c r="CX15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4" s="42" t="str">
        <f aca="false">IF(Tasks[[#This Row],[_Pred3Text]]="","",TRIM(MID(SUBSTITUTE(SUBSTITUTE(SUBSTITUTE(UPPER(Tasks[[#This Row],[_Predecessors]]),";",",")," ",""),",",REPT(" ",99)),298,99)))</f>
        <v/>
      </c>
      <c r="DA154" s="42" t="str">
        <f aca="false">IF(Tasks[[#This Row],[_Pred4Text]]="","",IFERROR(VALUE(LEFT(Tasks[[#This Row],[_Pred4Text]],MIN(FIND("F",Tasks[[#This Row],[_Pred4Text]]&amp;"F"),FIND("S",Tasks[[#This Row],[_Pred4Text]]&amp;"S"),FIND("+",Tasks[[#This Row],[_Pred4Text]]&amp;"+"),FIND("-",Tasks[[#This Row],[_Pred4Text]]&amp;"-"))-1)),""))</f>
        <v/>
      </c>
      <c r="DB15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4" s="42" t="str">
        <f aca="false">IF(OR(Tasks[[#This Row],[Task Name]]="",Tasks[[#This Row],[_Resources]]=""),"",TRIM(MID(SUBSTITUTE(Tasks[[#This Row],[_Resources]],",",REPT(" ",99)),1,99)))</f>
        <v/>
      </c>
      <c r="DE154" s="42" t="str">
        <f aca="false">IF(Tasks[[#This Row],[_Res1Text]]="","",TRIM(MID(SUBSTITUTE(Tasks[[#This Row],[_Resources]],",",REPT(" ",99)),100,99)))</f>
        <v/>
      </c>
      <c r="DF154" s="42" t="str">
        <f aca="false">IF(Tasks[[#This Row],[_Res2Text]]="","",TRIM(MID(SUBSTITUTE(Tasks[[#This Row],[_Resources]],",",REPT(" ",99)),199,99)))</f>
        <v/>
      </c>
      <c r="DG154" s="42" t="str">
        <f aca="false">IF(Tasks[[#This Row],[_Res3Text]]="","",TRIM(MID(SUBSTITUTE(Tasks[[#This Row],[_Resources]],",",REPT(" ",99)),298,99)))</f>
        <v/>
      </c>
      <c r="DH154" s="42" t="n">
        <f aca="false">IF(Tasks[[#This Row],[_Res1Text]]="",0,IFERROR(MATCH(TRIM(LEFT(Tasks[[#This Row],[_Res1Text]],FIND("[",Tasks[[#This Row],[_Res1Text]]&amp;"[")-1)),res_Name,0),IFERROR(MATCH(TRIM(LEFT(Tasks[[#This Row],[_Res1Text]],FIND("[",Tasks[[#This Row],[_Res1Text]]&amp;"[")-1)),res_Initials,0),0)))</f>
        <v>0</v>
      </c>
      <c r="DI154" s="42" t="n">
        <f aca="false">IF(Tasks[[#This Row],[_Res2Text]]="",0,IFERROR(MATCH(TRIM(LEFT(Tasks[[#This Row],[_Res2Text]],FIND("[",Tasks[[#This Row],[_Res2Text]]&amp;"[")-1)),res_Name,0),IFERROR(MATCH(TRIM(LEFT(Tasks[[#This Row],[_Res2Text]],FIND("[",Tasks[[#This Row],[_Res2Text]]&amp;"[")-1)),res_Initials,0),0)))</f>
        <v>0</v>
      </c>
      <c r="DJ154" s="42" t="n">
        <f aca="false">IF(Tasks[[#This Row],[_Res3Text]]="",0,IFERROR(MATCH(TRIM(LEFT(Tasks[[#This Row],[_Res3Text]],FIND("[",Tasks[[#This Row],[_Res3Text]]&amp;"[")-1)),res_Name,0),IFERROR(MATCH(TRIM(LEFT(Tasks[[#This Row],[_Res3Text]],FIND("[",Tasks[[#This Row],[_Res3Text]]&amp;"[")-1)),res_Initials,0),0)))</f>
        <v>0</v>
      </c>
      <c r="DK154" s="42" t="n">
        <f aca="false">IF(Tasks[[#This Row],[_Res4Text]]="",0,IFERROR(MATCH(TRIM(LEFT(Tasks[[#This Row],[_Res4Text]],FIND("[",Tasks[[#This Row],[_Res4Text]]&amp;"[")-1)),res_Name,0),IFERROR(MATCH(TRIM(LEFT(Tasks[[#This Row],[_Res4Text]],FIND("[",Tasks[[#This Row],[_Res4Text]]&amp;"[")-1)),res_Initials,0),0)))</f>
        <v>0</v>
      </c>
      <c r="DL154" s="42" t="str">
        <f aca="false">IF(Tasks[[#This Row],[_Res1Text]]="","",IF(Tasks[[#This Row],[_Res1Row]]&gt;0,INDEX(res_Name,Tasks[[#This Row],[_Res1Row]]),TRIM(LEFT(Tasks[[#This Row],[_Res1Text]],FIND("[",Tasks[[#This Row],[_Res1Text]]&amp;"[")-1))))</f>
        <v/>
      </c>
      <c r="DM15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4" s="42" t="n">
        <f aca="false">IF(NOT(Tasks[[#This Row],[_IsLeaf]]=1),0,(Tasks[[#This Row],[_Resource1]]&lt;&gt;"")+(Tasks[[#This Row],[_Res2]]&lt;&gt;"")+(Tasks[[#This Row],[_Res3]]&lt;&gt;"")+(Tasks[[#This Row],[_Res4]]&lt;&gt;""))</f>
        <v>0</v>
      </c>
      <c r="DO154" s="42" t="str">
        <f aca="false">IF(Tasks[[#This Row],[_Res2Text]]="","",IF(Tasks[[#This Row],[_Res2Row]]&gt;0,INDEX(res_Name,Tasks[[#This Row],[_Res2Row]]),TRIM(LEFT(Tasks[[#This Row],[_Res2Text]],FIND("[",Tasks[[#This Row],[_Res2Text]]&amp;"[")-1))))</f>
        <v/>
      </c>
      <c r="DP15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4" s="42" t="n">
        <f aca="false">IF(OR(NOT(Tasks[[#This Row],[_IsLeaf]]=1),Tasks[[#This Row],[_Res2Row]]=0),0,N(Tasks[[#This Row],[_Days]])*HoursPerDay*IF(Tasks[[#This Row],[_Res2Units]]="",DefaultUnits,Tasks[[#This Row],[_Res2Units]]))</f>
        <v>0</v>
      </c>
      <c r="DR154" s="42" t="n">
        <f aca="false">IF(AND(AND(Tasks[[#This Row],[_IsLeaf]]=1,Tasks[[#This Row],[_LeafTotalWork]]&gt;0),Tasks[[#This Row],[_Res2Work]]&gt;0),Tasks[[#This Row],[_Res2Work]]/(Tasks[[#This Row],[_FinishWorkday]]-Tasks[[#This Row],[_StartWorkday]]+1),0)</f>
        <v>0</v>
      </c>
      <c r="DS154" s="42" t="n">
        <f aca="false">Tasks[[#This Row],[_Res2WorkPerWD]]*MAX(0,Tasks[[#This Row],[_StartWorkday]]-1)</f>
        <v>0</v>
      </c>
      <c r="DT154" s="42" t="n">
        <f aca="false">Tasks[[#This Row],[_Res2Work]]*Tasks[[#This Row],[_LeafProgress]]</f>
        <v>0</v>
      </c>
      <c r="DU154" s="42" t="str">
        <f aca="false">IF(Tasks[[#This Row],[_Res3Text]]="","",IF(Tasks[[#This Row],[_Res3Row]]&gt;0,INDEX(res_Name,Tasks[[#This Row],[_Res3Row]]),TRIM(LEFT(Tasks[[#This Row],[_Res3Text]],FIND("[",Tasks[[#This Row],[_Res3Text]]&amp;"[")-1))))</f>
        <v/>
      </c>
      <c r="DV15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4" s="42" t="n">
        <f aca="false">IF(OR(NOT(Tasks[[#This Row],[_IsLeaf]]=1),Tasks[[#This Row],[_Res3Row]]=0),0,N(Tasks[[#This Row],[_Days]])*HoursPerDay*IF(Tasks[[#This Row],[_Res3Units]]="",DefaultUnits,Tasks[[#This Row],[_Res3Units]]))</f>
        <v>0</v>
      </c>
      <c r="DX154" s="42" t="n">
        <f aca="false">IF(AND(AND(Tasks[[#This Row],[_IsLeaf]]=1,Tasks[[#This Row],[_LeafTotalWork]]&gt;0),Tasks[[#This Row],[_Res3Work]]&gt;0),Tasks[[#This Row],[_Res3Work]]/(Tasks[[#This Row],[_FinishWorkday]]-Tasks[[#This Row],[_StartWorkday]]+1),0)</f>
        <v>0</v>
      </c>
      <c r="DY154" s="42" t="n">
        <f aca="false">Tasks[[#This Row],[_Res3WorkPerWD]]*MAX(0,Tasks[[#This Row],[_StartWorkday]]-1)</f>
        <v>0</v>
      </c>
      <c r="DZ154" s="42" t="n">
        <f aca="false">Tasks[[#This Row],[_Res3Work]]*Tasks[[#This Row],[_LeafProgress]]</f>
        <v>0</v>
      </c>
      <c r="EA154" s="42" t="str">
        <f aca="false">IF(Tasks[[#This Row],[_Res4Text]]="","",IF(Tasks[[#This Row],[_Res4Row]]&gt;0,INDEX(res_Name,Tasks[[#This Row],[_Res4Row]]),TRIM(LEFT(Tasks[[#This Row],[_Res4Text]],FIND("[",Tasks[[#This Row],[_Res4Text]]&amp;"[")-1))))</f>
        <v/>
      </c>
      <c r="EB15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4" s="42" t="n">
        <f aca="false">IF(OR(NOT(Tasks[[#This Row],[_IsLeaf]]=1),Tasks[[#This Row],[_Res4Row]]=0),0,N(Tasks[[#This Row],[_Days]])*HoursPerDay*IF(Tasks[[#This Row],[_Res4Units]]="",DefaultUnits,Tasks[[#This Row],[_Res4Units]]))</f>
        <v>0</v>
      </c>
      <c r="ED154" s="42" t="n">
        <f aca="false">IF(AND(AND(Tasks[[#This Row],[_IsLeaf]]=1,Tasks[[#This Row],[_LeafTotalWork]]&gt;0),Tasks[[#This Row],[_Res4Work]]&gt;0),Tasks[[#This Row],[_Res4Work]]/(Tasks[[#This Row],[_FinishWorkday]]-Tasks[[#This Row],[_StartWorkday]]+1),0)</f>
        <v>0</v>
      </c>
      <c r="EE154" s="42" t="n">
        <f aca="false">Tasks[[#This Row],[_Res4WorkPerWD]]*MAX(0,Tasks[[#This Row],[_StartWorkday]]-1)</f>
        <v>0</v>
      </c>
      <c r="EF154" s="42" t="n">
        <f aca="false">Tasks[[#This Row],[_Res4Work]]*Tasks[[#This Row],[_LeafProgress]]</f>
        <v>0</v>
      </c>
      <c r="EG154" s="42" t="n">
        <f aca="false">IF(ISNUMBER(Tasks[[#This Row],[% Complete]]),Tasks[[#This Row],[% Complete]],IF(Tasks[[#This Row],[Stage]]="",0,IFERROR(INDEX(stg_Pct,MATCH(Tasks[[#This Row],[Stage]],stg_Name,0)),0)))</f>
        <v>0</v>
      </c>
      <c r="EH154" s="42" t="n">
        <f aca="false">IF(NOT(Tasks[[#This Row],[_IsLeaf]]=1),0,IF(N(Tasks[[#This Row],[Actual Finish]])&gt;0,1,MIN(1,Tasks[[#This Row],[_Pct]])))</f>
        <v>0</v>
      </c>
      <c r="EI154" s="42" t="n">
        <f aca="false">IF(OR(NOT(Tasks[[#This Row],[_IsLeaf]]=1),Tasks[[#This Row],[_Res1Row]]=0),0,N(Tasks[[#This Row],[_Days]])*HoursPerDay*IF(Tasks[[#This Row],[_Units1]]="",DefaultUnits,Tasks[[#This Row],[_Units1]]))</f>
        <v>0</v>
      </c>
      <c r="EJ154" s="42" t="n">
        <f aca="false">Tasks[[#This Row],[_LeafWork]]+Tasks[[#This Row],[_Res2Work]]+Tasks[[#This Row],[_Res3Work]]+Tasks[[#This Row],[_Res4Work]]</f>
        <v>0</v>
      </c>
      <c r="EK15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4" s="42" t="n">
        <f aca="false">IF(NOT(Tasks[[#This Row],[_IsLeaf]]=1),0,MAX(_xlfn.MAXIFS(Tasks[_Row],Tasks[_Pred1UID],Tasks[[#This Row],[UID]]),_xlfn.MAXIFS(Tasks[_Row],Tasks[_Pred2UID],Tasks[[#This Row],[UID]]),_xlfn.MAXIFS(Tasks[_Row],Tasks[_Pred3UID],Tasks[[#This Row],[UID]]),_xlfn.MAXIFS(Tasks[_Row],Tasks[_Pred4UID],Tasks[[#This Row],[UID]])))</f>
        <v>0</v>
      </c>
      <c r="ET15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4" s="89" t="str">
        <f aca="false">IF(NOT(Tasks[[#This Row],[_IsLeaf]]=1),"",IF(N(Tasks[[#This Row],[_Days]])&lt;=0,Tasks[[#This Row],[_LeafLateFinish]],WORKDAY.INTL(Tasks[[#This Row],[_LeafLateFinish]],-(Tasks[[#This Row],[_Days]]-1),WorkWeek,Holidays)))</f>
        <v/>
      </c>
      <c r="EW15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4" s="88" t="b">
        <f aca="false">AND(Tasks[[#This Row],[_IsLeaf]]=1,Tasks[[#This Row],[_LeafProgress]]&lt;1,N(Tasks[[#This Row],[_LeafTotalSlack]])&lt;=CriticalSlackDays)</f>
        <v>0</v>
      </c>
      <c r="EY154" s="42" t="n">
        <f aca="false">IF(AND(Tasks[[#This Row],[_IsLeaf]]=1,Tasks[[#This Row],[_ConstraintCode]]=1,Tasks[[#This Row],[Mode]]&lt;&gt;"Manual",N(Tasks[[#This Row],[Actual Start]])=0),MAX(0,N(Tasks[[#This Row],[Free Slack]])),0)</f>
        <v>0</v>
      </c>
      <c r="EZ154" s="89" t="str">
        <f aca="false">IF(NOT(Tasks[[#This Row],[_IsLeaf]]=1),"",IF(Tasks[[#This Row],[_AlapShift]]=0,Tasks[[#This Row],[_LeafCalcStart]],WORKDAY.INTL(Tasks[[#This Row],[_LeafCalcStart]],Tasks[[#This Row],[_AlapShift]],WorkWeek,Holidays)))</f>
        <v/>
      </c>
      <c r="FA154" s="89" t="str">
        <f aca="false">IF(NOT(Tasks[[#This Row],[_IsLeaf]]=1),"",IF(Tasks[[#This Row],[_AlapShift]]=0,Tasks[[#This Row],[_LeafCalcFinish]],WORKDAY.INTL(Tasks[[#This Row],[_LeafCalcFinish]],Tasks[[#This Row],[_AlapShift]],WorkWeek,Holidays)))</f>
        <v/>
      </c>
      <c r="FB154" s="89" t="str">
        <f aca="false">IF(NOT(Tasks[[#This Row],[_IsLeaf]]=1),"",IF(Tasks[[#This Row],[_AlapShift]]=0,Tasks[[#This Row],[_LeafFcstStart]],WORKDAY.INTL(Tasks[[#This Row],[_LeafFcstStart]],Tasks[[#This Row],[_AlapShift]],WorkWeek,Holidays)))</f>
        <v/>
      </c>
      <c r="FC154" s="89" t="str">
        <f aca="false">IF(NOT(Tasks[[#This Row],[_IsLeaf]]=1),"",IF(Tasks[[#This Row],[_AlapShift]]=0,Tasks[[#This Row],[_LeafFcstFinish]],WORKDAY.INTL(Tasks[[#This Row],[_LeafFcstFinish]],Tasks[[#This Row],[_AlapShift]],WorkWeek,Holidays)))</f>
        <v/>
      </c>
      <c r="FD154" s="89" t="str">
        <f aca="false">IF(Tasks[[#This Row],[Task Name]]="","",IF(Tasks[[#This Row],[_IsSummary]],MIN(INDEX(Tasks[_ShownCalcStart],Tasks[[#This Row],[_Row]]+1):INDEX(Tasks[_ShownCalcStart],Tasks[[#This Row],[_Row]]+Tasks[[#This Row],[_Descendants]])),Tasks[[#This Row],[_ShownCalcStart]]))</f>
        <v/>
      </c>
      <c r="FE154" s="89" t="str">
        <f aca="false">IF(Tasks[[#This Row],[Task Name]]="","",IF(Tasks[[#This Row],[_IsSummary]],MAX(INDEX(Tasks[_ShownCalcFinish],Tasks[[#This Row],[_Row]]+1):INDEX(Tasks[_ShownCalcFinish],Tasks[[#This Row],[_Row]]+Tasks[[#This Row],[_Descendants]])),Tasks[[#This Row],[_ShownCalcFinish]]))</f>
        <v/>
      </c>
      <c r="FF15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4" s="42" t="n">
        <f aca="false">IF(AND(Tasks[[#This Row],[_IsLeaf]]=1,Tasks[[#This Row],[_LeafTotalWork]]&gt;0),NETWORKDAYS.INTL(ProjectStart,Tasks[[#This Row],[_ShownFcstStart]],WorkWeek,Holidays),0)</f>
        <v>0</v>
      </c>
      <c r="FS154" s="42" t="n">
        <f aca="false">IF(AND(Tasks[[#This Row],[_IsLeaf]]=1,Tasks[[#This Row],[_LeafTotalWork]]&gt;0),MAX(Tasks[[#This Row],[_StartWorkday]],NETWORKDAYS.INTL(ProjectStart,Tasks[[#This Row],[_ShownFcstFinish]],WorkWeek,Holidays)),0)</f>
        <v>0</v>
      </c>
      <c r="FT154" s="42" t="n">
        <f aca="false">IF(AND(Tasks[[#This Row],[_IsLeaf]]=1,Tasks[[#This Row],[_LeafTotalWork]]&gt;0),Tasks[[#This Row],[_LeafWork]]/(Tasks[[#This Row],[_FinishWorkday]]-Tasks[[#This Row],[_StartWorkday]]+1),0)</f>
        <v>0</v>
      </c>
      <c r="FU154" s="42" t="n">
        <f aca="false">Tasks[[#This Row],[_WorkPerWorkday]]*(Tasks[[#This Row],[_StartWorkday]]-1)</f>
        <v>-0</v>
      </c>
      <c r="FV154" s="42" t="n">
        <f aca="false">IF(Tasks[[#This Row],[_IsLeaf]]=1,MAX(N(Tasks[[#This Row],[_Days]]),0.1),0)</f>
        <v>0</v>
      </c>
      <c r="FW154" s="42" t="n">
        <f aca="false">Tasks[[#This Row],[_WeightDur]]*Tasks[[#This Row],[_LeafProgress]]</f>
        <v>0</v>
      </c>
      <c r="FX154" s="42" t="n">
        <f aca="false">Tasks[[#This Row],[_WeightDur]]*Tasks[[#This Row],[_PlannedPct]]</f>
        <v>0</v>
      </c>
      <c r="FY15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4" s="42" t="str">
        <f aca="false">IF(AND(Tasks[[#This Row],[_IsLeaf]]=1,N(Tasks[[#This Row],[_Days]])=0,Tasks[[#This Row],[_LeafProgress]]&lt;1),Tasks[[#This Row],[_ShownFcstFinish]]+Tasks[[#This Row],[_Row]]/100000,"")</f>
        <v/>
      </c>
      <c r="GA15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4" s="42" t="str">
        <f aca="false">IF(Tasks[[#This Row],[Task Name]]="","",LEFT(Tasks[[#This Row],[WBS]],FIND(".",Tasks[[#This Row],[WBS]]&amp;".")-1))</f>
        <v/>
      </c>
      <c r="GC154" s="42" t="str">
        <f aca="false">IF(AND(Tasks[[#This Row],[Task Name]]&lt;&gt;"",Tasks[[#This Row],[_Level]]=1),Tasks[[#This Row],[_Row]],"")</f>
        <v/>
      </c>
      <c r="GD154" s="42" t="str">
        <f aca="false">IF(AND(Tasks[[#This Row],[_IsLeaf]]=1,N(Tasks[[#This Row],[_Days]])=0),Tasks[[#This Row],[Planned Finish]]+Tasks[[#This Row],[_Row]]/100000,"")</f>
        <v/>
      </c>
      <c r="GE154" s="42" t="str">
        <f aca="false">IF(AND(Tasks[[#This Row],[_IsLeaf]]=1,Tasks[[#This Row],[_LeafProgress]]&lt;1,OR(N(Tasks[[#This Row],[Finish Var]])&gt;0,Tasks[[#This Row],[Status]]="Late Start")),MAX(0,Tasks[[#This Row],[Finish Var]])+1-Tasks[[#This Row],[_Row]]/1000000,"")</f>
        <v/>
      </c>
      <c r="GF154" s="42" t="str">
        <f aca="false">IF(AND(Tasks[[#This Row],[_IsLeaf]]=1,N(Tasks[[#This Row],[Actual Start]])=0,Tasks[[#This Row],[_ShownFcstStart]]&gt;=StatusDate,Tasks[[#This Row],[_ShownFcstStart]]&lt;=LookaheadEnd),Tasks[[#This Row],[_ShownFcstStart]]+Tasks[[#This Row],[_Row]]/100000,"")</f>
        <v/>
      </c>
      <c r="GG154" s="42" t="str">
        <f aca="false">IF(AND(Tasks[[#This Row],[_IsLeaf]]=1,Tasks[[#This Row],[_LeafProgress]]&lt;1,Tasks[[#This Row],[_ShownFcstFinish]]&gt;=StatusDate,Tasks[[#This Row],[_ShownFcstFinish]]&lt;=LookaheadEnd),Tasks[[#This Row],[_ShownFcstFinish]]+Tasks[[#This Row],[_Row]]/100000,"")</f>
        <v/>
      </c>
      <c r="GH154" s="42" t="str">
        <f aca="false">IF(Tasks[[#This Row],[_LeafCritical]],Tasks[[#This Row],[_ShownFcstStart]]+Tasks[[#This Row],[_Row]]/100000,"")</f>
        <v/>
      </c>
      <c r="GI154" s="42" t="n">
        <f aca="false">Tasks[[#This Row],[_LeafWork]]*Tasks[[#This Row],[_LeafProgress]]</f>
        <v>0</v>
      </c>
      <c r="GJ154" s="89" t="str">
        <f aca="false">IF(AND(Tasks[[#This Row],[_IsLeaf]]=1,Tasks[[#This Row],[_LeafProgress]]&gt;=1),IF(N(Tasks[[#This Row],[Actual Finish]])&gt;0,Tasks[[#This Row],[Actual Finish]],Tasks[[#This Row],[_ShownFcstFinish]]),"")</f>
        <v/>
      </c>
      <c r="GK154" s="42" t="n">
        <f aca="false">IF(Tasks[[#This Row],[_IsLeaf]]=1,N(Tasks[[#This Row],[Story Points]]),0)</f>
        <v>0</v>
      </c>
      <c r="GL154" s="42" t="str">
        <f aca="false">""</f>
        <v/>
      </c>
      <c r="GM154" s="88" t="b">
        <f aca="false">IF(Tasks[[#This Row],[Task Name]]="",FALSE(),AND(Tasks[[#This Row],[_IsLeaf]]=1,N(Tasks[[#This Row],[_Days]])=0))</f>
        <v>0</v>
      </c>
      <c r="GN154" s="89" t="n">
        <f aca="false">IF(Tasks[[#This Row],[Task Name]]="",0,IF(AND(Tasks[[#This Row],[_IsLeaf]]=1,NOT(Tasks[[#This Row],[_IsMilestone]]),N(Tasks[[#This Row],[Progress]])&gt;0),Tasks[[#This Row],[Start]],0))</f>
        <v>0</v>
      </c>
      <c r="GO154" s="89" t="n">
        <f aca="false">IF(Tasks[[#This Row],[_DoneFrom]]=0,0,IF(Tasks[[#This Row],[Progress]]&gt;=1,Tasks[[#This Row],[Finish]],MAX(Tasks[[#This Row],[_DoneFrom]],Tasks[[#This Row],[Start]]+ROUND((Tasks[[#This Row],[Finish]]-Tasks[[#This Row],[Start]]+1)*Tasks[[#This Row],[Progress]],0)-1)))</f>
        <v>0</v>
      </c>
      <c r="GP154" s="89" t="n">
        <f aca="false">IF(Tasks[[#This Row],[Task Name]]="",0,IF(OR(NOT(Tasks[[#This Row],[_IsLeaf]]=1),Tasks[[#This Row],[_IsMilestone]],N(Tasks[[#This Row],[Progress]])&gt;=1),0,IF(Tasks[[#This Row],[_DoneTo]]&gt;0,Tasks[[#This Row],[_DoneTo]]+1,Tasks[[#This Row],[Start]])))</f>
        <v>0</v>
      </c>
      <c r="GQ154" s="89" t="n">
        <f aca="false">IF(Tasks[[#This Row],[_RemFrom]]=0,0,Tasks[[#This Row],[Finish]])</f>
        <v>0</v>
      </c>
      <c r="GR154" s="88" t="b">
        <f aca="false">IF(Tasks[[#This Row],[Task Name]]="",FALSE(),OR(NOT(BaselineSet),N(Tasks[[#This Row],[Baseline Start]])&gt;0))</f>
        <v>0</v>
      </c>
      <c r="GS15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4" s="90" t="str">
        <f aca="false">IF(Tasks[[#This Row],[_IsLeaf]]=1,Tasks[[#This Row],[_Row]],"")</f>
        <v/>
      </c>
      <c r="GW154" s="90" t="str">
        <f aca="false">IFERROR(INDEX(Tasks[UID],SMALL(Tasks[_PickKey],Tasks[[#This Row],[_Row]]))&amp;" "&amp;INDEX(Tasks[Task Name],SMALL(Tasks[_PickKey],Tasks[[#This Row],[_Row]])),"")</f>
        <v/>
      </c>
      <c r="GX154" s="42" t="str">
        <f aca="false">IF(Tasks[[#This Row],[Task Name]]="","",IF(Tasks[[#This Row],[_IsSummary]],NETWORKDAYS.INTL(Tasks[[#This Row],[Start]],Tasks[[#This Row],[Finish]],WorkWeek,Holidays),N(Tasks[[#This Row],[_Days]])))</f>
        <v/>
      </c>
    </row>
    <row r="155" customFormat="false" ht="15" hidden="false" customHeight="false" outlineLevel="0" collapsed="false">
      <c r="A155" s="21" t="str">
        <f aca="false">IF(Tasks[[#This Row],[Task Name]]="","",COUNTA(Tasks[[#Headers],[Task Name]]:Tasks[[#This Row],[Task Name]])-1)</f>
        <v/>
      </c>
      <c r="B155" s="22" t="n">
        <v>163</v>
      </c>
      <c r="C155" s="22"/>
      <c r="D155" s="23"/>
      <c r="E155" s="22"/>
      <c r="F155" s="23"/>
      <c r="G155" s="22"/>
      <c r="H155" s="22"/>
      <c r="I155" s="23"/>
      <c r="J155" s="22"/>
      <c r="K155" s="22"/>
      <c r="L155" s="23"/>
      <c r="M155" s="22"/>
      <c r="N155" s="22"/>
      <c r="O155" s="23"/>
      <c r="P155" s="22"/>
      <c r="Q155" s="22"/>
      <c r="R155" s="23"/>
      <c r="S155" s="23"/>
      <c r="T155" s="83"/>
      <c r="U155" s="23"/>
      <c r="V155" s="83"/>
      <c r="W155" s="23"/>
      <c r="X155" s="83"/>
      <c r="Y155" s="23"/>
      <c r="Z155" s="83"/>
      <c r="AA155" s="23"/>
      <c r="AB155" s="23"/>
      <c r="AC155" s="7"/>
      <c r="AD155" s="7"/>
      <c r="AE155" s="62" t="str">
        <f aca="false">IF(Tasks[[#This Row],[Task Name]]="","",IF(Tasks[[#This Row],[_IsSummary]],MIN(INDEX(Tasks[_ShownFcstStart],Tasks[[#This Row],[_Row]]+1):INDEX(Tasks[_ShownFcstStart],Tasks[[#This Row],[_Row]]+Tasks[[#This Row],[_Descendants]])),Tasks[[#This Row],[_ShownFcstStart]]))</f>
        <v/>
      </c>
      <c r="AF155" s="62" t="str">
        <f aca="false">IF(Tasks[[#This Row],[Task Name]]="","",IF(Tasks[[#This Row],[_IsSummary]],MAX(INDEX(Tasks[_ShownFcstFinish],Tasks[[#This Row],[_Row]]+1):INDEX(Tasks[_ShownFcstFinish],Tasks[[#This Row],[_Row]]+Tasks[[#This Row],[_Descendants]])),Tasks[[#This Row],[_ShownFcstFinish]]))</f>
        <v/>
      </c>
      <c r="AG155" s="21" t="str">
        <f aca="false">""</f>
        <v/>
      </c>
      <c r="AH155" s="23"/>
      <c r="AI15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5" s="7"/>
      <c r="AK155" s="22"/>
      <c r="AL155" s="23"/>
      <c r="AM155" s="7"/>
      <c r="AN155" s="46" t="str">
        <f aca="false">IF(Tasks[[#This Row],[Task Name]]="","",IF(Tasks[[#This Row],[Finish]]&gt;=Tasks[[#This Row],[Planned Finish]],NETWORKDAYS.INTL(Tasks[[#This Row],[Planned Finish]],Tasks[[#This Row],[Finish]],WorkWeek,Holidays)-1,1-NETWORKDAYS.INTL(Tasks[[#This Row],[Finish]],Tasks[[#This Row],[Planned Finish]],WorkWeek,Holidays)))</f>
        <v/>
      </c>
      <c r="AO155" s="21" t="str">
        <f aca="false">IF(Tasks[[#This Row],[Task Name]]="","",IF(Tasks[[#This Row],[Progress]]&gt;=1,"Complete",IF(OR(N(Tasks[[#This Row],[Actual Start]])&gt;0,Tasks[[#This Row],[Progress]]&gt;0),IF(Tasks[[#This Row],[Finish Var]]&gt;0,"Behind","In Progress"),IF(Tasks[[#This Row],[Planned Start]]&lt;StatusDate,"Late Start","Not Started"))))</f>
        <v/>
      </c>
      <c r="AP155" s="21" t="str">
        <f aca="false">IF(Tasks[[#This Row],[Task Name]]="","",IF(IF(Tasks[[#This Row],[_IsSummary]],COUNTIF(INDEX(Tasks[_LeafCritical],Tasks[[#This Row],[_Row]]+1):INDEX(Tasks[_LeafCritical],Tasks[[#This Row],[_Row]]+Tasks[[#This Row],[_Descendants]]),TRUE())&gt;0,Tasks[[#This Row],[_LeafCritical]]),"Yes",""))</f>
        <v/>
      </c>
      <c r="AQ155" s="62" t="str">
        <f aca="false">IF(Tasks[[#This Row],[Task Name]]="","",IF(N(Tasks[[#This Row],[Baseline Start]])&gt;0,Tasks[[#This Row],[Baseline Start]],Tasks[[#This Row],[_CalcStart]]))</f>
        <v/>
      </c>
      <c r="AR155" s="62" t="str">
        <f aca="false">IF(Tasks[[#This Row],[Task Name]]="","",IF(N(Tasks[[#This Row],[Baseline Finish]])&gt;0,Tasks[[#This Row],[Baseline Finish]],Tasks[[#This Row],[_CalcFinish]]))</f>
        <v/>
      </c>
      <c r="AS155" s="46" t="str">
        <f aca="false">IF(Tasks[[#This Row],[Task Name]]="","",IF(Tasks[[#This Row],[Start]]&gt;=Tasks[[#This Row],[Planned Start]],NETWORKDAYS.INTL(Tasks[[#This Row],[Planned Start]],Tasks[[#This Row],[Start]],WorkWeek,Holidays)-1,1-NETWORKDAYS.INTL(Tasks[[#This Row],[Start]],Tasks[[#This Row],[Planned Start]],WorkWeek,Holidays)))</f>
        <v/>
      </c>
      <c r="AT155" s="62" t="str">
        <f aca="false">IF(Tasks[[#This Row],[Task Name]]="","",IF(Tasks[[#This Row],[_IsSummary]],MIN(INDEX(Tasks[_LeafLateStart],Tasks[[#This Row],[_Row]]+1):INDEX(Tasks[_LeafLateStart],Tasks[[#This Row],[_Row]]+Tasks[[#This Row],[_Descendants]])),Tasks[[#This Row],[_LeafLateStart]]))</f>
        <v/>
      </c>
      <c r="AU155" s="62" t="str">
        <f aca="false">IF(Tasks[[#This Row],[Task Name]]="","",IF(Tasks[[#This Row],[_IsSummary]],MAX(INDEX(Tasks[_LeafLateFinish],Tasks[[#This Row],[_Row]]+1):INDEX(Tasks[_LeafLateFinish],Tasks[[#This Row],[_Row]]+Tasks[[#This Row],[_Descendants]])),Tasks[[#This Row],[_LeafLateFinish]]))</f>
        <v/>
      </c>
      <c r="AV155" s="46" t="str">
        <f aca="false">IF(Tasks[[#This Row],[Task Name]]="","",IF(Tasks[[#This Row],[_IsSummary]],MIN(INDEX(Tasks[_LeafTotalSlack],Tasks[[#This Row],[_Row]]+1):INDEX(Tasks[_LeafTotalSlack],Tasks[[#This Row],[_Row]]+Tasks[[#This Row],[_Descendants]])),Tasks[[#This Row],[_LeafTotalSlack]]))</f>
        <v/>
      </c>
      <c r="AW15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4"/>
      <c r="BA15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t="str">
        <f aca="false">IF(Tasks[[#This Row],[Task Name]]="","",IF(Tasks[[#This Row],[_Level]]&lt;=OutlineShowLevel,"Yes","No"))</f>
        <v/>
      </c>
      <c r="BE155" s="85" t="str">
        <f aca="false">IF(Tasks[[#This Row],[Task Name]]="","",IF(Tasks[[#This Row],[_IsSummary]],SUM(INDEX(Tasks[_LeafTotalWork],Tasks[[#This Row],[_Row]]+1):INDEX(Tasks[_LeafTotalWork],Tasks[[#This Row],[_Row]]+Tasks[[#This Row],[_Descendants]])),Tasks[[#This Row],[_LeafTotalWork]]))</f>
        <v/>
      </c>
      <c r="BF155" s="23"/>
      <c r="BG15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t="str">
        <f aca="false">""</f>
        <v/>
      </c>
      <c r="BI155" s="86"/>
      <c r="BJ155" s="22"/>
      <c r="BK155" s="46" t="str">
        <f aca="false">IF(OR(Tasks[[#This Row],[Task Name]]="",Tasks[[#This Row],[Baseline Duration]]=""),"",Tasks[[#This Row],[_SpanDays]]-N(Tasks[[#This Row],[Baseline Duration]]))</f>
        <v/>
      </c>
      <c r="BL155" s="85" t="str">
        <f aca="false">IF(OR(Tasks[[#This Row],[Task Name]]="",Tasks[[#This Row],[Baseline Work]]=""),"",Tasks[[#This Row],[Work]]-N(Tasks[[#This Row],[Baseline Work]]))</f>
        <v/>
      </c>
      <c r="BM155" s="62" t="str">
        <f aca="false">IF(Tasks[[#This Row],[Task Name]]="","",IF(OR(TakeBaseline="Yes",N(Tasks[[#This Row],[Baseline Start]])=0),Tasks[[#This Row],[Start]],Tasks[[#This Row],[Baseline Start]]))</f>
        <v/>
      </c>
      <c r="BN155" s="62" t="str">
        <f aca="false">IF(Tasks[[#This Row],[Task Name]]="","",IF(OR(TakeBaseline="Yes",N(Tasks[[#This Row],[Baseline Finish]])=0),Tasks[[#This Row],[Finish]],Tasks[[#This Row],[Baseline Finish]]))</f>
        <v/>
      </c>
      <c r="BO155" s="21" t="str">
        <f aca="false">IF(Tasks[[#This Row],[Task Name]]="","",IF(OR(TakeBaseline="Yes",N(Tasks[[#This Row],[Baseline Duration]])=0),Tasks[[#This Row],[_SpanDays]],Tasks[[#This Row],[Baseline Duration]]))</f>
        <v/>
      </c>
      <c r="BP155" s="85" t="str">
        <f aca="false">IF(Tasks[[#This Row],[Task Name]]="","",IF(OR(TakeBaseline="Yes",N(Tasks[[#This Row],[Baseline Work]])=0),Tasks[[#This Row],[Work]],Tasks[[#This Row],[Baseline Work]]))</f>
        <v/>
      </c>
      <c r="BQ155" s="7"/>
      <c r="BR155" s="7"/>
      <c r="BS155" s="22"/>
      <c r="BT155" s="87"/>
      <c r="BU155" s="42" t="str">
        <f aca="false">IF(Tasks[[#This Row],[Task Name]]="","",MAX(1,N(Tasks[[#This Row],[Level]])))</f>
        <v/>
      </c>
      <c r="BV155" s="42" t="n">
        <f aca="false">ROW()-ROW(Tasks[[#Headers],[ID]])</f>
        <v>150</v>
      </c>
      <c r="BW155" s="42" t="n">
        <f aca="false">IF(OR(Tasks[[#This Row],[Task Name]]="",Tasks[[#This Row],[_Level]]&lt;=1),0,IFERROR(LOOKUP(2,1/(Tasks[[#Headers],[_Level]]:Tasks[[#This Row],[_Level]]=Tasks[[#This Row],[_Level]]-1),ROW(Tasks[[#Headers],[_Level]]:Tasks[[#This Row],[_Level]])),0))</f>
        <v>0</v>
      </c>
      <c r="BX155" s="42" t="n">
        <f aca="false">IFERROR(N(INDEX(Tasks[_Level],Tasks[[#This Row],[_Row]]+1)),0)</f>
        <v>0</v>
      </c>
      <c r="BY155" s="88" t="b">
        <f aca="false">AND(Tasks[[#This Row],[Task Name]]&lt;&gt;"",Tasks[[#This Row],[_NextLevel]]&gt;Tasks[[#This Row],[_Level]])</f>
        <v>0</v>
      </c>
      <c r="BZ155" s="42" t="n">
        <f aca="false">IF(Tasks[[#This Row],[_IsSummary]],COUNTIF(Tasks[WBS],Tasks[[#This Row],[WBS]]&amp;".*"),0)</f>
        <v>0</v>
      </c>
      <c r="CA155" s="42" t="n">
        <f aca="false">IF(AND(Tasks[[#This Row],[Task Name]]&lt;&gt;"",NOT(Tasks[[#This Row],[_IsSummary]])),1,0)</f>
        <v>0</v>
      </c>
      <c r="CB155" s="42" t="n">
        <f aca="false">IF(N(Tasks[[#This Row],[_Pred1UID]])=0,0,IFERROR(MATCH(Tasks[[#This Row],[_Pred1UID]],Tasks[UID],0),-1))</f>
        <v>0</v>
      </c>
      <c r="CC155" s="42" t="n">
        <f aca="false">IF(N(Tasks[[#This Row],[_Pred2UID]])=0,0,IFERROR(MATCH(Tasks[[#This Row],[_Pred2UID]],Tasks[UID],0),-1))</f>
        <v>0</v>
      </c>
      <c r="CD155" s="42" t="n">
        <f aca="false">IF(N(Tasks[[#This Row],[_Pred3UID]])=0,0,IFERROR(MATCH(Tasks[[#This Row],[_Pred3UID]],Tasks[UID],0),-1))</f>
        <v>0</v>
      </c>
      <c r="CE155" s="42" t="n">
        <f aca="false">IF(N(Tasks[[#This Row],[_Pred4UID]])=0,0,IFERROR(MATCH(Tasks[[#This Row],[_Pred4UID]],Tasks[UID],0),-1))</f>
        <v>0</v>
      </c>
      <c r="CF15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5" s="89" t="n">
        <f aca="false">IF(OR(Tasks[[#This Row],[_ConstraintCode]]=2,Tasks[[#This Row],[_ConstraintCode]]=3,Tasks[[#This Row],[_ConstraintCode]]=4,Tasks[[#This Row],[_ConstraintCode]]=6),Tasks[[#This Row],[_ConstraintStart]],0)</f>
        <v>0</v>
      </c>
      <c r="CI155" s="89" t="n">
        <f aca="false">IF(OR(Tasks[[#This Row],[_ConstraintCode]]=2,Tasks[[#This Row],[_ConstraintCode]]=3,Tasks[[#This Row],[_ConstraintCode]]=5,Tasks[[#This Row],[_ConstraintCode]]=7),Tasks[[#This Row],[_ConstraintStart]],2958465)</f>
        <v>2958465</v>
      </c>
      <c r="CJ15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5" s="89" t="str">
        <f aca="false">IF(NOT(Tasks[[#This Row],[_IsLeaf]]=1),"",IF(N(Tasks[[#This Row],[_Days]])&lt;=0,Tasks[[#This Row],[_LeafCalcStart]],WORKDAY.INTL(Tasks[[#This Row],[_LeafCalcStart]],Tasks[[#This Row],[_Days]]-1,WorkWeek,Holidays)))</f>
        <v/>
      </c>
      <c r="CL15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5" s="42" t="str">
        <f aca="false">IF(Tasks[[#This Row],[_Predecessors]]="","",TRIM(MID(SUBSTITUTE(SUBSTITUTE(SUBSTITUTE(UPPER(Tasks[[#This Row],[_Predecessors]]),";",",")," ",""),",",REPT(" ",99)),1,99)))</f>
        <v/>
      </c>
      <c r="CO155" s="42" t="str">
        <f aca="false">IF(Tasks[[#This Row],[_Pred1Text]]="","",IFERROR(VALUE(LEFT(Tasks[[#This Row],[_Pred1Text]],MIN(FIND("F",Tasks[[#This Row],[_Pred1Text]]&amp;"F"),FIND("S",Tasks[[#This Row],[_Pred1Text]]&amp;"S"),FIND("+",Tasks[[#This Row],[_Pred1Text]]&amp;"+"),FIND("-",Tasks[[#This Row],[_Pred1Text]]&amp;"-"))-1)),""))</f>
        <v/>
      </c>
      <c r="CP15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5" s="42" t="str">
        <f aca="false">IF(Tasks[[#This Row],[_Pred1Text]]="","",TRIM(MID(SUBSTITUTE(SUBSTITUTE(SUBSTITUTE(UPPER(Tasks[[#This Row],[_Predecessors]]),";",",")," ",""),",",REPT(" ",99)),100,99)))</f>
        <v/>
      </c>
      <c r="CS155" s="42" t="str">
        <f aca="false">IF(Tasks[[#This Row],[_Pred2Text]]="","",IFERROR(VALUE(LEFT(Tasks[[#This Row],[_Pred2Text]],MIN(FIND("F",Tasks[[#This Row],[_Pred2Text]]&amp;"F"),FIND("S",Tasks[[#This Row],[_Pred2Text]]&amp;"S"),FIND("+",Tasks[[#This Row],[_Pred2Text]]&amp;"+"),FIND("-",Tasks[[#This Row],[_Pred2Text]]&amp;"-"))-1)),""))</f>
        <v/>
      </c>
      <c r="CT15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5" s="42" t="str">
        <f aca="false">IF(Tasks[[#This Row],[_Pred2Text]]="","",TRIM(MID(SUBSTITUTE(SUBSTITUTE(SUBSTITUTE(UPPER(Tasks[[#This Row],[_Predecessors]]),";",",")," ",""),",",REPT(" ",99)),199,99)))</f>
        <v/>
      </c>
      <c r="CW155" s="42" t="str">
        <f aca="false">IF(Tasks[[#This Row],[_Pred3Text]]="","",IFERROR(VALUE(LEFT(Tasks[[#This Row],[_Pred3Text]],MIN(FIND("F",Tasks[[#This Row],[_Pred3Text]]&amp;"F"),FIND("S",Tasks[[#This Row],[_Pred3Text]]&amp;"S"),FIND("+",Tasks[[#This Row],[_Pred3Text]]&amp;"+"),FIND("-",Tasks[[#This Row],[_Pred3Text]]&amp;"-"))-1)),""))</f>
        <v/>
      </c>
      <c r="CX15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5" s="42" t="str">
        <f aca="false">IF(Tasks[[#This Row],[_Pred3Text]]="","",TRIM(MID(SUBSTITUTE(SUBSTITUTE(SUBSTITUTE(UPPER(Tasks[[#This Row],[_Predecessors]]),";",",")," ",""),",",REPT(" ",99)),298,99)))</f>
        <v/>
      </c>
      <c r="DA155" s="42" t="str">
        <f aca="false">IF(Tasks[[#This Row],[_Pred4Text]]="","",IFERROR(VALUE(LEFT(Tasks[[#This Row],[_Pred4Text]],MIN(FIND("F",Tasks[[#This Row],[_Pred4Text]]&amp;"F"),FIND("S",Tasks[[#This Row],[_Pred4Text]]&amp;"S"),FIND("+",Tasks[[#This Row],[_Pred4Text]]&amp;"+"),FIND("-",Tasks[[#This Row],[_Pred4Text]]&amp;"-"))-1)),""))</f>
        <v/>
      </c>
      <c r="DB15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5" s="42" t="str">
        <f aca="false">IF(OR(Tasks[[#This Row],[Task Name]]="",Tasks[[#This Row],[_Resources]]=""),"",TRIM(MID(SUBSTITUTE(Tasks[[#This Row],[_Resources]],",",REPT(" ",99)),1,99)))</f>
        <v/>
      </c>
      <c r="DE155" s="42" t="str">
        <f aca="false">IF(Tasks[[#This Row],[_Res1Text]]="","",TRIM(MID(SUBSTITUTE(Tasks[[#This Row],[_Resources]],",",REPT(" ",99)),100,99)))</f>
        <v/>
      </c>
      <c r="DF155" s="42" t="str">
        <f aca="false">IF(Tasks[[#This Row],[_Res2Text]]="","",TRIM(MID(SUBSTITUTE(Tasks[[#This Row],[_Resources]],",",REPT(" ",99)),199,99)))</f>
        <v/>
      </c>
      <c r="DG155" s="42" t="str">
        <f aca="false">IF(Tasks[[#This Row],[_Res3Text]]="","",TRIM(MID(SUBSTITUTE(Tasks[[#This Row],[_Resources]],",",REPT(" ",99)),298,99)))</f>
        <v/>
      </c>
      <c r="DH155" s="42" t="n">
        <f aca="false">IF(Tasks[[#This Row],[_Res1Text]]="",0,IFERROR(MATCH(TRIM(LEFT(Tasks[[#This Row],[_Res1Text]],FIND("[",Tasks[[#This Row],[_Res1Text]]&amp;"[")-1)),res_Name,0),IFERROR(MATCH(TRIM(LEFT(Tasks[[#This Row],[_Res1Text]],FIND("[",Tasks[[#This Row],[_Res1Text]]&amp;"[")-1)),res_Initials,0),0)))</f>
        <v>0</v>
      </c>
      <c r="DI155" s="42" t="n">
        <f aca="false">IF(Tasks[[#This Row],[_Res2Text]]="",0,IFERROR(MATCH(TRIM(LEFT(Tasks[[#This Row],[_Res2Text]],FIND("[",Tasks[[#This Row],[_Res2Text]]&amp;"[")-1)),res_Name,0),IFERROR(MATCH(TRIM(LEFT(Tasks[[#This Row],[_Res2Text]],FIND("[",Tasks[[#This Row],[_Res2Text]]&amp;"[")-1)),res_Initials,0),0)))</f>
        <v>0</v>
      </c>
      <c r="DJ155" s="42" t="n">
        <f aca="false">IF(Tasks[[#This Row],[_Res3Text]]="",0,IFERROR(MATCH(TRIM(LEFT(Tasks[[#This Row],[_Res3Text]],FIND("[",Tasks[[#This Row],[_Res3Text]]&amp;"[")-1)),res_Name,0),IFERROR(MATCH(TRIM(LEFT(Tasks[[#This Row],[_Res3Text]],FIND("[",Tasks[[#This Row],[_Res3Text]]&amp;"[")-1)),res_Initials,0),0)))</f>
        <v>0</v>
      </c>
      <c r="DK155" s="42" t="n">
        <f aca="false">IF(Tasks[[#This Row],[_Res4Text]]="",0,IFERROR(MATCH(TRIM(LEFT(Tasks[[#This Row],[_Res4Text]],FIND("[",Tasks[[#This Row],[_Res4Text]]&amp;"[")-1)),res_Name,0),IFERROR(MATCH(TRIM(LEFT(Tasks[[#This Row],[_Res4Text]],FIND("[",Tasks[[#This Row],[_Res4Text]]&amp;"[")-1)),res_Initials,0),0)))</f>
        <v>0</v>
      </c>
      <c r="DL155" s="42" t="str">
        <f aca="false">IF(Tasks[[#This Row],[_Res1Text]]="","",IF(Tasks[[#This Row],[_Res1Row]]&gt;0,INDEX(res_Name,Tasks[[#This Row],[_Res1Row]]),TRIM(LEFT(Tasks[[#This Row],[_Res1Text]],FIND("[",Tasks[[#This Row],[_Res1Text]]&amp;"[")-1))))</f>
        <v/>
      </c>
      <c r="DM15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5" s="42" t="n">
        <f aca="false">IF(NOT(Tasks[[#This Row],[_IsLeaf]]=1),0,(Tasks[[#This Row],[_Resource1]]&lt;&gt;"")+(Tasks[[#This Row],[_Res2]]&lt;&gt;"")+(Tasks[[#This Row],[_Res3]]&lt;&gt;"")+(Tasks[[#This Row],[_Res4]]&lt;&gt;""))</f>
        <v>0</v>
      </c>
      <c r="DO155" s="42" t="str">
        <f aca="false">IF(Tasks[[#This Row],[_Res2Text]]="","",IF(Tasks[[#This Row],[_Res2Row]]&gt;0,INDEX(res_Name,Tasks[[#This Row],[_Res2Row]]),TRIM(LEFT(Tasks[[#This Row],[_Res2Text]],FIND("[",Tasks[[#This Row],[_Res2Text]]&amp;"[")-1))))</f>
        <v/>
      </c>
      <c r="DP15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5" s="42" t="n">
        <f aca="false">IF(OR(NOT(Tasks[[#This Row],[_IsLeaf]]=1),Tasks[[#This Row],[_Res2Row]]=0),0,N(Tasks[[#This Row],[_Days]])*HoursPerDay*IF(Tasks[[#This Row],[_Res2Units]]="",DefaultUnits,Tasks[[#This Row],[_Res2Units]]))</f>
        <v>0</v>
      </c>
      <c r="DR155" s="42" t="n">
        <f aca="false">IF(AND(AND(Tasks[[#This Row],[_IsLeaf]]=1,Tasks[[#This Row],[_LeafTotalWork]]&gt;0),Tasks[[#This Row],[_Res2Work]]&gt;0),Tasks[[#This Row],[_Res2Work]]/(Tasks[[#This Row],[_FinishWorkday]]-Tasks[[#This Row],[_StartWorkday]]+1),0)</f>
        <v>0</v>
      </c>
      <c r="DS155" s="42" t="n">
        <f aca="false">Tasks[[#This Row],[_Res2WorkPerWD]]*MAX(0,Tasks[[#This Row],[_StartWorkday]]-1)</f>
        <v>0</v>
      </c>
      <c r="DT155" s="42" t="n">
        <f aca="false">Tasks[[#This Row],[_Res2Work]]*Tasks[[#This Row],[_LeafProgress]]</f>
        <v>0</v>
      </c>
      <c r="DU155" s="42" t="str">
        <f aca="false">IF(Tasks[[#This Row],[_Res3Text]]="","",IF(Tasks[[#This Row],[_Res3Row]]&gt;0,INDEX(res_Name,Tasks[[#This Row],[_Res3Row]]),TRIM(LEFT(Tasks[[#This Row],[_Res3Text]],FIND("[",Tasks[[#This Row],[_Res3Text]]&amp;"[")-1))))</f>
        <v/>
      </c>
      <c r="DV15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5" s="42" t="n">
        <f aca="false">IF(OR(NOT(Tasks[[#This Row],[_IsLeaf]]=1),Tasks[[#This Row],[_Res3Row]]=0),0,N(Tasks[[#This Row],[_Days]])*HoursPerDay*IF(Tasks[[#This Row],[_Res3Units]]="",DefaultUnits,Tasks[[#This Row],[_Res3Units]]))</f>
        <v>0</v>
      </c>
      <c r="DX155" s="42" t="n">
        <f aca="false">IF(AND(AND(Tasks[[#This Row],[_IsLeaf]]=1,Tasks[[#This Row],[_LeafTotalWork]]&gt;0),Tasks[[#This Row],[_Res3Work]]&gt;0),Tasks[[#This Row],[_Res3Work]]/(Tasks[[#This Row],[_FinishWorkday]]-Tasks[[#This Row],[_StartWorkday]]+1),0)</f>
        <v>0</v>
      </c>
      <c r="DY155" s="42" t="n">
        <f aca="false">Tasks[[#This Row],[_Res3WorkPerWD]]*MAX(0,Tasks[[#This Row],[_StartWorkday]]-1)</f>
        <v>0</v>
      </c>
      <c r="DZ155" s="42" t="n">
        <f aca="false">Tasks[[#This Row],[_Res3Work]]*Tasks[[#This Row],[_LeafProgress]]</f>
        <v>0</v>
      </c>
      <c r="EA155" s="42" t="str">
        <f aca="false">IF(Tasks[[#This Row],[_Res4Text]]="","",IF(Tasks[[#This Row],[_Res4Row]]&gt;0,INDEX(res_Name,Tasks[[#This Row],[_Res4Row]]),TRIM(LEFT(Tasks[[#This Row],[_Res4Text]],FIND("[",Tasks[[#This Row],[_Res4Text]]&amp;"[")-1))))</f>
        <v/>
      </c>
      <c r="EB15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5" s="42" t="n">
        <f aca="false">IF(OR(NOT(Tasks[[#This Row],[_IsLeaf]]=1),Tasks[[#This Row],[_Res4Row]]=0),0,N(Tasks[[#This Row],[_Days]])*HoursPerDay*IF(Tasks[[#This Row],[_Res4Units]]="",DefaultUnits,Tasks[[#This Row],[_Res4Units]]))</f>
        <v>0</v>
      </c>
      <c r="ED155" s="42" t="n">
        <f aca="false">IF(AND(AND(Tasks[[#This Row],[_IsLeaf]]=1,Tasks[[#This Row],[_LeafTotalWork]]&gt;0),Tasks[[#This Row],[_Res4Work]]&gt;0),Tasks[[#This Row],[_Res4Work]]/(Tasks[[#This Row],[_FinishWorkday]]-Tasks[[#This Row],[_StartWorkday]]+1),0)</f>
        <v>0</v>
      </c>
      <c r="EE155" s="42" t="n">
        <f aca="false">Tasks[[#This Row],[_Res4WorkPerWD]]*MAX(0,Tasks[[#This Row],[_StartWorkday]]-1)</f>
        <v>0</v>
      </c>
      <c r="EF155" s="42" t="n">
        <f aca="false">Tasks[[#This Row],[_Res4Work]]*Tasks[[#This Row],[_LeafProgress]]</f>
        <v>0</v>
      </c>
      <c r="EG155" s="42" t="n">
        <f aca="false">IF(ISNUMBER(Tasks[[#This Row],[% Complete]]),Tasks[[#This Row],[% Complete]],IF(Tasks[[#This Row],[Stage]]="",0,IFERROR(INDEX(stg_Pct,MATCH(Tasks[[#This Row],[Stage]],stg_Name,0)),0)))</f>
        <v>0</v>
      </c>
      <c r="EH155" s="42" t="n">
        <f aca="false">IF(NOT(Tasks[[#This Row],[_IsLeaf]]=1),0,IF(N(Tasks[[#This Row],[Actual Finish]])&gt;0,1,MIN(1,Tasks[[#This Row],[_Pct]])))</f>
        <v>0</v>
      </c>
      <c r="EI155" s="42" t="n">
        <f aca="false">IF(OR(NOT(Tasks[[#This Row],[_IsLeaf]]=1),Tasks[[#This Row],[_Res1Row]]=0),0,N(Tasks[[#This Row],[_Days]])*HoursPerDay*IF(Tasks[[#This Row],[_Units1]]="",DefaultUnits,Tasks[[#This Row],[_Units1]]))</f>
        <v>0</v>
      </c>
      <c r="EJ155" s="42" t="n">
        <f aca="false">Tasks[[#This Row],[_LeafWork]]+Tasks[[#This Row],[_Res2Work]]+Tasks[[#This Row],[_Res3Work]]+Tasks[[#This Row],[_Res4Work]]</f>
        <v>0</v>
      </c>
      <c r="EK15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5" s="42" t="n">
        <f aca="false">IF(NOT(Tasks[[#This Row],[_IsLeaf]]=1),0,MAX(_xlfn.MAXIFS(Tasks[_Row],Tasks[_Pred1UID],Tasks[[#This Row],[UID]]),_xlfn.MAXIFS(Tasks[_Row],Tasks[_Pred2UID],Tasks[[#This Row],[UID]]),_xlfn.MAXIFS(Tasks[_Row],Tasks[_Pred3UID],Tasks[[#This Row],[UID]]),_xlfn.MAXIFS(Tasks[_Row],Tasks[_Pred4UID],Tasks[[#This Row],[UID]])))</f>
        <v>0</v>
      </c>
      <c r="ET15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5" s="89" t="str">
        <f aca="false">IF(NOT(Tasks[[#This Row],[_IsLeaf]]=1),"",IF(N(Tasks[[#This Row],[_Days]])&lt;=0,Tasks[[#This Row],[_LeafLateFinish]],WORKDAY.INTL(Tasks[[#This Row],[_LeafLateFinish]],-(Tasks[[#This Row],[_Days]]-1),WorkWeek,Holidays)))</f>
        <v/>
      </c>
      <c r="EW15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5" s="88" t="b">
        <f aca="false">AND(Tasks[[#This Row],[_IsLeaf]]=1,Tasks[[#This Row],[_LeafProgress]]&lt;1,N(Tasks[[#This Row],[_LeafTotalSlack]])&lt;=CriticalSlackDays)</f>
        <v>0</v>
      </c>
      <c r="EY155" s="42" t="n">
        <f aca="false">IF(AND(Tasks[[#This Row],[_IsLeaf]]=1,Tasks[[#This Row],[_ConstraintCode]]=1,Tasks[[#This Row],[Mode]]&lt;&gt;"Manual",N(Tasks[[#This Row],[Actual Start]])=0),MAX(0,N(Tasks[[#This Row],[Free Slack]])),0)</f>
        <v>0</v>
      </c>
      <c r="EZ155" s="89" t="str">
        <f aca="false">IF(NOT(Tasks[[#This Row],[_IsLeaf]]=1),"",IF(Tasks[[#This Row],[_AlapShift]]=0,Tasks[[#This Row],[_LeafCalcStart]],WORKDAY.INTL(Tasks[[#This Row],[_LeafCalcStart]],Tasks[[#This Row],[_AlapShift]],WorkWeek,Holidays)))</f>
        <v/>
      </c>
      <c r="FA155" s="89" t="str">
        <f aca="false">IF(NOT(Tasks[[#This Row],[_IsLeaf]]=1),"",IF(Tasks[[#This Row],[_AlapShift]]=0,Tasks[[#This Row],[_LeafCalcFinish]],WORKDAY.INTL(Tasks[[#This Row],[_LeafCalcFinish]],Tasks[[#This Row],[_AlapShift]],WorkWeek,Holidays)))</f>
        <v/>
      </c>
      <c r="FB155" s="89" t="str">
        <f aca="false">IF(NOT(Tasks[[#This Row],[_IsLeaf]]=1),"",IF(Tasks[[#This Row],[_AlapShift]]=0,Tasks[[#This Row],[_LeafFcstStart]],WORKDAY.INTL(Tasks[[#This Row],[_LeafFcstStart]],Tasks[[#This Row],[_AlapShift]],WorkWeek,Holidays)))</f>
        <v/>
      </c>
      <c r="FC155" s="89" t="str">
        <f aca="false">IF(NOT(Tasks[[#This Row],[_IsLeaf]]=1),"",IF(Tasks[[#This Row],[_AlapShift]]=0,Tasks[[#This Row],[_LeafFcstFinish]],WORKDAY.INTL(Tasks[[#This Row],[_LeafFcstFinish]],Tasks[[#This Row],[_AlapShift]],WorkWeek,Holidays)))</f>
        <v/>
      </c>
      <c r="FD155" s="89" t="str">
        <f aca="false">IF(Tasks[[#This Row],[Task Name]]="","",IF(Tasks[[#This Row],[_IsSummary]],MIN(INDEX(Tasks[_ShownCalcStart],Tasks[[#This Row],[_Row]]+1):INDEX(Tasks[_ShownCalcStart],Tasks[[#This Row],[_Row]]+Tasks[[#This Row],[_Descendants]])),Tasks[[#This Row],[_ShownCalcStart]]))</f>
        <v/>
      </c>
      <c r="FE155" s="89" t="str">
        <f aca="false">IF(Tasks[[#This Row],[Task Name]]="","",IF(Tasks[[#This Row],[_IsSummary]],MAX(INDEX(Tasks[_ShownCalcFinish],Tasks[[#This Row],[_Row]]+1):INDEX(Tasks[_ShownCalcFinish],Tasks[[#This Row],[_Row]]+Tasks[[#This Row],[_Descendants]])),Tasks[[#This Row],[_ShownCalcFinish]]))</f>
        <v/>
      </c>
      <c r="FF15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5" s="42" t="n">
        <f aca="false">IF(AND(Tasks[[#This Row],[_IsLeaf]]=1,Tasks[[#This Row],[_LeafTotalWork]]&gt;0),NETWORKDAYS.INTL(ProjectStart,Tasks[[#This Row],[_ShownFcstStart]],WorkWeek,Holidays),0)</f>
        <v>0</v>
      </c>
      <c r="FS155" s="42" t="n">
        <f aca="false">IF(AND(Tasks[[#This Row],[_IsLeaf]]=1,Tasks[[#This Row],[_LeafTotalWork]]&gt;0),MAX(Tasks[[#This Row],[_StartWorkday]],NETWORKDAYS.INTL(ProjectStart,Tasks[[#This Row],[_ShownFcstFinish]],WorkWeek,Holidays)),0)</f>
        <v>0</v>
      </c>
      <c r="FT155" s="42" t="n">
        <f aca="false">IF(AND(Tasks[[#This Row],[_IsLeaf]]=1,Tasks[[#This Row],[_LeafTotalWork]]&gt;0),Tasks[[#This Row],[_LeafWork]]/(Tasks[[#This Row],[_FinishWorkday]]-Tasks[[#This Row],[_StartWorkday]]+1),0)</f>
        <v>0</v>
      </c>
      <c r="FU155" s="42" t="n">
        <f aca="false">Tasks[[#This Row],[_WorkPerWorkday]]*(Tasks[[#This Row],[_StartWorkday]]-1)</f>
        <v>-0</v>
      </c>
      <c r="FV155" s="42" t="n">
        <f aca="false">IF(Tasks[[#This Row],[_IsLeaf]]=1,MAX(N(Tasks[[#This Row],[_Days]]),0.1),0)</f>
        <v>0</v>
      </c>
      <c r="FW155" s="42" t="n">
        <f aca="false">Tasks[[#This Row],[_WeightDur]]*Tasks[[#This Row],[_LeafProgress]]</f>
        <v>0</v>
      </c>
      <c r="FX155" s="42" t="n">
        <f aca="false">Tasks[[#This Row],[_WeightDur]]*Tasks[[#This Row],[_PlannedPct]]</f>
        <v>0</v>
      </c>
      <c r="FY15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5" s="42" t="str">
        <f aca="false">IF(AND(Tasks[[#This Row],[_IsLeaf]]=1,N(Tasks[[#This Row],[_Days]])=0,Tasks[[#This Row],[_LeafProgress]]&lt;1),Tasks[[#This Row],[_ShownFcstFinish]]+Tasks[[#This Row],[_Row]]/100000,"")</f>
        <v/>
      </c>
      <c r="GA15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5" s="42" t="str">
        <f aca="false">IF(Tasks[[#This Row],[Task Name]]="","",LEFT(Tasks[[#This Row],[WBS]],FIND(".",Tasks[[#This Row],[WBS]]&amp;".")-1))</f>
        <v/>
      </c>
      <c r="GC155" s="42" t="str">
        <f aca="false">IF(AND(Tasks[[#This Row],[Task Name]]&lt;&gt;"",Tasks[[#This Row],[_Level]]=1),Tasks[[#This Row],[_Row]],"")</f>
        <v/>
      </c>
      <c r="GD155" s="42" t="str">
        <f aca="false">IF(AND(Tasks[[#This Row],[_IsLeaf]]=1,N(Tasks[[#This Row],[_Days]])=0),Tasks[[#This Row],[Planned Finish]]+Tasks[[#This Row],[_Row]]/100000,"")</f>
        <v/>
      </c>
      <c r="GE155" s="42" t="str">
        <f aca="false">IF(AND(Tasks[[#This Row],[_IsLeaf]]=1,Tasks[[#This Row],[_LeafProgress]]&lt;1,OR(N(Tasks[[#This Row],[Finish Var]])&gt;0,Tasks[[#This Row],[Status]]="Late Start")),MAX(0,Tasks[[#This Row],[Finish Var]])+1-Tasks[[#This Row],[_Row]]/1000000,"")</f>
        <v/>
      </c>
      <c r="GF155" s="42" t="str">
        <f aca="false">IF(AND(Tasks[[#This Row],[_IsLeaf]]=1,N(Tasks[[#This Row],[Actual Start]])=0,Tasks[[#This Row],[_ShownFcstStart]]&gt;=StatusDate,Tasks[[#This Row],[_ShownFcstStart]]&lt;=LookaheadEnd),Tasks[[#This Row],[_ShownFcstStart]]+Tasks[[#This Row],[_Row]]/100000,"")</f>
        <v/>
      </c>
      <c r="GG155" s="42" t="str">
        <f aca="false">IF(AND(Tasks[[#This Row],[_IsLeaf]]=1,Tasks[[#This Row],[_LeafProgress]]&lt;1,Tasks[[#This Row],[_ShownFcstFinish]]&gt;=StatusDate,Tasks[[#This Row],[_ShownFcstFinish]]&lt;=LookaheadEnd),Tasks[[#This Row],[_ShownFcstFinish]]+Tasks[[#This Row],[_Row]]/100000,"")</f>
        <v/>
      </c>
      <c r="GH155" s="42" t="str">
        <f aca="false">IF(Tasks[[#This Row],[_LeafCritical]],Tasks[[#This Row],[_ShownFcstStart]]+Tasks[[#This Row],[_Row]]/100000,"")</f>
        <v/>
      </c>
      <c r="GI155" s="42" t="n">
        <f aca="false">Tasks[[#This Row],[_LeafWork]]*Tasks[[#This Row],[_LeafProgress]]</f>
        <v>0</v>
      </c>
      <c r="GJ155" s="89" t="str">
        <f aca="false">IF(AND(Tasks[[#This Row],[_IsLeaf]]=1,Tasks[[#This Row],[_LeafProgress]]&gt;=1),IF(N(Tasks[[#This Row],[Actual Finish]])&gt;0,Tasks[[#This Row],[Actual Finish]],Tasks[[#This Row],[_ShownFcstFinish]]),"")</f>
        <v/>
      </c>
      <c r="GK155" s="42" t="n">
        <f aca="false">IF(Tasks[[#This Row],[_IsLeaf]]=1,N(Tasks[[#This Row],[Story Points]]),0)</f>
        <v>0</v>
      </c>
      <c r="GL155" s="42" t="str">
        <f aca="false">""</f>
        <v/>
      </c>
      <c r="GM155" s="88" t="b">
        <f aca="false">IF(Tasks[[#This Row],[Task Name]]="",FALSE(),AND(Tasks[[#This Row],[_IsLeaf]]=1,N(Tasks[[#This Row],[_Days]])=0))</f>
        <v>0</v>
      </c>
      <c r="GN155" s="89" t="n">
        <f aca="false">IF(Tasks[[#This Row],[Task Name]]="",0,IF(AND(Tasks[[#This Row],[_IsLeaf]]=1,NOT(Tasks[[#This Row],[_IsMilestone]]),N(Tasks[[#This Row],[Progress]])&gt;0),Tasks[[#This Row],[Start]],0))</f>
        <v>0</v>
      </c>
      <c r="GO155" s="89" t="n">
        <f aca="false">IF(Tasks[[#This Row],[_DoneFrom]]=0,0,IF(Tasks[[#This Row],[Progress]]&gt;=1,Tasks[[#This Row],[Finish]],MAX(Tasks[[#This Row],[_DoneFrom]],Tasks[[#This Row],[Start]]+ROUND((Tasks[[#This Row],[Finish]]-Tasks[[#This Row],[Start]]+1)*Tasks[[#This Row],[Progress]],0)-1)))</f>
        <v>0</v>
      </c>
      <c r="GP155" s="89" t="n">
        <f aca="false">IF(Tasks[[#This Row],[Task Name]]="",0,IF(OR(NOT(Tasks[[#This Row],[_IsLeaf]]=1),Tasks[[#This Row],[_IsMilestone]],N(Tasks[[#This Row],[Progress]])&gt;=1),0,IF(Tasks[[#This Row],[_DoneTo]]&gt;0,Tasks[[#This Row],[_DoneTo]]+1,Tasks[[#This Row],[Start]])))</f>
        <v>0</v>
      </c>
      <c r="GQ155" s="89" t="n">
        <f aca="false">IF(Tasks[[#This Row],[_RemFrom]]=0,0,Tasks[[#This Row],[Finish]])</f>
        <v>0</v>
      </c>
      <c r="GR155" s="88" t="b">
        <f aca="false">IF(Tasks[[#This Row],[Task Name]]="",FALSE(),OR(NOT(BaselineSet),N(Tasks[[#This Row],[Baseline Start]])&gt;0))</f>
        <v>0</v>
      </c>
      <c r="GS15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5" s="90" t="str">
        <f aca="false">IF(Tasks[[#This Row],[_IsLeaf]]=1,Tasks[[#This Row],[_Row]],"")</f>
        <v/>
      </c>
      <c r="GW155" s="90" t="str">
        <f aca="false">IFERROR(INDEX(Tasks[UID],SMALL(Tasks[_PickKey],Tasks[[#This Row],[_Row]]))&amp;" "&amp;INDEX(Tasks[Task Name],SMALL(Tasks[_PickKey],Tasks[[#This Row],[_Row]])),"")</f>
        <v/>
      </c>
      <c r="GX155" s="42" t="str">
        <f aca="false">IF(Tasks[[#This Row],[Task Name]]="","",IF(Tasks[[#This Row],[_IsSummary]],NETWORKDAYS.INTL(Tasks[[#This Row],[Start]],Tasks[[#This Row],[Finish]],WorkWeek,Holidays),N(Tasks[[#This Row],[_Days]])))</f>
        <v/>
      </c>
    </row>
    <row r="156" customFormat="false" ht="15" hidden="false" customHeight="false" outlineLevel="0" collapsed="false">
      <c r="A156" s="21" t="str">
        <f aca="false">IF(Tasks[[#This Row],[Task Name]]="","",COUNTA(Tasks[[#Headers],[Task Name]]:Tasks[[#This Row],[Task Name]])-1)</f>
        <v/>
      </c>
      <c r="B156" s="22" t="n">
        <v>164</v>
      </c>
      <c r="C156" s="22"/>
      <c r="D156" s="23"/>
      <c r="E156" s="22"/>
      <c r="F156" s="23"/>
      <c r="G156" s="22"/>
      <c r="H156" s="22"/>
      <c r="I156" s="23"/>
      <c r="J156" s="22"/>
      <c r="K156" s="22"/>
      <c r="L156" s="23"/>
      <c r="M156" s="22"/>
      <c r="N156" s="22"/>
      <c r="O156" s="23"/>
      <c r="P156" s="22"/>
      <c r="Q156" s="22"/>
      <c r="R156" s="23"/>
      <c r="S156" s="23"/>
      <c r="T156" s="83"/>
      <c r="U156" s="23"/>
      <c r="V156" s="83"/>
      <c r="W156" s="23"/>
      <c r="X156" s="83"/>
      <c r="Y156" s="23"/>
      <c r="Z156" s="83"/>
      <c r="AA156" s="23"/>
      <c r="AB156" s="23"/>
      <c r="AC156" s="7"/>
      <c r="AD156" s="7"/>
      <c r="AE156" s="62" t="str">
        <f aca="false">IF(Tasks[[#This Row],[Task Name]]="","",IF(Tasks[[#This Row],[_IsSummary]],MIN(INDEX(Tasks[_ShownFcstStart],Tasks[[#This Row],[_Row]]+1):INDEX(Tasks[_ShownFcstStart],Tasks[[#This Row],[_Row]]+Tasks[[#This Row],[_Descendants]])),Tasks[[#This Row],[_ShownFcstStart]]))</f>
        <v/>
      </c>
      <c r="AF156" s="62" t="str">
        <f aca="false">IF(Tasks[[#This Row],[Task Name]]="","",IF(Tasks[[#This Row],[_IsSummary]],MAX(INDEX(Tasks[_ShownFcstFinish],Tasks[[#This Row],[_Row]]+1):INDEX(Tasks[_ShownFcstFinish],Tasks[[#This Row],[_Row]]+Tasks[[#This Row],[_Descendants]])),Tasks[[#This Row],[_ShownFcstFinish]]))</f>
        <v/>
      </c>
      <c r="AG156" s="21" t="str">
        <f aca="false">""</f>
        <v/>
      </c>
      <c r="AH156" s="23"/>
      <c r="AI15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6" s="7"/>
      <c r="AK156" s="22"/>
      <c r="AL156" s="23"/>
      <c r="AM156" s="7"/>
      <c r="AN156" s="46" t="str">
        <f aca="false">IF(Tasks[[#This Row],[Task Name]]="","",IF(Tasks[[#This Row],[Finish]]&gt;=Tasks[[#This Row],[Planned Finish]],NETWORKDAYS.INTL(Tasks[[#This Row],[Planned Finish]],Tasks[[#This Row],[Finish]],WorkWeek,Holidays)-1,1-NETWORKDAYS.INTL(Tasks[[#This Row],[Finish]],Tasks[[#This Row],[Planned Finish]],WorkWeek,Holidays)))</f>
        <v/>
      </c>
      <c r="AO156" s="21" t="str">
        <f aca="false">IF(Tasks[[#This Row],[Task Name]]="","",IF(Tasks[[#This Row],[Progress]]&gt;=1,"Complete",IF(OR(N(Tasks[[#This Row],[Actual Start]])&gt;0,Tasks[[#This Row],[Progress]]&gt;0),IF(Tasks[[#This Row],[Finish Var]]&gt;0,"Behind","In Progress"),IF(Tasks[[#This Row],[Planned Start]]&lt;StatusDate,"Late Start","Not Started"))))</f>
        <v/>
      </c>
      <c r="AP156" s="21" t="str">
        <f aca="false">IF(Tasks[[#This Row],[Task Name]]="","",IF(IF(Tasks[[#This Row],[_IsSummary]],COUNTIF(INDEX(Tasks[_LeafCritical],Tasks[[#This Row],[_Row]]+1):INDEX(Tasks[_LeafCritical],Tasks[[#This Row],[_Row]]+Tasks[[#This Row],[_Descendants]]),TRUE())&gt;0,Tasks[[#This Row],[_LeafCritical]]),"Yes",""))</f>
        <v/>
      </c>
      <c r="AQ156" s="62" t="str">
        <f aca="false">IF(Tasks[[#This Row],[Task Name]]="","",IF(N(Tasks[[#This Row],[Baseline Start]])&gt;0,Tasks[[#This Row],[Baseline Start]],Tasks[[#This Row],[_CalcStart]]))</f>
        <v/>
      </c>
      <c r="AR156" s="62" t="str">
        <f aca="false">IF(Tasks[[#This Row],[Task Name]]="","",IF(N(Tasks[[#This Row],[Baseline Finish]])&gt;0,Tasks[[#This Row],[Baseline Finish]],Tasks[[#This Row],[_CalcFinish]]))</f>
        <v/>
      </c>
      <c r="AS156" s="46" t="str">
        <f aca="false">IF(Tasks[[#This Row],[Task Name]]="","",IF(Tasks[[#This Row],[Start]]&gt;=Tasks[[#This Row],[Planned Start]],NETWORKDAYS.INTL(Tasks[[#This Row],[Planned Start]],Tasks[[#This Row],[Start]],WorkWeek,Holidays)-1,1-NETWORKDAYS.INTL(Tasks[[#This Row],[Start]],Tasks[[#This Row],[Planned Start]],WorkWeek,Holidays)))</f>
        <v/>
      </c>
      <c r="AT156" s="62" t="str">
        <f aca="false">IF(Tasks[[#This Row],[Task Name]]="","",IF(Tasks[[#This Row],[_IsSummary]],MIN(INDEX(Tasks[_LeafLateStart],Tasks[[#This Row],[_Row]]+1):INDEX(Tasks[_LeafLateStart],Tasks[[#This Row],[_Row]]+Tasks[[#This Row],[_Descendants]])),Tasks[[#This Row],[_LeafLateStart]]))</f>
        <v/>
      </c>
      <c r="AU156" s="62" t="str">
        <f aca="false">IF(Tasks[[#This Row],[Task Name]]="","",IF(Tasks[[#This Row],[_IsSummary]],MAX(INDEX(Tasks[_LeafLateFinish],Tasks[[#This Row],[_Row]]+1):INDEX(Tasks[_LeafLateFinish],Tasks[[#This Row],[_Row]]+Tasks[[#This Row],[_Descendants]])),Tasks[[#This Row],[_LeafLateFinish]]))</f>
        <v/>
      </c>
      <c r="AV156" s="46" t="str">
        <f aca="false">IF(Tasks[[#This Row],[Task Name]]="","",IF(Tasks[[#This Row],[_IsSummary]],MIN(INDEX(Tasks[_LeafTotalSlack],Tasks[[#This Row],[_Row]]+1):INDEX(Tasks[_LeafTotalSlack],Tasks[[#This Row],[_Row]]+Tasks[[#This Row],[_Descendants]])),Tasks[[#This Row],[_LeafTotalSlack]]))</f>
        <v/>
      </c>
      <c r="AW15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4"/>
      <c r="BA15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t="str">
        <f aca="false">IF(Tasks[[#This Row],[Task Name]]="","",IF(Tasks[[#This Row],[_Level]]&lt;=OutlineShowLevel,"Yes","No"))</f>
        <v/>
      </c>
      <c r="BE156" s="85" t="str">
        <f aca="false">IF(Tasks[[#This Row],[Task Name]]="","",IF(Tasks[[#This Row],[_IsSummary]],SUM(INDEX(Tasks[_LeafTotalWork],Tasks[[#This Row],[_Row]]+1):INDEX(Tasks[_LeafTotalWork],Tasks[[#This Row],[_Row]]+Tasks[[#This Row],[_Descendants]])),Tasks[[#This Row],[_LeafTotalWork]]))</f>
        <v/>
      </c>
      <c r="BF156" s="23"/>
      <c r="BG15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t="str">
        <f aca="false">""</f>
        <v/>
      </c>
      <c r="BI156" s="86"/>
      <c r="BJ156" s="22"/>
      <c r="BK156" s="46" t="str">
        <f aca="false">IF(OR(Tasks[[#This Row],[Task Name]]="",Tasks[[#This Row],[Baseline Duration]]=""),"",Tasks[[#This Row],[_SpanDays]]-N(Tasks[[#This Row],[Baseline Duration]]))</f>
        <v/>
      </c>
      <c r="BL156" s="85" t="str">
        <f aca="false">IF(OR(Tasks[[#This Row],[Task Name]]="",Tasks[[#This Row],[Baseline Work]]=""),"",Tasks[[#This Row],[Work]]-N(Tasks[[#This Row],[Baseline Work]]))</f>
        <v/>
      </c>
      <c r="BM156" s="62" t="str">
        <f aca="false">IF(Tasks[[#This Row],[Task Name]]="","",IF(OR(TakeBaseline="Yes",N(Tasks[[#This Row],[Baseline Start]])=0),Tasks[[#This Row],[Start]],Tasks[[#This Row],[Baseline Start]]))</f>
        <v/>
      </c>
      <c r="BN156" s="62" t="str">
        <f aca="false">IF(Tasks[[#This Row],[Task Name]]="","",IF(OR(TakeBaseline="Yes",N(Tasks[[#This Row],[Baseline Finish]])=0),Tasks[[#This Row],[Finish]],Tasks[[#This Row],[Baseline Finish]]))</f>
        <v/>
      </c>
      <c r="BO156" s="21" t="str">
        <f aca="false">IF(Tasks[[#This Row],[Task Name]]="","",IF(OR(TakeBaseline="Yes",N(Tasks[[#This Row],[Baseline Duration]])=0),Tasks[[#This Row],[_SpanDays]],Tasks[[#This Row],[Baseline Duration]]))</f>
        <v/>
      </c>
      <c r="BP156" s="85" t="str">
        <f aca="false">IF(Tasks[[#This Row],[Task Name]]="","",IF(OR(TakeBaseline="Yes",N(Tasks[[#This Row],[Baseline Work]])=0),Tasks[[#This Row],[Work]],Tasks[[#This Row],[Baseline Work]]))</f>
        <v/>
      </c>
      <c r="BQ156" s="7"/>
      <c r="BR156" s="7"/>
      <c r="BS156" s="22"/>
      <c r="BT156" s="87"/>
      <c r="BU156" s="42" t="str">
        <f aca="false">IF(Tasks[[#This Row],[Task Name]]="","",MAX(1,N(Tasks[[#This Row],[Level]])))</f>
        <v/>
      </c>
      <c r="BV156" s="42" t="n">
        <f aca="false">ROW()-ROW(Tasks[[#Headers],[ID]])</f>
        <v>151</v>
      </c>
      <c r="BW156" s="42" t="n">
        <f aca="false">IF(OR(Tasks[[#This Row],[Task Name]]="",Tasks[[#This Row],[_Level]]&lt;=1),0,IFERROR(LOOKUP(2,1/(Tasks[[#Headers],[_Level]]:Tasks[[#This Row],[_Level]]=Tasks[[#This Row],[_Level]]-1),ROW(Tasks[[#Headers],[_Level]]:Tasks[[#This Row],[_Level]])),0))</f>
        <v>0</v>
      </c>
      <c r="BX156" s="42" t="n">
        <f aca="false">IFERROR(N(INDEX(Tasks[_Level],Tasks[[#This Row],[_Row]]+1)),0)</f>
        <v>0</v>
      </c>
      <c r="BY156" s="88" t="b">
        <f aca="false">AND(Tasks[[#This Row],[Task Name]]&lt;&gt;"",Tasks[[#This Row],[_NextLevel]]&gt;Tasks[[#This Row],[_Level]])</f>
        <v>0</v>
      </c>
      <c r="BZ156" s="42" t="n">
        <f aca="false">IF(Tasks[[#This Row],[_IsSummary]],COUNTIF(Tasks[WBS],Tasks[[#This Row],[WBS]]&amp;".*"),0)</f>
        <v>0</v>
      </c>
      <c r="CA156" s="42" t="n">
        <f aca="false">IF(AND(Tasks[[#This Row],[Task Name]]&lt;&gt;"",NOT(Tasks[[#This Row],[_IsSummary]])),1,0)</f>
        <v>0</v>
      </c>
      <c r="CB156" s="42" t="n">
        <f aca="false">IF(N(Tasks[[#This Row],[_Pred1UID]])=0,0,IFERROR(MATCH(Tasks[[#This Row],[_Pred1UID]],Tasks[UID],0),-1))</f>
        <v>0</v>
      </c>
      <c r="CC156" s="42" t="n">
        <f aca="false">IF(N(Tasks[[#This Row],[_Pred2UID]])=0,0,IFERROR(MATCH(Tasks[[#This Row],[_Pred2UID]],Tasks[UID],0),-1))</f>
        <v>0</v>
      </c>
      <c r="CD156" s="42" t="n">
        <f aca="false">IF(N(Tasks[[#This Row],[_Pred3UID]])=0,0,IFERROR(MATCH(Tasks[[#This Row],[_Pred3UID]],Tasks[UID],0),-1))</f>
        <v>0</v>
      </c>
      <c r="CE156" s="42" t="n">
        <f aca="false">IF(N(Tasks[[#This Row],[_Pred4UID]])=0,0,IFERROR(MATCH(Tasks[[#This Row],[_Pred4UID]],Tasks[UID],0),-1))</f>
        <v>0</v>
      </c>
      <c r="CF15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6" s="89" t="n">
        <f aca="false">IF(OR(Tasks[[#This Row],[_ConstraintCode]]=2,Tasks[[#This Row],[_ConstraintCode]]=3,Tasks[[#This Row],[_ConstraintCode]]=4,Tasks[[#This Row],[_ConstraintCode]]=6),Tasks[[#This Row],[_ConstraintStart]],0)</f>
        <v>0</v>
      </c>
      <c r="CI156" s="89" t="n">
        <f aca="false">IF(OR(Tasks[[#This Row],[_ConstraintCode]]=2,Tasks[[#This Row],[_ConstraintCode]]=3,Tasks[[#This Row],[_ConstraintCode]]=5,Tasks[[#This Row],[_ConstraintCode]]=7),Tasks[[#This Row],[_ConstraintStart]],2958465)</f>
        <v>2958465</v>
      </c>
      <c r="CJ15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6" s="89" t="str">
        <f aca="false">IF(NOT(Tasks[[#This Row],[_IsLeaf]]=1),"",IF(N(Tasks[[#This Row],[_Days]])&lt;=0,Tasks[[#This Row],[_LeafCalcStart]],WORKDAY.INTL(Tasks[[#This Row],[_LeafCalcStart]],Tasks[[#This Row],[_Days]]-1,WorkWeek,Holidays)))</f>
        <v/>
      </c>
      <c r="CL15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6" s="42" t="str">
        <f aca="false">IF(Tasks[[#This Row],[_Predecessors]]="","",TRIM(MID(SUBSTITUTE(SUBSTITUTE(SUBSTITUTE(UPPER(Tasks[[#This Row],[_Predecessors]]),";",",")," ",""),",",REPT(" ",99)),1,99)))</f>
        <v/>
      </c>
      <c r="CO156" s="42" t="str">
        <f aca="false">IF(Tasks[[#This Row],[_Pred1Text]]="","",IFERROR(VALUE(LEFT(Tasks[[#This Row],[_Pred1Text]],MIN(FIND("F",Tasks[[#This Row],[_Pred1Text]]&amp;"F"),FIND("S",Tasks[[#This Row],[_Pred1Text]]&amp;"S"),FIND("+",Tasks[[#This Row],[_Pred1Text]]&amp;"+"),FIND("-",Tasks[[#This Row],[_Pred1Text]]&amp;"-"))-1)),""))</f>
        <v/>
      </c>
      <c r="CP15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6" s="42" t="str">
        <f aca="false">IF(Tasks[[#This Row],[_Pred1Text]]="","",TRIM(MID(SUBSTITUTE(SUBSTITUTE(SUBSTITUTE(UPPER(Tasks[[#This Row],[_Predecessors]]),";",",")," ",""),",",REPT(" ",99)),100,99)))</f>
        <v/>
      </c>
      <c r="CS156" s="42" t="str">
        <f aca="false">IF(Tasks[[#This Row],[_Pred2Text]]="","",IFERROR(VALUE(LEFT(Tasks[[#This Row],[_Pred2Text]],MIN(FIND("F",Tasks[[#This Row],[_Pred2Text]]&amp;"F"),FIND("S",Tasks[[#This Row],[_Pred2Text]]&amp;"S"),FIND("+",Tasks[[#This Row],[_Pred2Text]]&amp;"+"),FIND("-",Tasks[[#This Row],[_Pred2Text]]&amp;"-"))-1)),""))</f>
        <v/>
      </c>
      <c r="CT15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6" s="42" t="str">
        <f aca="false">IF(Tasks[[#This Row],[_Pred2Text]]="","",TRIM(MID(SUBSTITUTE(SUBSTITUTE(SUBSTITUTE(UPPER(Tasks[[#This Row],[_Predecessors]]),";",",")," ",""),",",REPT(" ",99)),199,99)))</f>
        <v/>
      </c>
      <c r="CW156" s="42" t="str">
        <f aca="false">IF(Tasks[[#This Row],[_Pred3Text]]="","",IFERROR(VALUE(LEFT(Tasks[[#This Row],[_Pred3Text]],MIN(FIND("F",Tasks[[#This Row],[_Pred3Text]]&amp;"F"),FIND("S",Tasks[[#This Row],[_Pred3Text]]&amp;"S"),FIND("+",Tasks[[#This Row],[_Pred3Text]]&amp;"+"),FIND("-",Tasks[[#This Row],[_Pred3Text]]&amp;"-"))-1)),""))</f>
        <v/>
      </c>
      <c r="CX15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6" s="42" t="str">
        <f aca="false">IF(Tasks[[#This Row],[_Pred3Text]]="","",TRIM(MID(SUBSTITUTE(SUBSTITUTE(SUBSTITUTE(UPPER(Tasks[[#This Row],[_Predecessors]]),";",",")," ",""),",",REPT(" ",99)),298,99)))</f>
        <v/>
      </c>
      <c r="DA156" s="42" t="str">
        <f aca="false">IF(Tasks[[#This Row],[_Pred4Text]]="","",IFERROR(VALUE(LEFT(Tasks[[#This Row],[_Pred4Text]],MIN(FIND("F",Tasks[[#This Row],[_Pred4Text]]&amp;"F"),FIND("S",Tasks[[#This Row],[_Pred4Text]]&amp;"S"),FIND("+",Tasks[[#This Row],[_Pred4Text]]&amp;"+"),FIND("-",Tasks[[#This Row],[_Pred4Text]]&amp;"-"))-1)),""))</f>
        <v/>
      </c>
      <c r="DB15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6" s="42" t="str">
        <f aca="false">IF(OR(Tasks[[#This Row],[Task Name]]="",Tasks[[#This Row],[_Resources]]=""),"",TRIM(MID(SUBSTITUTE(Tasks[[#This Row],[_Resources]],",",REPT(" ",99)),1,99)))</f>
        <v/>
      </c>
      <c r="DE156" s="42" t="str">
        <f aca="false">IF(Tasks[[#This Row],[_Res1Text]]="","",TRIM(MID(SUBSTITUTE(Tasks[[#This Row],[_Resources]],",",REPT(" ",99)),100,99)))</f>
        <v/>
      </c>
      <c r="DF156" s="42" t="str">
        <f aca="false">IF(Tasks[[#This Row],[_Res2Text]]="","",TRIM(MID(SUBSTITUTE(Tasks[[#This Row],[_Resources]],",",REPT(" ",99)),199,99)))</f>
        <v/>
      </c>
      <c r="DG156" s="42" t="str">
        <f aca="false">IF(Tasks[[#This Row],[_Res3Text]]="","",TRIM(MID(SUBSTITUTE(Tasks[[#This Row],[_Resources]],",",REPT(" ",99)),298,99)))</f>
        <v/>
      </c>
      <c r="DH156" s="42" t="n">
        <f aca="false">IF(Tasks[[#This Row],[_Res1Text]]="",0,IFERROR(MATCH(TRIM(LEFT(Tasks[[#This Row],[_Res1Text]],FIND("[",Tasks[[#This Row],[_Res1Text]]&amp;"[")-1)),res_Name,0),IFERROR(MATCH(TRIM(LEFT(Tasks[[#This Row],[_Res1Text]],FIND("[",Tasks[[#This Row],[_Res1Text]]&amp;"[")-1)),res_Initials,0),0)))</f>
        <v>0</v>
      </c>
      <c r="DI156" s="42" t="n">
        <f aca="false">IF(Tasks[[#This Row],[_Res2Text]]="",0,IFERROR(MATCH(TRIM(LEFT(Tasks[[#This Row],[_Res2Text]],FIND("[",Tasks[[#This Row],[_Res2Text]]&amp;"[")-1)),res_Name,0),IFERROR(MATCH(TRIM(LEFT(Tasks[[#This Row],[_Res2Text]],FIND("[",Tasks[[#This Row],[_Res2Text]]&amp;"[")-1)),res_Initials,0),0)))</f>
        <v>0</v>
      </c>
      <c r="DJ156" s="42" t="n">
        <f aca="false">IF(Tasks[[#This Row],[_Res3Text]]="",0,IFERROR(MATCH(TRIM(LEFT(Tasks[[#This Row],[_Res3Text]],FIND("[",Tasks[[#This Row],[_Res3Text]]&amp;"[")-1)),res_Name,0),IFERROR(MATCH(TRIM(LEFT(Tasks[[#This Row],[_Res3Text]],FIND("[",Tasks[[#This Row],[_Res3Text]]&amp;"[")-1)),res_Initials,0),0)))</f>
        <v>0</v>
      </c>
      <c r="DK156" s="42" t="n">
        <f aca="false">IF(Tasks[[#This Row],[_Res4Text]]="",0,IFERROR(MATCH(TRIM(LEFT(Tasks[[#This Row],[_Res4Text]],FIND("[",Tasks[[#This Row],[_Res4Text]]&amp;"[")-1)),res_Name,0),IFERROR(MATCH(TRIM(LEFT(Tasks[[#This Row],[_Res4Text]],FIND("[",Tasks[[#This Row],[_Res4Text]]&amp;"[")-1)),res_Initials,0),0)))</f>
        <v>0</v>
      </c>
      <c r="DL156" s="42" t="str">
        <f aca="false">IF(Tasks[[#This Row],[_Res1Text]]="","",IF(Tasks[[#This Row],[_Res1Row]]&gt;0,INDEX(res_Name,Tasks[[#This Row],[_Res1Row]]),TRIM(LEFT(Tasks[[#This Row],[_Res1Text]],FIND("[",Tasks[[#This Row],[_Res1Text]]&amp;"[")-1))))</f>
        <v/>
      </c>
      <c r="DM15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6" s="42" t="n">
        <f aca="false">IF(NOT(Tasks[[#This Row],[_IsLeaf]]=1),0,(Tasks[[#This Row],[_Resource1]]&lt;&gt;"")+(Tasks[[#This Row],[_Res2]]&lt;&gt;"")+(Tasks[[#This Row],[_Res3]]&lt;&gt;"")+(Tasks[[#This Row],[_Res4]]&lt;&gt;""))</f>
        <v>0</v>
      </c>
      <c r="DO156" s="42" t="str">
        <f aca="false">IF(Tasks[[#This Row],[_Res2Text]]="","",IF(Tasks[[#This Row],[_Res2Row]]&gt;0,INDEX(res_Name,Tasks[[#This Row],[_Res2Row]]),TRIM(LEFT(Tasks[[#This Row],[_Res2Text]],FIND("[",Tasks[[#This Row],[_Res2Text]]&amp;"[")-1))))</f>
        <v/>
      </c>
      <c r="DP15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6" s="42" t="n">
        <f aca="false">IF(OR(NOT(Tasks[[#This Row],[_IsLeaf]]=1),Tasks[[#This Row],[_Res2Row]]=0),0,N(Tasks[[#This Row],[_Days]])*HoursPerDay*IF(Tasks[[#This Row],[_Res2Units]]="",DefaultUnits,Tasks[[#This Row],[_Res2Units]]))</f>
        <v>0</v>
      </c>
      <c r="DR156" s="42" t="n">
        <f aca="false">IF(AND(AND(Tasks[[#This Row],[_IsLeaf]]=1,Tasks[[#This Row],[_LeafTotalWork]]&gt;0),Tasks[[#This Row],[_Res2Work]]&gt;0),Tasks[[#This Row],[_Res2Work]]/(Tasks[[#This Row],[_FinishWorkday]]-Tasks[[#This Row],[_StartWorkday]]+1),0)</f>
        <v>0</v>
      </c>
      <c r="DS156" s="42" t="n">
        <f aca="false">Tasks[[#This Row],[_Res2WorkPerWD]]*MAX(0,Tasks[[#This Row],[_StartWorkday]]-1)</f>
        <v>0</v>
      </c>
      <c r="DT156" s="42" t="n">
        <f aca="false">Tasks[[#This Row],[_Res2Work]]*Tasks[[#This Row],[_LeafProgress]]</f>
        <v>0</v>
      </c>
      <c r="DU156" s="42" t="str">
        <f aca="false">IF(Tasks[[#This Row],[_Res3Text]]="","",IF(Tasks[[#This Row],[_Res3Row]]&gt;0,INDEX(res_Name,Tasks[[#This Row],[_Res3Row]]),TRIM(LEFT(Tasks[[#This Row],[_Res3Text]],FIND("[",Tasks[[#This Row],[_Res3Text]]&amp;"[")-1))))</f>
        <v/>
      </c>
      <c r="DV15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6" s="42" t="n">
        <f aca="false">IF(OR(NOT(Tasks[[#This Row],[_IsLeaf]]=1),Tasks[[#This Row],[_Res3Row]]=0),0,N(Tasks[[#This Row],[_Days]])*HoursPerDay*IF(Tasks[[#This Row],[_Res3Units]]="",DefaultUnits,Tasks[[#This Row],[_Res3Units]]))</f>
        <v>0</v>
      </c>
      <c r="DX156" s="42" t="n">
        <f aca="false">IF(AND(AND(Tasks[[#This Row],[_IsLeaf]]=1,Tasks[[#This Row],[_LeafTotalWork]]&gt;0),Tasks[[#This Row],[_Res3Work]]&gt;0),Tasks[[#This Row],[_Res3Work]]/(Tasks[[#This Row],[_FinishWorkday]]-Tasks[[#This Row],[_StartWorkday]]+1),0)</f>
        <v>0</v>
      </c>
      <c r="DY156" s="42" t="n">
        <f aca="false">Tasks[[#This Row],[_Res3WorkPerWD]]*MAX(0,Tasks[[#This Row],[_StartWorkday]]-1)</f>
        <v>0</v>
      </c>
      <c r="DZ156" s="42" t="n">
        <f aca="false">Tasks[[#This Row],[_Res3Work]]*Tasks[[#This Row],[_LeafProgress]]</f>
        <v>0</v>
      </c>
      <c r="EA156" s="42" t="str">
        <f aca="false">IF(Tasks[[#This Row],[_Res4Text]]="","",IF(Tasks[[#This Row],[_Res4Row]]&gt;0,INDEX(res_Name,Tasks[[#This Row],[_Res4Row]]),TRIM(LEFT(Tasks[[#This Row],[_Res4Text]],FIND("[",Tasks[[#This Row],[_Res4Text]]&amp;"[")-1))))</f>
        <v/>
      </c>
      <c r="EB15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6" s="42" t="n">
        <f aca="false">IF(OR(NOT(Tasks[[#This Row],[_IsLeaf]]=1),Tasks[[#This Row],[_Res4Row]]=0),0,N(Tasks[[#This Row],[_Days]])*HoursPerDay*IF(Tasks[[#This Row],[_Res4Units]]="",DefaultUnits,Tasks[[#This Row],[_Res4Units]]))</f>
        <v>0</v>
      </c>
      <c r="ED156" s="42" t="n">
        <f aca="false">IF(AND(AND(Tasks[[#This Row],[_IsLeaf]]=1,Tasks[[#This Row],[_LeafTotalWork]]&gt;0),Tasks[[#This Row],[_Res4Work]]&gt;0),Tasks[[#This Row],[_Res4Work]]/(Tasks[[#This Row],[_FinishWorkday]]-Tasks[[#This Row],[_StartWorkday]]+1),0)</f>
        <v>0</v>
      </c>
      <c r="EE156" s="42" t="n">
        <f aca="false">Tasks[[#This Row],[_Res4WorkPerWD]]*MAX(0,Tasks[[#This Row],[_StartWorkday]]-1)</f>
        <v>0</v>
      </c>
      <c r="EF156" s="42" t="n">
        <f aca="false">Tasks[[#This Row],[_Res4Work]]*Tasks[[#This Row],[_LeafProgress]]</f>
        <v>0</v>
      </c>
      <c r="EG156" s="42" t="n">
        <f aca="false">IF(ISNUMBER(Tasks[[#This Row],[% Complete]]),Tasks[[#This Row],[% Complete]],IF(Tasks[[#This Row],[Stage]]="",0,IFERROR(INDEX(stg_Pct,MATCH(Tasks[[#This Row],[Stage]],stg_Name,0)),0)))</f>
        <v>0</v>
      </c>
      <c r="EH156" s="42" t="n">
        <f aca="false">IF(NOT(Tasks[[#This Row],[_IsLeaf]]=1),0,IF(N(Tasks[[#This Row],[Actual Finish]])&gt;0,1,MIN(1,Tasks[[#This Row],[_Pct]])))</f>
        <v>0</v>
      </c>
      <c r="EI156" s="42" t="n">
        <f aca="false">IF(OR(NOT(Tasks[[#This Row],[_IsLeaf]]=1),Tasks[[#This Row],[_Res1Row]]=0),0,N(Tasks[[#This Row],[_Days]])*HoursPerDay*IF(Tasks[[#This Row],[_Units1]]="",DefaultUnits,Tasks[[#This Row],[_Units1]]))</f>
        <v>0</v>
      </c>
      <c r="EJ156" s="42" t="n">
        <f aca="false">Tasks[[#This Row],[_LeafWork]]+Tasks[[#This Row],[_Res2Work]]+Tasks[[#This Row],[_Res3Work]]+Tasks[[#This Row],[_Res4Work]]</f>
        <v>0</v>
      </c>
      <c r="EK15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6" s="42" t="n">
        <f aca="false">IF(NOT(Tasks[[#This Row],[_IsLeaf]]=1),0,MAX(_xlfn.MAXIFS(Tasks[_Row],Tasks[_Pred1UID],Tasks[[#This Row],[UID]]),_xlfn.MAXIFS(Tasks[_Row],Tasks[_Pred2UID],Tasks[[#This Row],[UID]]),_xlfn.MAXIFS(Tasks[_Row],Tasks[_Pred3UID],Tasks[[#This Row],[UID]]),_xlfn.MAXIFS(Tasks[_Row],Tasks[_Pred4UID],Tasks[[#This Row],[UID]])))</f>
        <v>0</v>
      </c>
      <c r="ET15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6" s="89" t="str">
        <f aca="false">IF(NOT(Tasks[[#This Row],[_IsLeaf]]=1),"",IF(N(Tasks[[#This Row],[_Days]])&lt;=0,Tasks[[#This Row],[_LeafLateFinish]],WORKDAY.INTL(Tasks[[#This Row],[_LeafLateFinish]],-(Tasks[[#This Row],[_Days]]-1),WorkWeek,Holidays)))</f>
        <v/>
      </c>
      <c r="EW15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6" s="88" t="b">
        <f aca="false">AND(Tasks[[#This Row],[_IsLeaf]]=1,Tasks[[#This Row],[_LeafProgress]]&lt;1,N(Tasks[[#This Row],[_LeafTotalSlack]])&lt;=CriticalSlackDays)</f>
        <v>0</v>
      </c>
      <c r="EY156" s="42" t="n">
        <f aca="false">IF(AND(Tasks[[#This Row],[_IsLeaf]]=1,Tasks[[#This Row],[_ConstraintCode]]=1,Tasks[[#This Row],[Mode]]&lt;&gt;"Manual",N(Tasks[[#This Row],[Actual Start]])=0),MAX(0,N(Tasks[[#This Row],[Free Slack]])),0)</f>
        <v>0</v>
      </c>
      <c r="EZ156" s="89" t="str">
        <f aca="false">IF(NOT(Tasks[[#This Row],[_IsLeaf]]=1),"",IF(Tasks[[#This Row],[_AlapShift]]=0,Tasks[[#This Row],[_LeafCalcStart]],WORKDAY.INTL(Tasks[[#This Row],[_LeafCalcStart]],Tasks[[#This Row],[_AlapShift]],WorkWeek,Holidays)))</f>
        <v/>
      </c>
      <c r="FA156" s="89" t="str">
        <f aca="false">IF(NOT(Tasks[[#This Row],[_IsLeaf]]=1),"",IF(Tasks[[#This Row],[_AlapShift]]=0,Tasks[[#This Row],[_LeafCalcFinish]],WORKDAY.INTL(Tasks[[#This Row],[_LeafCalcFinish]],Tasks[[#This Row],[_AlapShift]],WorkWeek,Holidays)))</f>
        <v/>
      </c>
      <c r="FB156" s="89" t="str">
        <f aca="false">IF(NOT(Tasks[[#This Row],[_IsLeaf]]=1),"",IF(Tasks[[#This Row],[_AlapShift]]=0,Tasks[[#This Row],[_LeafFcstStart]],WORKDAY.INTL(Tasks[[#This Row],[_LeafFcstStart]],Tasks[[#This Row],[_AlapShift]],WorkWeek,Holidays)))</f>
        <v/>
      </c>
      <c r="FC156" s="89" t="str">
        <f aca="false">IF(NOT(Tasks[[#This Row],[_IsLeaf]]=1),"",IF(Tasks[[#This Row],[_AlapShift]]=0,Tasks[[#This Row],[_LeafFcstFinish]],WORKDAY.INTL(Tasks[[#This Row],[_LeafFcstFinish]],Tasks[[#This Row],[_AlapShift]],WorkWeek,Holidays)))</f>
        <v/>
      </c>
      <c r="FD156" s="89" t="str">
        <f aca="false">IF(Tasks[[#This Row],[Task Name]]="","",IF(Tasks[[#This Row],[_IsSummary]],MIN(INDEX(Tasks[_ShownCalcStart],Tasks[[#This Row],[_Row]]+1):INDEX(Tasks[_ShownCalcStart],Tasks[[#This Row],[_Row]]+Tasks[[#This Row],[_Descendants]])),Tasks[[#This Row],[_ShownCalcStart]]))</f>
        <v/>
      </c>
      <c r="FE156" s="89" t="str">
        <f aca="false">IF(Tasks[[#This Row],[Task Name]]="","",IF(Tasks[[#This Row],[_IsSummary]],MAX(INDEX(Tasks[_ShownCalcFinish],Tasks[[#This Row],[_Row]]+1):INDEX(Tasks[_ShownCalcFinish],Tasks[[#This Row],[_Row]]+Tasks[[#This Row],[_Descendants]])),Tasks[[#This Row],[_ShownCalcFinish]]))</f>
        <v/>
      </c>
      <c r="FF15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6" s="42" t="n">
        <f aca="false">IF(AND(Tasks[[#This Row],[_IsLeaf]]=1,Tasks[[#This Row],[_LeafTotalWork]]&gt;0),NETWORKDAYS.INTL(ProjectStart,Tasks[[#This Row],[_ShownFcstStart]],WorkWeek,Holidays),0)</f>
        <v>0</v>
      </c>
      <c r="FS156" s="42" t="n">
        <f aca="false">IF(AND(Tasks[[#This Row],[_IsLeaf]]=1,Tasks[[#This Row],[_LeafTotalWork]]&gt;0),MAX(Tasks[[#This Row],[_StartWorkday]],NETWORKDAYS.INTL(ProjectStart,Tasks[[#This Row],[_ShownFcstFinish]],WorkWeek,Holidays)),0)</f>
        <v>0</v>
      </c>
      <c r="FT156" s="42" t="n">
        <f aca="false">IF(AND(Tasks[[#This Row],[_IsLeaf]]=1,Tasks[[#This Row],[_LeafTotalWork]]&gt;0),Tasks[[#This Row],[_LeafWork]]/(Tasks[[#This Row],[_FinishWorkday]]-Tasks[[#This Row],[_StartWorkday]]+1),0)</f>
        <v>0</v>
      </c>
      <c r="FU156" s="42" t="n">
        <f aca="false">Tasks[[#This Row],[_WorkPerWorkday]]*(Tasks[[#This Row],[_StartWorkday]]-1)</f>
        <v>-0</v>
      </c>
      <c r="FV156" s="42" t="n">
        <f aca="false">IF(Tasks[[#This Row],[_IsLeaf]]=1,MAX(N(Tasks[[#This Row],[_Days]]),0.1),0)</f>
        <v>0</v>
      </c>
      <c r="FW156" s="42" t="n">
        <f aca="false">Tasks[[#This Row],[_WeightDur]]*Tasks[[#This Row],[_LeafProgress]]</f>
        <v>0</v>
      </c>
      <c r="FX156" s="42" t="n">
        <f aca="false">Tasks[[#This Row],[_WeightDur]]*Tasks[[#This Row],[_PlannedPct]]</f>
        <v>0</v>
      </c>
      <c r="FY15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6" s="42" t="str">
        <f aca="false">IF(AND(Tasks[[#This Row],[_IsLeaf]]=1,N(Tasks[[#This Row],[_Days]])=0,Tasks[[#This Row],[_LeafProgress]]&lt;1),Tasks[[#This Row],[_ShownFcstFinish]]+Tasks[[#This Row],[_Row]]/100000,"")</f>
        <v/>
      </c>
      <c r="GA15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6" s="42" t="str">
        <f aca="false">IF(Tasks[[#This Row],[Task Name]]="","",LEFT(Tasks[[#This Row],[WBS]],FIND(".",Tasks[[#This Row],[WBS]]&amp;".")-1))</f>
        <v/>
      </c>
      <c r="GC156" s="42" t="str">
        <f aca="false">IF(AND(Tasks[[#This Row],[Task Name]]&lt;&gt;"",Tasks[[#This Row],[_Level]]=1),Tasks[[#This Row],[_Row]],"")</f>
        <v/>
      </c>
      <c r="GD156" s="42" t="str">
        <f aca="false">IF(AND(Tasks[[#This Row],[_IsLeaf]]=1,N(Tasks[[#This Row],[_Days]])=0),Tasks[[#This Row],[Planned Finish]]+Tasks[[#This Row],[_Row]]/100000,"")</f>
        <v/>
      </c>
      <c r="GE156" s="42" t="str">
        <f aca="false">IF(AND(Tasks[[#This Row],[_IsLeaf]]=1,Tasks[[#This Row],[_LeafProgress]]&lt;1,OR(N(Tasks[[#This Row],[Finish Var]])&gt;0,Tasks[[#This Row],[Status]]="Late Start")),MAX(0,Tasks[[#This Row],[Finish Var]])+1-Tasks[[#This Row],[_Row]]/1000000,"")</f>
        <v/>
      </c>
      <c r="GF156" s="42" t="str">
        <f aca="false">IF(AND(Tasks[[#This Row],[_IsLeaf]]=1,N(Tasks[[#This Row],[Actual Start]])=0,Tasks[[#This Row],[_ShownFcstStart]]&gt;=StatusDate,Tasks[[#This Row],[_ShownFcstStart]]&lt;=LookaheadEnd),Tasks[[#This Row],[_ShownFcstStart]]+Tasks[[#This Row],[_Row]]/100000,"")</f>
        <v/>
      </c>
      <c r="GG156" s="42" t="str">
        <f aca="false">IF(AND(Tasks[[#This Row],[_IsLeaf]]=1,Tasks[[#This Row],[_LeafProgress]]&lt;1,Tasks[[#This Row],[_ShownFcstFinish]]&gt;=StatusDate,Tasks[[#This Row],[_ShownFcstFinish]]&lt;=LookaheadEnd),Tasks[[#This Row],[_ShownFcstFinish]]+Tasks[[#This Row],[_Row]]/100000,"")</f>
        <v/>
      </c>
      <c r="GH156" s="42" t="str">
        <f aca="false">IF(Tasks[[#This Row],[_LeafCritical]],Tasks[[#This Row],[_ShownFcstStart]]+Tasks[[#This Row],[_Row]]/100000,"")</f>
        <v/>
      </c>
      <c r="GI156" s="42" t="n">
        <f aca="false">Tasks[[#This Row],[_LeafWork]]*Tasks[[#This Row],[_LeafProgress]]</f>
        <v>0</v>
      </c>
      <c r="GJ156" s="89" t="str">
        <f aca="false">IF(AND(Tasks[[#This Row],[_IsLeaf]]=1,Tasks[[#This Row],[_LeafProgress]]&gt;=1),IF(N(Tasks[[#This Row],[Actual Finish]])&gt;0,Tasks[[#This Row],[Actual Finish]],Tasks[[#This Row],[_ShownFcstFinish]]),"")</f>
        <v/>
      </c>
      <c r="GK156" s="42" t="n">
        <f aca="false">IF(Tasks[[#This Row],[_IsLeaf]]=1,N(Tasks[[#This Row],[Story Points]]),0)</f>
        <v>0</v>
      </c>
      <c r="GL156" s="42" t="str">
        <f aca="false">""</f>
        <v/>
      </c>
      <c r="GM156" s="88" t="b">
        <f aca="false">IF(Tasks[[#This Row],[Task Name]]="",FALSE(),AND(Tasks[[#This Row],[_IsLeaf]]=1,N(Tasks[[#This Row],[_Days]])=0))</f>
        <v>0</v>
      </c>
      <c r="GN156" s="89" t="n">
        <f aca="false">IF(Tasks[[#This Row],[Task Name]]="",0,IF(AND(Tasks[[#This Row],[_IsLeaf]]=1,NOT(Tasks[[#This Row],[_IsMilestone]]),N(Tasks[[#This Row],[Progress]])&gt;0),Tasks[[#This Row],[Start]],0))</f>
        <v>0</v>
      </c>
      <c r="GO156" s="89" t="n">
        <f aca="false">IF(Tasks[[#This Row],[_DoneFrom]]=0,0,IF(Tasks[[#This Row],[Progress]]&gt;=1,Tasks[[#This Row],[Finish]],MAX(Tasks[[#This Row],[_DoneFrom]],Tasks[[#This Row],[Start]]+ROUND((Tasks[[#This Row],[Finish]]-Tasks[[#This Row],[Start]]+1)*Tasks[[#This Row],[Progress]],0)-1)))</f>
        <v>0</v>
      </c>
      <c r="GP156" s="89" t="n">
        <f aca="false">IF(Tasks[[#This Row],[Task Name]]="",0,IF(OR(NOT(Tasks[[#This Row],[_IsLeaf]]=1),Tasks[[#This Row],[_IsMilestone]],N(Tasks[[#This Row],[Progress]])&gt;=1),0,IF(Tasks[[#This Row],[_DoneTo]]&gt;0,Tasks[[#This Row],[_DoneTo]]+1,Tasks[[#This Row],[Start]])))</f>
        <v>0</v>
      </c>
      <c r="GQ156" s="89" t="n">
        <f aca="false">IF(Tasks[[#This Row],[_RemFrom]]=0,0,Tasks[[#This Row],[Finish]])</f>
        <v>0</v>
      </c>
      <c r="GR156" s="88" t="b">
        <f aca="false">IF(Tasks[[#This Row],[Task Name]]="",FALSE(),OR(NOT(BaselineSet),N(Tasks[[#This Row],[Baseline Start]])&gt;0))</f>
        <v>0</v>
      </c>
      <c r="GS15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6" s="90" t="str">
        <f aca="false">IF(Tasks[[#This Row],[_IsLeaf]]=1,Tasks[[#This Row],[_Row]],"")</f>
        <v/>
      </c>
      <c r="GW156" s="90" t="str">
        <f aca="false">IFERROR(INDEX(Tasks[UID],SMALL(Tasks[_PickKey],Tasks[[#This Row],[_Row]]))&amp;" "&amp;INDEX(Tasks[Task Name],SMALL(Tasks[_PickKey],Tasks[[#This Row],[_Row]])),"")</f>
        <v/>
      </c>
      <c r="GX156" s="42" t="str">
        <f aca="false">IF(Tasks[[#This Row],[Task Name]]="","",IF(Tasks[[#This Row],[_IsSummary]],NETWORKDAYS.INTL(Tasks[[#This Row],[Start]],Tasks[[#This Row],[Finish]],WorkWeek,Holidays),N(Tasks[[#This Row],[_Days]])))</f>
        <v/>
      </c>
    </row>
    <row r="157" customFormat="false" ht="15" hidden="false" customHeight="false" outlineLevel="0" collapsed="false">
      <c r="A157" s="21" t="str">
        <f aca="false">IF(Tasks[[#This Row],[Task Name]]="","",COUNTA(Tasks[[#Headers],[Task Name]]:Tasks[[#This Row],[Task Name]])-1)</f>
        <v/>
      </c>
      <c r="B157" s="22" t="n">
        <v>165</v>
      </c>
      <c r="C157" s="22"/>
      <c r="D157" s="23"/>
      <c r="E157" s="22"/>
      <c r="F157" s="23"/>
      <c r="G157" s="22"/>
      <c r="H157" s="22"/>
      <c r="I157" s="23"/>
      <c r="J157" s="22"/>
      <c r="K157" s="22"/>
      <c r="L157" s="23"/>
      <c r="M157" s="22"/>
      <c r="N157" s="22"/>
      <c r="O157" s="23"/>
      <c r="P157" s="22"/>
      <c r="Q157" s="22"/>
      <c r="R157" s="23"/>
      <c r="S157" s="23"/>
      <c r="T157" s="83"/>
      <c r="U157" s="23"/>
      <c r="V157" s="83"/>
      <c r="W157" s="23"/>
      <c r="X157" s="83"/>
      <c r="Y157" s="23"/>
      <c r="Z157" s="83"/>
      <c r="AA157" s="23"/>
      <c r="AB157" s="23"/>
      <c r="AC157" s="7"/>
      <c r="AD157" s="7"/>
      <c r="AE157" s="62" t="str">
        <f aca="false">IF(Tasks[[#This Row],[Task Name]]="","",IF(Tasks[[#This Row],[_IsSummary]],MIN(INDEX(Tasks[_ShownFcstStart],Tasks[[#This Row],[_Row]]+1):INDEX(Tasks[_ShownFcstStart],Tasks[[#This Row],[_Row]]+Tasks[[#This Row],[_Descendants]])),Tasks[[#This Row],[_ShownFcstStart]]))</f>
        <v/>
      </c>
      <c r="AF157" s="62" t="str">
        <f aca="false">IF(Tasks[[#This Row],[Task Name]]="","",IF(Tasks[[#This Row],[_IsSummary]],MAX(INDEX(Tasks[_ShownFcstFinish],Tasks[[#This Row],[_Row]]+1):INDEX(Tasks[_ShownFcstFinish],Tasks[[#This Row],[_Row]]+Tasks[[#This Row],[_Descendants]])),Tasks[[#This Row],[_ShownFcstFinish]]))</f>
        <v/>
      </c>
      <c r="AG157" s="21" t="str">
        <f aca="false">""</f>
        <v/>
      </c>
      <c r="AH157" s="23"/>
      <c r="AI15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7" s="7"/>
      <c r="AK157" s="22"/>
      <c r="AL157" s="23"/>
      <c r="AM157" s="7"/>
      <c r="AN157" s="46" t="str">
        <f aca="false">IF(Tasks[[#This Row],[Task Name]]="","",IF(Tasks[[#This Row],[Finish]]&gt;=Tasks[[#This Row],[Planned Finish]],NETWORKDAYS.INTL(Tasks[[#This Row],[Planned Finish]],Tasks[[#This Row],[Finish]],WorkWeek,Holidays)-1,1-NETWORKDAYS.INTL(Tasks[[#This Row],[Finish]],Tasks[[#This Row],[Planned Finish]],WorkWeek,Holidays)))</f>
        <v/>
      </c>
      <c r="AO157" s="21" t="str">
        <f aca="false">IF(Tasks[[#This Row],[Task Name]]="","",IF(Tasks[[#This Row],[Progress]]&gt;=1,"Complete",IF(OR(N(Tasks[[#This Row],[Actual Start]])&gt;0,Tasks[[#This Row],[Progress]]&gt;0),IF(Tasks[[#This Row],[Finish Var]]&gt;0,"Behind","In Progress"),IF(Tasks[[#This Row],[Planned Start]]&lt;StatusDate,"Late Start","Not Started"))))</f>
        <v/>
      </c>
      <c r="AP157" s="21" t="str">
        <f aca="false">IF(Tasks[[#This Row],[Task Name]]="","",IF(IF(Tasks[[#This Row],[_IsSummary]],COUNTIF(INDEX(Tasks[_LeafCritical],Tasks[[#This Row],[_Row]]+1):INDEX(Tasks[_LeafCritical],Tasks[[#This Row],[_Row]]+Tasks[[#This Row],[_Descendants]]),TRUE())&gt;0,Tasks[[#This Row],[_LeafCritical]]),"Yes",""))</f>
        <v/>
      </c>
      <c r="AQ157" s="62" t="str">
        <f aca="false">IF(Tasks[[#This Row],[Task Name]]="","",IF(N(Tasks[[#This Row],[Baseline Start]])&gt;0,Tasks[[#This Row],[Baseline Start]],Tasks[[#This Row],[_CalcStart]]))</f>
        <v/>
      </c>
      <c r="AR157" s="62" t="str">
        <f aca="false">IF(Tasks[[#This Row],[Task Name]]="","",IF(N(Tasks[[#This Row],[Baseline Finish]])&gt;0,Tasks[[#This Row],[Baseline Finish]],Tasks[[#This Row],[_CalcFinish]]))</f>
        <v/>
      </c>
      <c r="AS157" s="46" t="str">
        <f aca="false">IF(Tasks[[#This Row],[Task Name]]="","",IF(Tasks[[#This Row],[Start]]&gt;=Tasks[[#This Row],[Planned Start]],NETWORKDAYS.INTL(Tasks[[#This Row],[Planned Start]],Tasks[[#This Row],[Start]],WorkWeek,Holidays)-1,1-NETWORKDAYS.INTL(Tasks[[#This Row],[Start]],Tasks[[#This Row],[Planned Start]],WorkWeek,Holidays)))</f>
        <v/>
      </c>
      <c r="AT157" s="62" t="str">
        <f aca="false">IF(Tasks[[#This Row],[Task Name]]="","",IF(Tasks[[#This Row],[_IsSummary]],MIN(INDEX(Tasks[_LeafLateStart],Tasks[[#This Row],[_Row]]+1):INDEX(Tasks[_LeafLateStart],Tasks[[#This Row],[_Row]]+Tasks[[#This Row],[_Descendants]])),Tasks[[#This Row],[_LeafLateStart]]))</f>
        <v/>
      </c>
      <c r="AU157" s="62" t="str">
        <f aca="false">IF(Tasks[[#This Row],[Task Name]]="","",IF(Tasks[[#This Row],[_IsSummary]],MAX(INDEX(Tasks[_LeafLateFinish],Tasks[[#This Row],[_Row]]+1):INDEX(Tasks[_LeafLateFinish],Tasks[[#This Row],[_Row]]+Tasks[[#This Row],[_Descendants]])),Tasks[[#This Row],[_LeafLateFinish]]))</f>
        <v/>
      </c>
      <c r="AV157" s="46" t="str">
        <f aca="false">IF(Tasks[[#This Row],[Task Name]]="","",IF(Tasks[[#This Row],[_IsSummary]],MIN(INDEX(Tasks[_LeafTotalSlack],Tasks[[#This Row],[_Row]]+1):INDEX(Tasks[_LeafTotalSlack],Tasks[[#This Row],[_Row]]+Tasks[[#This Row],[_Descendants]])),Tasks[[#This Row],[_LeafTotalSlack]]))</f>
        <v/>
      </c>
      <c r="AW15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4"/>
      <c r="BA15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t="str">
        <f aca="false">IF(Tasks[[#This Row],[Task Name]]="","",IF(Tasks[[#This Row],[_Level]]&lt;=OutlineShowLevel,"Yes","No"))</f>
        <v/>
      </c>
      <c r="BE157" s="85" t="str">
        <f aca="false">IF(Tasks[[#This Row],[Task Name]]="","",IF(Tasks[[#This Row],[_IsSummary]],SUM(INDEX(Tasks[_LeafTotalWork],Tasks[[#This Row],[_Row]]+1):INDEX(Tasks[_LeafTotalWork],Tasks[[#This Row],[_Row]]+Tasks[[#This Row],[_Descendants]])),Tasks[[#This Row],[_LeafTotalWork]]))</f>
        <v/>
      </c>
      <c r="BF157" s="23"/>
      <c r="BG15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t="str">
        <f aca="false">""</f>
        <v/>
      </c>
      <c r="BI157" s="86"/>
      <c r="BJ157" s="22"/>
      <c r="BK157" s="46" t="str">
        <f aca="false">IF(OR(Tasks[[#This Row],[Task Name]]="",Tasks[[#This Row],[Baseline Duration]]=""),"",Tasks[[#This Row],[_SpanDays]]-N(Tasks[[#This Row],[Baseline Duration]]))</f>
        <v/>
      </c>
      <c r="BL157" s="85" t="str">
        <f aca="false">IF(OR(Tasks[[#This Row],[Task Name]]="",Tasks[[#This Row],[Baseline Work]]=""),"",Tasks[[#This Row],[Work]]-N(Tasks[[#This Row],[Baseline Work]]))</f>
        <v/>
      </c>
      <c r="BM157" s="62" t="str">
        <f aca="false">IF(Tasks[[#This Row],[Task Name]]="","",IF(OR(TakeBaseline="Yes",N(Tasks[[#This Row],[Baseline Start]])=0),Tasks[[#This Row],[Start]],Tasks[[#This Row],[Baseline Start]]))</f>
        <v/>
      </c>
      <c r="BN157" s="62" t="str">
        <f aca="false">IF(Tasks[[#This Row],[Task Name]]="","",IF(OR(TakeBaseline="Yes",N(Tasks[[#This Row],[Baseline Finish]])=0),Tasks[[#This Row],[Finish]],Tasks[[#This Row],[Baseline Finish]]))</f>
        <v/>
      </c>
      <c r="BO157" s="21" t="str">
        <f aca="false">IF(Tasks[[#This Row],[Task Name]]="","",IF(OR(TakeBaseline="Yes",N(Tasks[[#This Row],[Baseline Duration]])=0),Tasks[[#This Row],[_SpanDays]],Tasks[[#This Row],[Baseline Duration]]))</f>
        <v/>
      </c>
      <c r="BP157" s="85" t="str">
        <f aca="false">IF(Tasks[[#This Row],[Task Name]]="","",IF(OR(TakeBaseline="Yes",N(Tasks[[#This Row],[Baseline Work]])=0),Tasks[[#This Row],[Work]],Tasks[[#This Row],[Baseline Work]]))</f>
        <v/>
      </c>
      <c r="BQ157" s="7"/>
      <c r="BR157" s="7"/>
      <c r="BS157" s="22"/>
      <c r="BT157" s="87"/>
      <c r="BU157" s="42" t="str">
        <f aca="false">IF(Tasks[[#This Row],[Task Name]]="","",MAX(1,N(Tasks[[#This Row],[Level]])))</f>
        <v/>
      </c>
      <c r="BV157" s="42" t="n">
        <f aca="false">ROW()-ROW(Tasks[[#Headers],[ID]])</f>
        <v>152</v>
      </c>
      <c r="BW157" s="42" t="n">
        <f aca="false">IF(OR(Tasks[[#This Row],[Task Name]]="",Tasks[[#This Row],[_Level]]&lt;=1),0,IFERROR(LOOKUP(2,1/(Tasks[[#Headers],[_Level]]:Tasks[[#This Row],[_Level]]=Tasks[[#This Row],[_Level]]-1),ROW(Tasks[[#Headers],[_Level]]:Tasks[[#This Row],[_Level]])),0))</f>
        <v>0</v>
      </c>
      <c r="BX157" s="42" t="n">
        <f aca="false">IFERROR(N(INDEX(Tasks[_Level],Tasks[[#This Row],[_Row]]+1)),0)</f>
        <v>0</v>
      </c>
      <c r="BY157" s="88" t="b">
        <f aca="false">AND(Tasks[[#This Row],[Task Name]]&lt;&gt;"",Tasks[[#This Row],[_NextLevel]]&gt;Tasks[[#This Row],[_Level]])</f>
        <v>0</v>
      </c>
      <c r="BZ157" s="42" t="n">
        <f aca="false">IF(Tasks[[#This Row],[_IsSummary]],COUNTIF(Tasks[WBS],Tasks[[#This Row],[WBS]]&amp;".*"),0)</f>
        <v>0</v>
      </c>
      <c r="CA157" s="42" t="n">
        <f aca="false">IF(AND(Tasks[[#This Row],[Task Name]]&lt;&gt;"",NOT(Tasks[[#This Row],[_IsSummary]])),1,0)</f>
        <v>0</v>
      </c>
      <c r="CB157" s="42" t="n">
        <f aca="false">IF(N(Tasks[[#This Row],[_Pred1UID]])=0,0,IFERROR(MATCH(Tasks[[#This Row],[_Pred1UID]],Tasks[UID],0),-1))</f>
        <v>0</v>
      </c>
      <c r="CC157" s="42" t="n">
        <f aca="false">IF(N(Tasks[[#This Row],[_Pred2UID]])=0,0,IFERROR(MATCH(Tasks[[#This Row],[_Pred2UID]],Tasks[UID],0),-1))</f>
        <v>0</v>
      </c>
      <c r="CD157" s="42" t="n">
        <f aca="false">IF(N(Tasks[[#This Row],[_Pred3UID]])=0,0,IFERROR(MATCH(Tasks[[#This Row],[_Pred3UID]],Tasks[UID],0),-1))</f>
        <v>0</v>
      </c>
      <c r="CE157" s="42" t="n">
        <f aca="false">IF(N(Tasks[[#This Row],[_Pred4UID]])=0,0,IFERROR(MATCH(Tasks[[#This Row],[_Pred4UID]],Tasks[UID],0),-1))</f>
        <v>0</v>
      </c>
      <c r="CF15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7" s="89" t="n">
        <f aca="false">IF(OR(Tasks[[#This Row],[_ConstraintCode]]=2,Tasks[[#This Row],[_ConstraintCode]]=3,Tasks[[#This Row],[_ConstraintCode]]=4,Tasks[[#This Row],[_ConstraintCode]]=6),Tasks[[#This Row],[_ConstraintStart]],0)</f>
        <v>0</v>
      </c>
      <c r="CI157" s="89" t="n">
        <f aca="false">IF(OR(Tasks[[#This Row],[_ConstraintCode]]=2,Tasks[[#This Row],[_ConstraintCode]]=3,Tasks[[#This Row],[_ConstraintCode]]=5,Tasks[[#This Row],[_ConstraintCode]]=7),Tasks[[#This Row],[_ConstraintStart]],2958465)</f>
        <v>2958465</v>
      </c>
      <c r="CJ15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7" s="89" t="str">
        <f aca="false">IF(NOT(Tasks[[#This Row],[_IsLeaf]]=1),"",IF(N(Tasks[[#This Row],[_Days]])&lt;=0,Tasks[[#This Row],[_LeafCalcStart]],WORKDAY.INTL(Tasks[[#This Row],[_LeafCalcStart]],Tasks[[#This Row],[_Days]]-1,WorkWeek,Holidays)))</f>
        <v/>
      </c>
      <c r="CL15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7" s="42" t="str">
        <f aca="false">IF(Tasks[[#This Row],[_Predecessors]]="","",TRIM(MID(SUBSTITUTE(SUBSTITUTE(SUBSTITUTE(UPPER(Tasks[[#This Row],[_Predecessors]]),";",",")," ",""),",",REPT(" ",99)),1,99)))</f>
        <v/>
      </c>
      <c r="CO157" s="42" t="str">
        <f aca="false">IF(Tasks[[#This Row],[_Pred1Text]]="","",IFERROR(VALUE(LEFT(Tasks[[#This Row],[_Pred1Text]],MIN(FIND("F",Tasks[[#This Row],[_Pred1Text]]&amp;"F"),FIND("S",Tasks[[#This Row],[_Pred1Text]]&amp;"S"),FIND("+",Tasks[[#This Row],[_Pred1Text]]&amp;"+"),FIND("-",Tasks[[#This Row],[_Pred1Text]]&amp;"-"))-1)),""))</f>
        <v/>
      </c>
      <c r="CP15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7" s="42" t="str">
        <f aca="false">IF(Tasks[[#This Row],[_Pred1Text]]="","",TRIM(MID(SUBSTITUTE(SUBSTITUTE(SUBSTITUTE(UPPER(Tasks[[#This Row],[_Predecessors]]),";",",")," ",""),",",REPT(" ",99)),100,99)))</f>
        <v/>
      </c>
      <c r="CS157" s="42" t="str">
        <f aca="false">IF(Tasks[[#This Row],[_Pred2Text]]="","",IFERROR(VALUE(LEFT(Tasks[[#This Row],[_Pred2Text]],MIN(FIND("F",Tasks[[#This Row],[_Pred2Text]]&amp;"F"),FIND("S",Tasks[[#This Row],[_Pred2Text]]&amp;"S"),FIND("+",Tasks[[#This Row],[_Pred2Text]]&amp;"+"),FIND("-",Tasks[[#This Row],[_Pred2Text]]&amp;"-"))-1)),""))</f>
        <v/>
      </c>
      <c r="CT15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7" s="42" t="str">
        <f aca="false">IF(Tasks[[#This Row],[_Pred2Text]]="","",TRIM(MID(SUBSTITUTE(SUBSTITUTE(SUBSTITUTE(UPPER(Tasks[[#This Row],[_Predecessors]]),";",",")," ",""),",",REPT(" ",99)),199,99)))</f>
        <v/>
      </c>
      <c r="CW157" s="42" t="str">
        <f aca="false">IF(Tasks[[#This Row],[_Pred3Text]]="","",IFERROR(VALUE(LEFT(Tasks[[#This Row],[_Pred3Text]],MIN(FIND("F",Tasks[[#This Row],[_Pred3Text]]&amp;"F"),FIND("S",Tasks[[#This Row],[_Pred3Text]]&amp;"S"),FIND("+",Tasks[[#This Row],[_Pred3Text]]&amp;"+"),FIND("-",Tasks[[#This Row],[_Pred3Text]]&amp;"-"))-1)),""))</f>
        <v/>
      </c>
      <c r="CX15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7" s="42" t="str">
        <f aca="false">IF(Tasks[[#This Row],[_Pred3Text]]="","",TRIM(MID(SUBSTITUTE(SUBSTITUTE(SUBSTITUTE(UPPER(Tasks[[#This Row],[_Predecessors]]),";",",")," ",""),",",REPT(" ",99)),298,99)))</f>
        <v/>
      </c>
      <c r="DA157" s="42" t="str">
        <f aca="false">IF(Tasks[[#This Row],[_Pred4Text]]="","",IFERROR(VALUE(LEFT(Tasks[[#This Row],[_Pred4Text]],MIN(FIND("F",Tasks[[#This Row],[_Pred4Text]]&amp;"F"),FIND("S",Tasks[[#This Row],[_Pred4Text]]&amp;"S"),FIND("+",Tasks[[#This Row],[_Pred4Text]]&amp;"+"),FIND("-",Tasks[[#This Row],[_Pred4Text]]&amp;"-"))-1)),""))</f>
        <v/>
      </c>
      <c r="DB15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7" s="42" t="str">
        <f aca="false">IF(OR(Tasks[[#This Row],[Task Name]]="",Tasks[[#This Row],[_Resources]]=""),"",TRIM(MID(SUBSTITUTE(Tasks[[#This Row],[_Resources]],",",REPT(" ",99)),1,99)))</f>
        <v/>
      </c>
      <c r="DE157" s="42" t="str">
        <f aca="false">IF(Tasks[[#This Row],[_Res1Text]]="","",TRIM(MID(SUBSTITUTE(Tasks[[#This Row],[_Resources]],",",REPT(" ",99)),100,99)))</f>
        <v/>
      </c>
      <c r="DF157" s="42" t="str">
        <f aca="false">IF(Tasks[[#This Row],[_Res2Text]]="","",TRIM(MID(SUBSTITUTE(Tasks[[#This Row],[_Resources]],",",REPT(" ",99)),199,99)))</f>
        <v/>
      </c>
      <c r="DG157" s="42" t="str">
        <f aca="false">IF(Tasks[[#This Row],[_Res3Text]]="","",TRIM(MID(SUBSTITUTE(Tasks[[#This Row],[_Resources]],",",REPT(" ",99)),298,99)))</f>
        <v/>
      </c>
      <c r="DH157" s="42" t="n">
        <f aca="false">IF(Tasks[[#This Row],[_Res1Text]]="",0,IFERROR(MATCH(TRIM(LEFT(Tasks[[#This Row],[_Res1Text]],FIND("[",Tasks[[#This Row],[_Res1Text]]&amp;"[")-1)),res_Name,0),IFERROR(MATCH(TRIM(LEFT(Tasks[[#This Row],[_Res1Text]],FIND("[",Tasks[[#This Row],[_Res1Text]]&amp;"[")-1)),res_Initials,0),0)))</f>
        <v>0</v>
      </c>
      <c r="DI157" s="42" t="n">
        <f aca="false">IF(Tasks[[#This Row],[_Res2Text]]="",0,IFERROR(MATCH(TRIM(LEFT(Tasks[[#This Row],[_Res2Text]],FIND("[",Tasks[[#This Row],[_Res2Text]]&amp;"[")-1)),res_Name,0),IFERROR(MATCH(TRIM(LEFT(Tasks[[#This Row],[_Res2Text]],FIND("[",Tasks[[#This Row],[_Res2Text]]&amp;"[")-1)),res_Initials,0),0)))</f>
        <v>0</v>
      </c>
      <c r="DJ157" s="42" t="n">
        <f aca="false">IF(Tasks[[#This Row],[_Res3Text]]="",0,IFERROR(MATCH(TRIM(LEFT(Tasks[[#This Row],[_Res3Text]],FIND("[",Tasks[[#This Row],[_Res3Text]]&amp;"[")-1)),res_Name,0),IFERROR(MATCH(TRIM(LEFT(Tasks[[#This Row],[_Res3Text]],FIND("[",Tasks[[#This Row],[_Res3Text]]&amp;"[")-1)),res_Initials,0),0)))</f>
        <v>0</v>
      </c>
      <c r="DK157" s="42" t="n">
        <f aca="false">IF(Tasks[[#This Row],[_Res4Text]]="",0,IFERROR(MATCH(TRIM(LEFT(Tasks[[#This Row],[_Res4Text]],FIND("[",Tasks[[#This Row],[_Res4Text]]&amp;"[")-1)),res_Name,0),IFERROR(MATCH(TRIM(LEFT(Tasks[[#This Row],[_Res4Text]],FIND("[",Tasks[[#This Row],[_Res4Text]]&amp;"[")-1)),res_Initials,0),0)))</f>
        <v>0</v>
      </c>
      <c r="DL157" s="42" t="str">
        <f aca="false">IF(Tasks[[#This Row],[_Res1Text]]="","",IF(Tasks[[#This Row],[_Res1Row]]&gt;0,INDEX(res_Name,Tasks[[#This Row],[_Res1Row]]),TRIM(LEFT(Tasks[[#This Row],[_Res1Text]],FIND("[",Tasks[[#This Row],[_Res1Text]]&amp;"[")-1))))</f>
        <v/>
      </c>
      <c r="DM15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7" s="42" t="n">
        <f aca="false">IF(NOT(Tasks[[#This Row],[_IsLeaf]]=1),0,(Tasks[[#This Row],[_Resource1]]&lt;&gt;"")+(Tasks[[#This Row],[_Res2]]&lt;&gt;"")+(Tasks[[#This Row],[_Res3]]&lt;&gt;"")+(Tasks[[#This Row],[_Res4]]&lt;&gt;""))</f>
        <v>0</v>
      </c>
      <c r="DO157" s="42" t="str">
        <f aca="false">IF(Tasks[[#This Row],[_Res2Text]]="","",IF(Tasks[[#This Row],[_Res2Row]]&gt;0,INDEX(res_Name,Tasks[[#This Row],[_Res2Row]]),TRIM(LEFT(Tasks[[#This Row],[_Res2Text]],FIND("[",Tasks[[#This Row],[_Res2Text]]&amp;"[")-1))))</f>
        <v/>
      </c>
      <c r="DP15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7" s="42" t="n">
        <f aca="false">IF(OR(NOT(Tasks[[#This Row],[_IsLeaf]]=1),Tasks[[#This Row],[_Res2Row]]=0),0,N(Tasks[[#This Row],[_Days]])*HoursPerDay*IF(Tasks[[#This Row],[_Res2Units]]="",DefaultUnits,Tasks[[#This Row],[_Res2Units]]))</f>
        <v>0</v>
      </c>
      <c r="DR157" s="42" t="n">
        <f aca="false">IF(AND(AND(Tasks[[#This Row],[_IsLeaf]]=1,Tasks[[#This Row],[_LeafTotalWork]]&gt;0),Tasks[[#This Row],[_Res2Work]]&gt;0),Tasks[[#This Row],[_Res2Work]]/(Tasks[[#This Row],[_FinishWorkday]]-Tasks[[#This Row],[_StartWorkday]]+1),0)</f>
        <v>0</v>
      </c>
      <c r="DS157" s="42" t="n">
        <f aca="false">Tasks[[#This Row],[_Res2WorkPerWD]]*MAX(0,Tasks[[#This Row],[_StartWorkday]]-1)</f>
        <v>0</v>
      </c>
      <c r="DT157" s="42" t="n">
        <f aca="false">Tasks[[#This Row],[_Res2Work]]*Tasks[[#This Row],[_LeafProgress]]</f>
        <v>0</v>
      </c>
      <c r="DU157" s="42" t="str">
        <f aca="false">IF(Tasks[[#This Row],[_Res3Text]]="","",IF(Tasks[[#This Row],[_Res3Row]]&gt;0,INDEX(res_Name,Tasks[[#This Row],[_Res3Row]]),TRIM(LEFT(Tasks[[#This Row],[_Res3Text]],FIND("[",Tasks[[#This Row],[_Res3Text]]&amp;"[")-1))))</f>
        <v/>
      </c>
      <c r="DV15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7" s="42" t="n">
        <f aca="false">IF(OR(NOT(Tasks[[#This Row],[_IsLeaf]]=1),Tasks[[#This Row],[_Res3Row]]=0),0,N(Tasks[[#This Row],[_Days]])*HoursPerDay*IF(Tasks[[#This Row],[_Res3Units]]="",DefaultUnits,Tasks[[#This Row],[_Res3Units]]))</f>
        <v>0</v>
      </c>
      <c r="DX157" s="42" t="n">
        <f aca="false">IF(AND(AND(Tasks[[#This Row],[_IsLeaf]]=1,Tasks[[#This Row],[_LeafTotalWork]]&gt;0),Tasks[[#This Row],[_Res3Work]]&gt;0),Tasks[[#This Row],[_Res3Work]]/(Tasks[[#This Row],[_FinishWorkday]]-Tasks[[#This Row],[_StartWorkday]]+1),0)</f>
        <v>0</v>
      </c>
      <c r="DY157" s="42" t="n">
        <f aca="false">Tasks[[#This Row],[_Res3WorkPerWD]]*MAX(0,Tasks[[#This Row],[_StartWorkday]]-1)</f>
        <v>0</v>
      </c>
      <c r="DZ157" s="42" t="n">
        <f aca="false">Tasks[[#This Row],[_Res3Work]]*Tasks[[#This Row],[_LeafProgress]]</f>
        <v>0</v>
      </c>
      <c r="EA157" s="42" t="str">
        <f aca="false">IF(Tasks[[#This Row],[_Res4Text]]="","",IF(Tasks[[#This Row],[_Res4Row]]&gt;0,INDEX(res_Name,Tasks[[#This Row],[_Res4Row]]),TRIM(LEFT(Tasks[[#This Row],[_Res4Text]],FIND("[",Tasks[[#This Row],[_Res4Text]]&amp;"[")-1))))</f>
        <v/>
      </c>
      <c r="EB15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7" s="42" t="n">
        <f aca="false">IF(OR(NOT(Tasks[[#This Row],[_IsLeaf]]=1),Tasks[[#This Row],[_Res4Row]]=0),0,N(Tasks[[#This Row],[_Days]])*HoursPerDay*IF(Tasks[[#This Row],[_Res4Units]]="",DefaultUnits,Tasks[[#This Row],[_Res4Units]]))</f>
        <v>0</v>
      </c>
      <c r="ED157" s="42" t="n">
        <f aca="false">IF(AND(AND(Tasks[[#This Row],[_IsLeaf]]=1,Tasks[[#This Row],[_LeafTotalWork]]&gt;0),Tasks[[#This Row],[_Res4Work]]&gt;0),Tasks[[#This Row],[_Res4Work]]/(Tasks[[#This Row],[_FinishWorkday]]-Tasks[[#This Row],[_StartWorkday]]+1),0)</f>
        <v>0</v>
      </c>
      <c r="EE157" s="42" t="n">
        <f aca="false">Tasks[[#This Row],[_Res4WorkPerWD]]*MAX(0,Tasks[[#This Row],[_StartWorkday]]-1)</f>
        <v>0</v>
      </c>
      <c r="EF157" s="42" t="n">
        <f aca="false">Tasks[[#This Row],[_Res4Work]]*Tasks[[#This Row],[_LeafProgress]]</f>
        <v>0</v>
      </c>
      <c r="EG157" s="42" t="n">
        <f aca="false">IF(ISNUMBER(Tasks[[#This Row],[% Complete]]),Tasks[[#This Row],[% Complete]],IF(Tasks[[#This Row],[Stage]]="",0,IFERROR(INDEX(stg_Pct,MATCH(Tasks[[#This Row],[Stage]],stg_Name,0)),0)))</f>
        <v>0</v>
      </c>
      <c r="EH157" s="42" t="n">
        <f aca="false">IF(NOT(Tasks[[#This Row],[_IsLeaf]]=1),0,IF(N(Tasks[[#This Row],[Actual Finish]])&gt;0,1,MIN(1,Tasks[[#This Row],[_Pct]])))</f>
        <v>0</v>
      </c>
      <c r="EI157" s="42" t="n">
        <f aca="false">IF(OR(NOT(Tasks[[#This Row],[_IsLeaf]]=1),Tasks[[#This Row],[_Res1Row]]=0),0,N(Tasks[[#This Row],[_Days]])*HoursPerDay*IF(Tasks[[#This Row],[_Units1]]="",DefaultUnits,Tasks[[#This Row],[_Units1]]))</f>
        <v>0</v>
      </c>
      <c r="EJ157" s="42" t="n">
        <f aca="false">Tasks[[#This Row],[_LeafWork]]+Tasks[[#This Row],[_Res2Work]]+Tasks[[#This Row],[_Res3Work]]+Tasks[[#This Row],[_Res4Work]]</f>
        <v>0</v>
      </c>
      <c r="EK15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7" s="42" t="n">
        <f aca="false">IF(NOT(Tasks[[#This Row],[_IsLeaf]]=1),0,MAX(_xlfn.MAXIFS(Tasks[_Row],Tasks[_Pred1UID],Tasks[[#This Row],[UID]]),_xlfn.MAXIFS(Tasks[_Row],Tasks[_Pred2UID],Tasks[[#This Row],[UID]]),_xlfn.MAXIFS(Tasks[_Row],Tasks[_Pred3UID],Tasks[[#This Row],[UID]]),_xlfn.MAXIFS(Tasks[_Row],Tasks[_Pred4UID],Tasks[[#This Row],[UID]])))</f>
        <v>0</v>
      </c>
      <c r="ET15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7" s="89" t="str">
        <f aca="false">IF(NOT(Tasks[[#This Row],[_IsLeaf]]=1),"",IF(N(Tasks[[#This Row],[_Days]])&lt;=0,Tasks[[#This Row],[_LeafLateFinish]],WORKDAY.INTL(Tasks[[#This Row],[_LeafLateFinish]],-(Tasks[[#This Row],[_Days]]-1),WorkWeek,Holidays)))</f>
        <v/>
      </c>
      <c r="EW15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7" s="88" t="b">
        <f aca="false">AND(Tasks[[#This Row],[_IsLeaf]]=1,Tasks[[#This Row],[_LeafProgress]]&lt;1,N(Tasks[[#This Row],[_LeafTotalSlack]])&lt;=CriticalSlackDays)</f>
        <v>0</v>
      </c>
      <c r="EY157" s="42" t="n">
        <f aca="false">IF(AND(Tasks[[#This Row],[_IsLeaf]]=1,Tasks[[#This Row],[_ConstraintCode]]=1,Tasks[[#This Row],[Mode]]&lt;&gt;"Manual",N(Tasks[[#This Row],[Actual Start]])=0),MAX(0,N(Tasks[[#This Row],[Free Slack]])),0)</f>
        <v>0</v>
      </c>
      <c r="EZ157" s="89" t="str">
        <f aca="false">IF(NOT(Tasks[[#This Row],[_IsLeaf]]=1),"",IF(Tasks[[#This Row],[_AlapShift]]=0,Tasks[[#This Row],[_LeafCalcStart]],WORKDAY.INTL(Tasks[[#This Row],[_LeafCalcStart]],Tasks[[#This Row],[_AlapShift]],WorkWeek,Holidays)))</f>
        <v/>
      </c>
      <c r="FA157" s="89" t="str">
        <f aca="false">IF(NOT(Tasks[[#This Row],[_IsLeaf]]=1),"",IF(Tasks[[#This Row],[_AlapShift]]=0,Tasks[[#This Row],[_LeafCalcFinish]],WORKDAY.INTL(Tasks[[#This Row],[_LeafCalcFinish]],Tasks[[#This Row],[_AlapShift]],WorkWeek,Holidays)))</f>
        <v/>
      </c>
      <c r="FB157" s="89" t="str">
        <f aca="false">IF(NOT(Tasks[[#This Row],[_IsLeaf]]=1),"",IF(Tasks[[#This Row],[_AlapShift]]=0,Tasks[[#This Row],[_LeafFcstStart]],WORKDAY.INTL(Tasks[[#This Row],[_LeafFcstStart]],Tasks[[#This Row],[_AlapShift]],WorkWeek,Holidays)))</f>
        <v/>
      </c>
      <c r="FC157" s="89" t="str">
        <f aca="false">IF(NOT(Tasks[[#This Row],[_IsLeaf]]=1),"",IF(Tasks[[#This Row],[_AlapShift]]=0,Tasks[[#This Row],[_LeafFcstFinish]],WORKDAY.INTL(Tasks[[#This Row],[_LeafFcstFinish]],Tasks[[#This Row],[_AlapShift]],WorkWeek,Holidays)))</f>
        <v/>
      </c>
      <c r="FD157" s="89" t="str">
        <f aca="false">IF(Tasks[[#This Row],[Task Name]]="","",IF(Tasks[[#This Row],[_IsSummary]],MIN(INDEX(Tasks[_ShownCalcStart],Tasks[[#This Row],[_Row]]+1):INDEX(Tasks[_ShownCalcStart],Tasks[[#This Row],[_Row]]+Tasks[[#This Row],[_Descendants]])),Tasks[[#This Row],[_ShownCalcStart]]))</f>
        <v/>
      </c>
      <c r="FE157" s="89" t="str">
        <f aca="false">IF(Tasks[[#This Row],[Task Name]]="","",IF(Tasks[[#This Row],[_IsSummary]],MAX(INDEX(Tasks[_ShownCalcFinish],Tasks[[#This Row],[_Row]]+1):INDEX(Tasks[_ShownCalcFinish],Tasks[[#This Row],[_Row]]+Tasks[[#This Row],[_Descendants]])),Tasks[[#This Row],[_ShownCalcFinish]]))</f>
        <v/>
      </c>
      <c r="FF15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7" s="42" t="n">
        <f aca="false">IF(AND(Tasks[[#This Row],[_IsLeaf]]=1,Tasks[[#This Row],[_LeafTotalWork]]&gt;0),NETWORKDAYS.INTL(ProjectStart,Tasks[[#This Row],[_ShownFcstStart]],WorkWeek,Holidays),0)</f>
        <v>0</v>
      </c>
      <c r="FS157" s="42" t="n">
        <f aca="false">IF(AND(Tasks[[#This Row],[_IsLeaf]]=1,Tasks[[#This Row],[_LeafTotalWork]]&gt;0),MAX(Tasks[[#This Row],[_StartWorkday]],NETWORKDAYS.INTL(ProjectStart,Tasks[[#This Row],[_ShownFcstFinish]],WorkWeek,Holidays)),0)</f>
        <v>0</v>
      </c>
      <c r="FT157" s="42" t="n">
        <f aca="false">IF(AND(Tasks[[#This Row],[_IsLeaf]]=1,Tasks[[#This Row],[_LeafTotalWork]]&gt;0),Tasks[[#This Row],[_LeafWork]]/(Tasks[[#This Row],[_FinishWorkday]]-Tasks[[#This Row],[_StartWorkday]]+1),0)</f>
        <v>0</v>
      </c>
      <c r="FU157" s="42" t="n">
        <f aca="false">Tasks[[#This Row],[_WorkPerWorkday]]*(Tasks[[#This Row],[_StartWorkday]]-1)</f>
        <v>-0</v>
      </c>
      <c r="FV157" s="42" t="n">
        <f aca="false">IF(Tasks[[#This Row],[_IsLeaf]]=1,MAX(N(Tasks[[#This Row],[_Days]]),0.1),0)</f>
        <v>0</v>
      </c>
      <c r="FW157" s="42" t="n">
        <f aca="false">Tasks[[#This Row],[_WeightDur]]*Tasks[[#This Row],[_LeafProgress]]</f>
        <v>0</v>
      </c>
      <c r="FX157" s="42" t="n">
        <f aca="false">Tasks[[#This Row],[_WeightDur]]*Tasks[[#This Row],[_PlannedPct]]</f>
        <v>0</v>
      </c>
      <c r="FY15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7" s="42" t="str">
        <f aca="false">IF(AND(Tasks[[#This Row],[_IsLeaf]]=1,N(Tasks[[#This Row],[_Days]])=0,Tasks[[#This Row],[_LeafProgress]]&lt;1),Tasks[[#This Row],[_ShownFcstFinish]]+Tasks[[#This Row],[_Row]]/100000,"")</f>
        <v/>
      </c>
      <c r="GA15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7" s="42" t="str">
        <f aca="false">IF(Tasks[[#This Row],[Task Name]]="","",LEFT(Tasks[[#This Row],[WBS]],FIND(".",Tasks[[#This Row],[WBS]]&amp;".")-1))</f>
        <v/>
      </c>
      <c r="GC157" s="42" t="str">
        <f aca="false">IF(AND(Tasks[[#This Row],[Task Name]]&lt;&gt;"",Tasks[[#This Row],[_Level]]=1),Tasks[[#This Row],[_Row]],"")</f>
        <v/>
      </c>
      <c r="GD157" s="42" t="str">
        <f aca="false">IF(AND(Tasks[[#This Row],[_IsLeaf]]=1,N(Tasks[[#This Row],[_Days]])=0),Tasks[[#This Row],[Planned Finish]]+Tasks[[#This Row],[_Row]]/100000,"")</f>
        <v/>
      </c>
      <c r="GE157" s="42" t="str">
        <f aca="false">IF(AND(Tasks[[#This Row],[_IsLeaf]]=1,Tasks[[#This Row],[_LeafProgress]]&lt;1,OR(N(Tasks[[#This Row],[Finish Var]])&gt;0,Tasks[[#This Row],[Status]]="Late Start")),MAX(0,Tasks[[#This Row],[Finish Var]])+1-Tasks[[#This Row],[_Row]]/1000000,"")</f>
        <v/>
      </c>
      <c r="GF157" s="42" t="str">
        <f aca="false">IF(AND(Tasks[[#This Row],[_IsLeaf]]=1,N(Tasks[[#This Row],[Actual Start]])=0,Tasks[[#This Row],[_ShownFcstStart]]&gt;=StatusDate,Tasks[[#This Row],[_ShownFcstStart]]&lt;=LookaheadEnd),Tasks[[#This Row],[_ShownFcstStart]]+Tasks[[#This Row],[_Row]]/100000,"")</f>
        <v/>
      </c>
      <c r="GG157" s="42" t="str">
        <f aca="false">IF(AND(Tasks[[#This Row],[_IsLeaf]]=1,Tasks[[#This Row],[_LeafProgress]]&lt;1,Tasks[[#This Row],[_ShownFcstFinish]]&gt;=StatusDate,Tasks[[#This Row],[_ShownFcstFinish]]&lt;=LookaheadEnd),Tasks[[#This Row],[_ShownFcstFinish]]+Tasks[[#This Row],[_Row]]/100000,"")</f>
        <v/>
      </c>
      <c r="GH157" s="42" t="str">
        <f aca="false">IF(Tasks[[#This Row],[_LeafCritical]],Tasks[[#This Row],[_ShownFcstStart]]+Tasks[[#This Row],[_Row]]/100000,"")</f>
        <v/>
      </c>
      <c r="GI157" s="42" t="n">
        <f aca="false">Tasks[[#This Row],[_LeafWork]]*Tasks[[#This Row],[_LeafProgress]]</f>
        <v>0</v>
      </c>
      <c r="GJ157" s="89" t="str">
        <f aca="false">IF(AND(Tasks[[#This Row],[_IsLeaf]]=1,Tasks[[#This Row],[_LeafProgress]]&gt;=1),IF(N(Tasks[[#This Row],[Actual Finish]])&gt;0,Tasks[[#This Row],[Actual Finish]],Tasks[[#This Row],[_ShownFcstFinish]]),"")</f>
        <v/>
      </c>
      <c r="GK157" s="42" t="n">
        <f aca="false">IF(Tasks[[#This Row],[_IsLeaf]]=1,N(Tasks[[#This Row],[Story Points]]),0)</f>
        <v>0</v>
      </c>
      <c r="GL157" s="42" t="str">
        <f aca="false">""</f>
        <v/>
      </c>
      <c r="GM157" s="88" t="b">
        <f aca="false">IF(Tasks[[#This Row],[Task Name]]="",FALSE(),AND(Tasks[[#This Row],[_IsLeaf]]=1,N(Tasks[[#This Row],[_Days]])=0))</f>
        <v>0</v>
      </c>
      <c r="GN157" s="89" t="n">
        <f aca="false">IF(Tasks[[#This Row],[Task Name]]="",0,IF(AND(Tasks[[#This Row],[_IsLeaf]]=1,NOT(Tasks[[#This Row],[_IsMilestone]]),N(Tasks[[#This Row],[Progress]])&gt;0),Tasks[[#This Row],[Start]],0))</f>
        <v>0</v>
      </c>
      <c r="GO157" s="89" t="n">
        <f aca="false">IF(Tasks[[#This Row],[_DoneFrom]]=0,0,IF(Tasks[[#This Row],[Progress]]&gt;=1,Tasks[[#This Row],[Finish]],MAX(Tasks[[#This Row],[_DoneFrom]],Tasks[[#This Row],[Start]]+ROUND((Tasks[[#This Row],[Finish]]-Tasks[[#This Row],[Start]]+1)*Tasks[[#This Row],[Progress]],0)-1)))</f>
        <v>0</v>
      </c>
      <c r="GP157" s="89" t="n">
        <f aca="false">IF(Tasks[[#This Row],[Task Name]]="",0,IF(OR(NOT(Tasks[[#This Row],[_IsLeaf]]=1),Tasks[[#This Row],[_IsMilestone]],N(Tasks[[#This Row],[Progress]])&gt;=1),0,IF(Tasks[[#This Row],[_DoneTo]]&gt;0,Tasks[[#This Row],[_DoneTo]]+1,Tasks[[#This Row],[Start]])))</f>
        <v>0</v>
      </c>
      <c r="GQ157" s="89" t="n">
        <f aca="false">IF(Tasks[[#This Row],[_RemFrom]]=0,0,Tasks[[#This Row],[Finish]])</f>
        <v>0</v>
      </c>
      <c r="GR157" s="88" t="b">
        <f aca="false">IF(Tasks[[#This Row],[Task Name]]="",FALSE(),OR(NOT(BaselineSet),N(Tasks[[#This Row],[Baseline Start]])&gt;0))</f>
        <v>0</v>
      </c>
      <c r="GS15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7" s="90" t="str">
        <f aca="false">IF(Tasks[[#This Row],[_IsLeaf]]=1,Tasks[[#This Row],[_Row]],"")</f>
        <v/>
      </c>
      <c r="GW157" s="90" t="str">
        <f aca="false">IFERROR(INDEX(Tasks[UID],SMALL(Tasks[_PickKey],Tasks[[#This Row],[_Row]]))&amp;" "&amp;INDEX(Tasks[Task Name],SMALL(Tasks[_PickKey],Tasks[[#This Row],[_Row]])),"")</f>
        <v/>
      </c>
      <c r="GX157" s="42" t="str">
        <f aca="false">IF(Tasks[[#This Row],[Task Name]]="","",IF(Tasks[[#This Row],[_IsSummary]],NETWORKDAYS.INTL(Tasks[[#This Row],[Start]],Tasks[[#This Row],[Finish]],WorkWeek,Holidays),N(Tasks[[#This Row],[_Days]])))</f>
        <v/>
      </c>
    </row>
    <row r="158" customFormat="false" ht="15" hidden="false" customHeight="false" outlineLevel="0" collapsed="false">
      <c r="A158" s="21" t="str">
        <f aca="false">IF(Tasks[[#This Row],[Task Name]]="","",COUNTA(Tasks[[#Headers],[Task Name]]:Tasks[[#This Row],[Task Name]])-1)</f>
        <v/>
      </c>
      <c r="B158" s="22" t="n">
        <v>166</v>
      </c>
      <c r="C158" s="22"/>
      <c r="D158" s="23"/>
      <c r="E158" s="22"/>
      <c r="F158" s="23"/>
      <c r="G158" s="22"/>
      <c r="H158" s="22"/>
      <c r="I158" s="23"/>
      <c r="J158" s="22"/>
      <c r="K158" s="22"/>
      <c r="L158" s="23"/>
      <c r="M158" s="22"/>
      <c r="N158" s="22"/>
      <c r="O158" s="23"/>
      <c r="P158" s="22"/>
      <c r="Q158" s="22"/>
      <c r="R158" s="23"/>
      <c r="S158" s="23"/>
      <c r="T158" s="83"/>
      <c r="U158" s="23"/>
      <c r="V158" s="83"/>
      <c r="W158" s="23"/>
      <c r="X158" s="83"/>
      <c r="Y158" s="23"/>
      <c r="Z158" s="83"/>
      <c r="AA158" s="23"/>
      <c r="AB158" s="23"/>
      <c r="AC158" s="7"/>
      <c r="AD158" s="7"/>
      <c r="AE158" s="62" t="str">
        <f aca="false">IF(Tasks[[#This Row],[Task Name]]="","",IF(Tasks[[#This Row],[_IsSummary]],MIN(INDEX(Tasks[_ShownFcstStart],Tasks[[#This Row],[_Row]]+1):INDEX(Tasks[_ShownFcstStart],Tasks[[#This Row],[_Row]]+Tasks[[#This Row],[_Descendants]])),Tasks[[#This Row],[_ShownFcstStart]]))</f>
        <v/>
      </c>
      <c r="AF158" s="62" t="str">
        <f aca="false">IF(Tasks[[#This Row],[Task Name]]="","",IF(Tasks[[#This Row],[_IsSummary]],MAX(INDEX(Tasks[_ShownFcstFinish],Tasks[[#This Row],[_Row]]+1):INDEX(Tasks[_ShownFcstFinish],Tasks[[#This Row],[_Row]]+Tasks[[#This Row],[_Descendants]])),Tasks[[#This Row],[_ShownFcstFinish]]))</f>
        <v/>
      </c>
      <c r="AG158" s="21" t="str">
        <f aca="false">""</f>
        <v/>
      </c>
      <c r="AH158" s="23"/>
      <c r="AI15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8" s="7"/>
      <c r="AK158" s="22"/>
      <c r="AL158" s="23"/>
      <c r="AM158" s="7"/>
      <c r="AN158" s="46" t="str">
        <f aca="false">IF(Tasks[[#This Row],[Task Name]]="","",IF(Tasks[[#This Row],[Finish]]&gt;=Tasks[[#This Row],[Planned Finish]],NETWORKDAYS.INTL(Tasks[[#This Row],[Planned Finish]],Tasks[[#This Row],[Finish]],WorkWeek,Holidays)-1,1-NETWORKDAYS.INTL(Tasks[[#This Row],[Finish]],Tasks[[#This Row],[Planned Finish]],WorkWeek,Holidays)))</f>
        <v/>
      </c>
      <c r="AO158" s="21" t="str">
        <f aca="false">IF(Tasks[[#This Row],[Task Name]]="","",IF(Tasks[[#This Row],[Progress]]&gt;=1,"Complete",IF(OR(N(Tasks[[#This Row],[Actual Start]])&gt;0,Tasks[[#This Row],[Progress]]&gt;0),IF(Tasks[[#This Row],[Finish Var]]&gt;0,"Behind","In Progress"),IF(Tasks[[#This Row],[Planned Start]]&lt;StatusDate,"Late Start","Not Started"))))</f>
        <v/>
      </c>
      <c r="AP158" s="21" t="str">
        <f aca="false">IF(Tasks[[#This Row],[Task Name]]="","",IF(IF(Tasks[[#This Row],[_IsSummary]],COUNTIF(INDEX(Tasks[_LeafCritical],Tasks[[#This Row],[_Row]]+1):INDEX(Tasks[_LeafCritical],Tasks[[#This Row],[_Row]]+Tasks[[#This Row],[_Descendants]]),TRUE())&gt;0,Tasks[[#This Row],[_LeafCritical]]),"Yes",""))</f>
        <v/>
      </c>
      <c r="AQ158" s="62" t="str">
        <f aca="false">IF(Tasks[[#This Row],[Task Name]]="","",IF(N(Tasks[[#This Row],[Baseline Start]])&gt;0,Tasks[[#This Row],[Baseline Start]],Tasks[[#This Row],[_CalcStart]]))</f>
        <v/>
      </c>
      <c r="AR158" s="62" t="str">
        <f aca="false">IF(Tasks[[#This Row],[Task Name]]="","",IF(N(Tasks[[#This Row],[Baseline Finish]])&gt;0,Tasks[[#This Row],[Baseline Finish]],Tasks[[#This Row],[_CalcFinish]]))</f>
        <v/>
      </c>
      <c r="AS158" s="46" t="str">
        <f aca="false">IF(Tasks[[#This Row],[Task Name]]="","",IF(Tasks[[#This Row],[Start]]&gt;=Tasks[[#This Row],[Planned Start]],NETWORKDAYS.INTL(Tasks[[#This Row],[Planned Start]],Tasks[[#This Row],[Start]],WorkWeek,Holidays)-1,1-NETWORKDAYS.INTL(Tasks[[#This Row],[Start]],Tasks[[#This Row],[Planned Start]],WorkWeek,Holidays)))</f>
        <v/>
      </c>
      <c r="AT158" s="62" t="str">
        <f aca="false">IF(Tasks[[#This Row],[Task Name]]="","",IF(Tasks[[#This Row],[_IsSummary]],MIN(INDEX(Tasks[_LeafLateStart],Tasks[[#This Row],[_Row]]+1):INDEX(Tasks[_LeafLateStart],Tasks[[#This Row],[_Row]]+Tasks[[#This Row],[_Descendants]])),Tasks[[#This Row],[_LeafLateStart]]))</f>
        <v/>
      </c>
      <c r="AU158" s="62" t="str">
        <f aca="false">IF(Tasks[[#This Row],[Task Name]]="","",IF(Tasks[[#This Row],[_IsSummary]],MAX(INDEX(Tasks[_LeafLateFinish],Tasks[[#This Row],[_Row]]+1):INDEX(Tasks[_LeafLateFinish],Tasks[[#This Row],[_Row]]+Tasks[[#This Row],[_Descendants]])),Tasks[[#This Row],[_LeafLateFinish]]))</f>
        <v/>
      </c>
      <c r="AV158" s="46" t="str">
        <f aca="false">IF(Tasks[[#This Row],[Task Name]]="","",IF(Tasks[[#This Row],[_IsSummary]],MIN(INDEX(Tasks[_LeafTotalSlack],Tasks[[#This Row],[_Row]]+1):INDEX(Tasks[_LeafTotalSlack],Tasks[[#This Row],[_Row]]+Tasks[[#This Row],[_Descendants]])),Tasks[[#This Row],[_LeafTotalSlack]]))</f>
        <v/>
      </c>
      <c r="AW15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4"/>
      <c r="BA15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t="str">
        <f aca="false">IF(Tasks[[#This Row],[Task Name]]="","",IF(Tasks[[#This Row],[_Level]]&lt;=OutlineShowLevel,"Yes","No"))</f>
        <v/>
      </c>
      <c r="BE158" s="85" t="str">
        <f aca="false">IF(Tasks[[#This Row],[Task Name]]="","",IF(Tasks[[#This Row],[_IsSummary]],SUM(INDEX(Tasks[_LeafTotalWork],Tasks[[#This Row],[_Row]]+1):INDEX(Tasks[_LeafTotalWork],Tasks[[#This Row],[_Row]]+Tasks[[#This Row],[_Descendants]])),Tasks[[#This Row],[_LeafTotalWork]]))</f>
        <v/>
      </c>
      <c r="BF158" s="23"/>
      <c r="BG15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t="str">
        <f aca="false">""</f>
        <v/>
      </c>
      <c r="BI158" s="86"/>
      <c r="BJ158" s="22"/>
      <c r="BK158" s="46" t="str">
        <f aca="false">IF(OR(Tasks[[#This Row],[Task Name]]="",Tasks[[#This Row],[Baseline Duration]]=""),"",Tasks[[#This Row],[_SpanDays]]-N(Tasks[[#This Row],[Baseline Duration]]))</f>
        <v/>
      </c>
      <c r="BL158" s="85" t="str">
        <f aca="false">IF(OR(Tasks[[#This Row],[Task Name]]="",Tasks[[#This Row],[Baseline Work]]=""),"",Tasks[[#This Row],[Work]]-N(Tasks[[#This Row],[Baseline Work]]))</f>
        <v/>
      </c>
      <c r="BM158" s="62" t="str">
        <f aca="false">IF(Tasks[[#This Row],[Task Name]]="","",IF(OR(TakeBaseline="Yes",N(Tasks[[#This Row],[Baseline Start]])=0),Tasks[[#This Row],[Start]],Tasks[[#This Row],[Baseline Start]]))</f>
        <v/>
      </c>
      <c r="BN158" s="62" t="str">
        <f aca="false">IF(Tasks[[#This Row],[Task Name]]="","",IF(OR(TakeBaseline="Yes",N(Tasks[[#This Row],[Baseline Finish]])=0),Tasks[[#This Row],[Finish]],Tasks[[#This Row],[Baseline Finish]]))</f>
        <v/>
      </c>
      <c r="BO158" s="21" t="str">
        <f aca="false">IF(Tasks[[#This Row],[Task Name]]="","",IF(OR(TakeBaseline="Yes",N(Tasks[[#This Row],[Baseline Duration]])=0),Tasks[[#This Row],[_SpanDays]],Tasks[[#This Row],[Baseline Duration]]))</f>
        <v/>
      </c>
      <c r="BP158" s="85" t="str">
        <f aca="false">IF(Tasks[[#This Row],[Task Name]]="","",IF(OR(TakeBaseline="Yes",N(Tasks[[#This Row],[Baseline Work]])=0),Tasks[[#This Row],[Work]],Tasks[[#This Row],[Baseline Work]]))</f>
        <v/>
      </c>
      <c r="BQ158" s="7"/>
      <c r="BR158" s="7"/>
      <c r="BS158" s="22"/>
      <c r="BT158" s="87"/>
      <c r="BU158" s="42" t="str">
        <f aca="false">IF(Tasks[[#This Row],[Task Name]]="","",MAX(1,N(Tasks[[#This Row],[Level]])))</f>
        <v/>
      </c>
      <c r="BV158" s="42" t="n">
        <f aca="false">ROW()-ROW(Tasks[[#Headers],[ID]])</f>
        <v>153</v>
      </c>
      <c r="BW158" s="42" t="n">
        <f aca="false">IF(OR(Tasks[[#This Row],[Task Name]]="",Tasks[[#This Row],[_Level]]&lt;=1),0,IFERROR(LOOKUP(2,1/(Tasks[[#Headers],[_Level]]:Tasks[[#This Row],[_Level]]=Tasks[[#This Row],[_Level]]-1),ROW(Tasks[[#Headers],[_Level]]:Tasks[[#This Row],[_Level]])),0))</f>
        <v>0</v>
      </c>
      <c r="BX158" s="42" t="n">
        <f aca="false">IFERROR(N(INDEX(Tasks[_Level],Tasks[[#This Row],[_Row]]+1)),0)</f>
        <v>0</v>
      </c>
      <c r="BY158" s="88" t="b">
        <f aca="false">AND(Tasks[[#This Row],[Task Name]]&lt;&gt;"",Tasks[[#This Row],[_NextLevel]]&gt;Tasks[[#This Row],[_Level]])</f>
        <v>0</v>
      </c>
      <c r="BZ158" s="42" t="n">
        <f aca="false">IF(Tasks[[#This Row],[_IsSummary]],COUNTIF(Tasks[WBS],Tasks[[#This Row],[WBS]]&amp;".*"),0)</f>
        <v>0</v>
      </c>
      <c r="CA158" s="42" t="n">
        <f aca="false">IF(AND(Tasks[[#This Row],[Task Name]]&lt;&gt;"",NOT(Tasks[[#This Row],[_IsSummary]])),1,0)</f>
        <v>0</v>
      </c>
      <c r="CB158" s="42" t="n">
        <f aca="false">IF(N(Tasks[[#This Row],[_Pred1UID]])=0,0,IFERROR(MATCH(Tasks[[#This Row],[_Pred1UID]],Tasks[UID],0),-1))</f>
        <v>0</v>
      </c>
      <c r="CC158" s="42" t="n">
        <f aca="false">IF(N(Tasks[[#This Row],[_Pred2UID]])=0,0,IFERROR(MATCH(Tasks[[#This Row],[_Pred2UID]],Tasks[UID],0),-1))</f>
        <v>0</v>
      </c>
      <c r="CD158" s="42" t="n">
        <f aca="false">IF(N(Tasks[[#This Row],[_Pred3UID]])=0,0,IFERROR(MATCH(Tasks[[#This Row],[_Pred3UID]],Tasks[UID],0),-1))</f>
        <v>0</v>
      </c>
      <c r="CE158" s="42" t="n">
        <f aca="false">IF(N(Tasks[[#This Row],[_Pred4UID]])=0,0,IFERROR(MATCH(Tasks[[#This Row],[_Pred4UID]],Tasks[UID],0),-1))</f>
        <v>0</v>
      </c>
      <c r="CF15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8" s="89" t="n">
        <f aca="false">IF(OR(Tasks[[#This Row],[_ConstraintCode]]=2,Tasks[[#This Row],[_ConstraintCode]]=3,Tasks[[#This Row],[_ConstraintCode]]=4,Tasks[[#This Row],[_ConstraintCode]]=6),Tasks[[#This Row],[_ConstraintStart]],0)</f>
        <v>0</v>
      </c>
      <c r="CI158" s="89" t="n">
        <f aca="false">IF(OR(Tasks[[#This Row],[_ConstraintCode]]=2,Tasks[[#This Row],[_ConstraintCode]]=3,Tasks[[#This Row],[_ConstraintCode]]=5,Tasks[[#This Row],[_ConstraintCode]]=7),Tasks[[#This Row],[_ConstraintStart]],2958465)</f>
        <v>2958465</v>
      </c>
      <c r="CJ15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8" s="89" t="str">
        <f aca="false">IF(NOT(Tasks[[#This Row],[_IsLeaf]]=1),"",IF(N(Tasks[[#This Row],[_Days]])&lt;=0,Tasks[[#This Row],[_LeafCalcStart]],WORKDAY.INTL(Tasks[[#This Row],[_LeafCalcStart]],Tasks[[#This Row],[_Days]]-1,WorkWeek,Holidays)))</f>
        <v/>
      </c>
      <c r="CL15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8" s="42" t="str">
        <f aca="false">IF(Tasks[[#This Row],[_Predecessors]]="","",TRIM(MID(SUBSTITUTE(SUBSTITUTE(SUBSTITUTE(UPPER(Tasks[[#This Row],[_Predecessors]]),";",",")," ",""),",",REPT(" ",99)),1,99)))</f>
        <v/>
      </c>
      <c r="CO158" s="42" t="str">
        <f aca="false">IF(Tasks[[#This Row],[_Pred1Text]]="","",IFERROR(VALUE(LEFT(Tasks[[#This Row],[_Pred1Text]],MIN(FIND("F",Tasks[[#This Row],[_Pred1Text]]&amp;"F"),FIND("S",Tasks[[#This Row],[_Pred1Text]]&amp;"S"),FIND("+",Tasks[[#This Row],[_Pred1Text]]&amp;"+"),FIND("-",Tasks[[#This Row],[_Pred1Text]]&amp;"-"))-1)),""))</f>
        <v/>
      </c>
      <c r="CP15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8" s="42" t="str">
        <f aca="false">IF(Tasks[[#This Row],[_Pred1Text]]="","",TRIM(MID(SUBSTITUTE(SUBSTITUTE(SUBSTITUTE(UPPER(Tasks[[#This Row],[_Predecessors]]),";",",")," ",""),",",REPT(" ",99)),100,99)))</f>
        <v/>
      </c>
      <c r="CS158" s="42" t="str">
        <f aca="false">IF(Tasks[[#This Row],[_Pred2Text]]="","",IFERROR(VALUE(LEFT(Tasks[[#This Row],[_Pred2Text]],MIN(FIND("F",Tasks[[#This Row],[_Pred2Text]]&amp;"F"),FIND("S",Tasks[[#This Row],[_Pred2Text]]&amp;"S"),FIND("+",Tasks[[#This Row],[_Pred2Text]]&amp;"+"),FIND("-",Tasks[[#This Row],[_Pred2Text]]&amp;"-"))-1)),""))</f>
        <v/>
      </c>
      <c r="CT15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8" s="42" t="str">
        <f aca="false">IF(Tasks[[#This Row],[_Pred2Text]]="","",TRIM(MID(SUBSTITUTE(SUBSTITUTE(SUBSTITUTE(UPPER(Tasks[[#This Row],[_Predecessors]]),";",",")," ",""),",",REPT(" ",99)),199,99)))</f>
        <v/>
      </c>
      <c r="CW158" s="42" t="str">
        <f aca="false">IF(Tasks[[#This Row],[_Pred3Text]]="","",IFERROR(VALUE(LEFT(Tasks[[#This Row],[_Pred3Text]],MIN(FIND("F",Tasks[[#This Row],[_Pred3Text]]&amp;"F"),FIND("S",Tasks[[#This Row],[_Pred3Text]]&amp;"S"),FIND("+",Tasks[[#This Row],[_Pred3Text]]&amp;"+"),FIND("-",Tasks[[#This Row],[_Pred3Text]]&amp;"-"))-1)),""))</f>
        <v/>
      </c>
      <c r="CX15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8" s="42" t="str">
        <f aca="false">IF(Tasks[[#This Row],[_Pred3Text]]="","",TRIM(MID(SUBSTITUTE(SUBSTITUTE(SUBSTITUTE(UPPER(Tasks[[#This Row],[_Predecessors]]),";",",")," ",""),",",REPT(" ",99)),298,99)))</f>
        <v/>
      </c>
      <c r="DA158" s="42" t="str">
        <f aca="false">IF(Tasks[[#This Row],[_Pred4Text]]="","",IFERROR(VALUE(LEFT(Tasks[[#This Row],[_Pred4Text]],MIN(FIND("F",Tasks[[#This Row],[_Pred4Text]]&amp;"F"),FIND("S",Tasks[[#This Row],[_Pred4Text]]&amp;"S"),FIND("+",Tasks[[#This Row],[_Pred4Text]]&amp;"+"),FIND("-",Tasks[[#This Row],[_Pred4Text]]&amp;"-"))-1)),""))</f>
        <v/>
      </c>
      <c r="DB15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8" s="42" t="str">
        <f aca="false">IF(OR(Tasks[[#This Row],[Task Name]]="",Tasks[[#This Row],[_Resources]]=""),"",TRIM(MID(SUBSTITUTE(Tasks[[#This Row],[_Resources]],",",REPT(" ",99)),1,99)))</f>
        <v/>
      </c>
      <c r="DE158" s="42" t="str">
        <f aca="false">IF(Tasks[[#This Row],[_Res1Text]]="","",TRIM(MID(SUBSTITUTE(Tasks[[#This Row],[_Resources]],",",REPT(" ",99)),100,99)))</f>
        <v/>
      </c>
      <c r="DF158" s="42" t="str">
        <f aca="false">IF(Tasks[[#This Row],[_Res2Text]]="","",TRIM(MID(SUBSTITUTE(Tasks[[#This Row],[_Resources]],",",REPT(" ",99)),199,99)))</f>
        <v/>
      </c>
      <c r="DG158" s="42" t="str">
        <f aca="false">IF(Tasks[[#This Row],[_Res3Text]]="","",TRIM(MID(SUBSTITUTE(Tasks[[#This Row],[_Resources]],",",REPT(" ",99)),298,99)))</f>
        <v/>
      </c>
      <c r="DH158" s="42" t="n">
        <f aca="false">IF(Tasks[[#This Row],[_Res1Text]]="",0,IFERROR(MATCH(TRIM(LEFT(Tasks[[#This Row],[_Res1Text]],FIND("[",Tasks[[#This Row],[_Res1Text]]&amp;"[")-1)),res_Name,0),IFERROR(MATCH(TRIM(LEFT(Tasks[[#This Row],[_Res1Text]],FIND("[",Tasks[[#This Row],[_Res1Text]]&amp;"[")-1)),res_Initials,0),0)))</f>
        <v>0</v>
      </c>
      <c r="DI158" s="42" t="n">
        <f aca="false">IF(Tasks[[#This Row],[_Res2Text]]="",0,IFERROR(MATCH(TRIM(LEFT(Tasks[[#This Row],[_Res2Text]],FIND("[",Tasks[[#This Row],[_Res2Text]]&amp;"[")-1)),res_Name,0),IFERROR(MATCH(TRIM(LEFT(Tasks[[#This Row],[_Res2Text]],FIND("[",Tasks[[#This Row],[_Res2Text]]&amp;"[")-1)),res_Initials,0),0)))</f>
        <v>0</v>
      </c>
      <c r="DJ158" s="42" t="n">
        <f aca="false">IF(Tasks[[#This Row],[_Res3Text]]="",0,IFERROR(MATCH(TRIM(LEFT(Tasks[[#This Row],[_Res3Text]],FIND("[",Tasks[[#This Row],[_Res3Text]]&amp;"[")-1)),res_Name,0),IFERROR(MATCH(TRIM(LEFT(Tasks[[#This Row],[_Res3Text]],FIND("[",Tasks[[#This Row],[_Res3Text]]&amp;"[")-1)),res_Initials,0),0)))</f>
        <v>0</v>
      </c>
      <c r="DK158" s="42" t="n">
        <f aca="false">IF(Tasks[[#This Row],[_Res4Text]]="",0,IFERROR(MATCH(TRIM(LEFT(Tasks[[#This Row],[_Res4Text]],FIND("[",Tasks[[#This Row],[_Res4Text]]&amp;"[")-1)),res_Name,0),IFERROR(MATCH(TRIM(LEFT(Tasks[[#This Row],[_Res4Text]],FIND("[",Tasks[[#This Row],[_Res4Text]]&amp;"[")-1)),res_Initials,0),0)))</f>
        <v>0</v>
      </c>
      <c r="DL158" s="42" t="str">
        <f aca="false">IF(Tasks[[#This Row],[_Res1Text]]="","",IF(Tasks[[#This Row],[_Res1Row]]&gt;0,INDEX(res_Name,Tasks[[#This Row],[_Res1Row]]),TRIM(LEFT(Tasks[[#This Row],[_Res1Text]],FIND("[",Tasks[[#This Row],[_Res1Text]]&amp;"[")-1))))</f>
        <v/>
      </c>
      <c r="DM15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8" s="42" t="n">
        <f aca="false">IF(NOT(Tasks[[#This Row],[_IsLeaf]]=1),0,(Tasks[[#This Row],[_Resource1]]&lt;&gt;"")+(Tasks[[#This Row],[_Res2]]&lt;&gt;"")+(Tasks[[#This Row],[_Res3]]&lt;&gt;"")+(Tasks[[#This Row],[_Res4]]&lt;&gt;""))</f>
        <v>0</v>
      </c>
      <c r="DO158" s="42" t="str">
        <f aca="false">IF(Tasks[[#This Row],[_Res2Text]]="","",IF(Tasks[[#This Row],[_Res2Row]]&gt;0,INDEX(res_Name,Tasks[[#This Row],[_Res2Row]]),TRIM(LEFT(Tasks[[#This Row],[_Res2Text]],FIND("[",Tasks[[#This Row],[_Res2Text]]&amp;"[")-1))))</f>
        <v/>
      </c>
      <c r="DP15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8" s="42" t="n">
        <f aca="false">IF(OR(NOT(Tasks[[#This Row],[_IsLeaf]]=1),Tasks[[#This Row],[_Res2Row]]=0),0,N(Tasks[[#This Row],[_Days]])*HoursPerDay*IF(Tasks[[#This Row],[_Res2Units]]="",DefaultUnits,Tasks[[#This Row],[_Res2Units]]))</f>
        <v>0</v>
      </c>
      <c r="DR158" s="42" t="n">
        <f aca="false">IF(AND(AND(Tasks[[#This Row],[_IsLeaf]]=1,Tasks[[#This Row],[_LeafTotalWork]]&gt;0),Tasks[[#This Row],[_Res2Work]]&gt;0),Tasks[[#This Row],[_Res2Work]]/(Tasks[[#This Row],[_FinishWorkday]]-Tasks[[#This Row],[_StartWorkday]]+1),0)</f>
        <v>0</v>
      </c>
      <c r="DS158" s="42" t="n">
        <f aca="false">Tasks[[#This Row],[_Res2WorkPerWD]]*MAX(0,Tasks[[#This Row],[_StartWorkday]]-1)</f>
        <v>0</v>
      </c>
      <c r="DT158" s="42" t="n">
        <f aca="false">Tasks[[#This Row],[_Res2Work]]*Tasks[[#This Row],[_LeafProgress]]</f>
        <v>0</v>
      </c>
      <c r="DU158" s="42" t="str">
        <f aca="false">IF(Tasks[[#This Row],[_Res3Text]]="","",IF(Tasks[[#This Row],[_Res3Row]]&gt;0,INDEX(res_Name,Tasks[[#This Row],[_Res3Row]]),TRIM(LEFT(Tasks[[#This Row],[_Res3Text]],FIND("[",Tasks[[#This Row],[_Res3Text]]&amp;"[")-1))))</f>
        <v/>
      </c>
      <c r="DV15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8" s="42" t="n">
        <f aca="false">IF(OR(NOT(Tasks[[#This Row],[_IsLeaf]]=1),Tasks[[#This Row],[_Res3Row]]=0),0,N(Tasks[[#This Row],[_Days]])*HoursPerDay*IF(Tasks[[#This Row],[_Res3Units]]="",DefaultUnits,Tasks[[#This Row],[_Res3Units]]))</f>
        <v>0</v>
      </c>
      <c r="DX158" s="42" t="n">
        <f aca="false">IF(AND(AND(Tasks[[#This Row],[_IsLeaf]]=1,Tasks[[#This Row],[_LeafTotalWork]]&gt;0),Tasks[[#This Row],[_Res3Work]]&gt;0),Tasks[[#This Row],[_Res3Work]]/(Tasks[[#This Row],[_FinishWorkday]]-Tasks[[#This Row],[_StartWorkday]]+1),0)</f>
        <v>0</v>
      </c>
      <c r="DY158" s="42" t="n">
        <f aca="false">Tasks[[#This Row],[_Res3WorkPerWD]]*MAX(0,Tasks[[#This Row],[_StartWorkday]]-1)</f>
        <v>0</v>
      </c>
      <c r="DZ158" s="42" t="n">
        <f aca="false">Tasks[[#This Row],[_Res3Work]]*Tasks[[#This Row],[_LeafProgress]]</f>
        <v>0</v>
      </c>
      <c r="EA158" s="42" t="str">
        <f aca="false">IF(Tasks[[#This Row],[_Res4Text]]="","",IF(Tasks[[#This Row],[_Res4Row]]&gt;0,INDEX(res_Name,Tasks[[#This Row],[_Res4Row]]),TRIM(LEFT(Tasks[[#This Row],[_Res4Text]],FIND("[",Tasks[[#This Row],[_Res4Text]]&amp;"[")-1))))</f>
        <v/>
      </c>
      <c r="EB15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8" s="42" t="n">
        <f aca="false">IF(OR(NOT(Tasks[[#This Row],[_IsLeaf]]=1),Tasks[[#This Row],[_Res4Row]]=0),0,N(Tasks[[#This Row],[_Days]])*HoursPerDay*IF(Tasks[[#This Row],[_Res4Units]]="",DefaultUnits,Tasks[[#This Row],[_Res4Units]]))</f>
        <v>0</v>
      </c>
      <c r="ED158" s="42" t="n">
        <f aca="false">IF(AND(AND(Tasks[[#This Row],[_IsLeaf]]=1,Tasks[[#This Row],[_LeafTotalWork]]&gt;0),Tasks[[#This Row],[_Res4Work]]&gt;0),Tasks[[#This Row],[_Res4Work]]/(Tasks[[#This Row],[_FinishWorkday]]-Tasks[[#This Row],[_StartWorkday]]+1),0)</f>
        <v>0</v>
      </c>
      <c r="EE158" s="42" t="n">
        <f aca="false">Tasks[[#This Row],[_Res4WorkPerWD]]*MAX(0,Tasks[[#This Row],[_StartWorkday]]-1)</f>
        <v>0</v>
      </c>
      <c r="EF158" s="42" t="n">
        <f aca="false">Tasks[[#This Row],[_Res4Work]]*Tasks[[#This Row],[_LeafProgress]]</f>
        <v>0</v>
      </c>
      <c r="EG158" s="42" t="n">
        <f aca="false">IF(ISNUMBER(Tasks[[#This Row],[% Complete]]),Tasks[[#This Row],[% Complete]],IF(Tasks[[#This Row],[Stage]]="",0,IFERROR(INDEX(stg_Pct,MATCH(Tasks[[#This Row],[Stage]],stg_Name,0)),0)))</f>
        <v>0</v>
      </c>
      <c r="EH158" s="42" t="n">
        <f aca="false">IF(NOT(Tasks[[#This Row],[_IsLeaf]]=1),0,IF(N(Tasks[[#This Row],[Actual Finish]])&gt;0,1,MIN(1,Tasks[[#This Row],[_Pct]])))</f>
        <v>0</v>
      </c>
      <c r="EI158" s="42" t="n">
        <f aca="false">IF(OR(NOT(Tasks[[#This Row],[_IsLeaf]]=1),Tasks[[#This Row],[_Res1Row]]=0),0,N(Tasks[[#This Row],[_Days]])*HoursPerDay*IF(Tasks[[#This Row],[_Units1]]="",DefaultUnits,Tasks[[#This Row],[_Units1]]))</f>
        <v>0</v>
      </c>
      <c r="EJ158" s="42" t="n">
        <f aca="false">Tasks[[#This Row],[_LeafWork]]+Tasks[[#This Row],[_Res2Work]]+Tasks[[#This Row],[_Res3Work]]+Tasks[[#This Row],[_Res4Work]]</f>
        <v>0</v>
      </c>
      <c r="EK15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8" s="42" t="n">
        <f aca="false">IF(NOT(Tasks[[#This Row],[_IsLeaf]]=1),0,MAX(_xlfn.MAXIFS(Tasks[_Row],Tasks[_Pred1UID],Tasks[[#This Row],[UID]]),_xlfn.MAXIFS(Tasks[_Row],Tasks[_Pred2UID],Tasks[[#This Row],[UID]]),_xlfn.MAXIFS(Tasks[_Row],Tasks[_Pred3UID],Tasks[[#This Row],[UID]]),_xlfn.MAXIFS(Tasks[_Row],Tasks[_Pred4UID],Tasks[[#This Row],[UID]])))</f>
        <v>0</v>
      </c>
      <c r="ET15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8" s="89" t="str">
        <f aca="false">IF(NOT(Tasks[[#This Row],[_IsLeaf]]=1),"",IF(N(Tasks[[#This Row],[_Days]])&lt;=0,Tasks[[#This Row],[_LeafLateFinish]],WORKDAY.INTL(Tasks[[#This Row],[_LeafLateFinish]],-(Tasks[[#This Row],[_Days]]-1),WorkWeek,Holidays)))</f>
        <v/>
      </c>
      <c r="EW15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8" s="88" t="b">
        <f aca="false">AND(Tasks[[#This Row],[_IsLeaf]]=1,Tasks[[#This Row],[_LeafProgress]]&lt;1,N(Tasks[[#This Row],[_LeafTotalSlack]])&lt;=CriticalSlackDays)</f>
        <v>0</v>
      </c>
      <c r="EY158" s="42" t="n">
        <f aca="false">IF(AND(Tasks[[#This Row],[_IsLeaf]]=1,Tasks[[#This Row],[_ConstraintCode]]=1,Tasks[[#This Row],[Mode]]&lt;&gt;"Manual",N(Tasks[[#This Row],[Actual Start]])=0),MAX(0,N(Tasks[[#This Row],[Free Slack]])),0)</f>
        <v>0</v>
      </c>
      <c r="EZ158" s="89" t="str">
        <f aca="false">IF(NOT(Tasks[[#This Row],[_IsLeaf]]=1),"",IF(Tasks[[#This Row],[_AlapShift]]=0,Tasks[[#This Row],[_LeafCalcStart]],WORKDAY.INTL(Tasks[[#This Row],[_LeafCalcStart]],Tasks[[#This Row],[_AlapShift]],WorkWeek,Holidays)))</f>
        <v/>
      </c>
      <c r="FA158" s="89" t="str">
        <f aca="false">IF(NOT(Tasks[[#This Row],[_IsLeaf]]=1),"",IF(Tasks[[#This Row],[_AlapShift]]=0,Tasks[[#This Row],[_LeafCalcFinish]],WORKDAY.INTL(Tasks[[#This Row],[_LeafCalcFinish]],Tasks[[#This Row],[_AlapShift]],WorkWeek,Holidays)))</f>
        <v/>
      </c>
      <c r="FB158" s="89" t="str">
        <f aca="false">IF(NOT(Tasks[[#This Row],[_IsLeaf]]=1),"",IF(Tasks[[#This Row],[_AlapShift]]=0,Tasks[[#This Row],[_LeafFcstStart]],WORKDAY.INTL(Tasks[[#This Row],[_LeafFcstStart]],Tasks[[#This Row],[_AlapShift]],WorkWeek,Holidays)))</f>
        <v/>
      </c>
      <c r="FC158" s="89" t="str">
        <f aca="false">IF(NOT(Tasks[[#This Row],[_IsLeaf]]=1),"",IF(Tasks[[#This Row],[_AlapShift]]=0,Tasks[[#This Row],[_LeafFcstFinish]],WORKDAY.INTL(Tasks[[#This Row],[_LeafFcstFinish]],Tasks[[#This Row],[_AlapShift]],WorkWeek,Holidays)))</f>
        <v/>
      </c>
      <c r="FD158" s="89" t="str">
        <f aca="false">IF(Tasks[[#This Row],[Task Name]]="","",IF(Tasks[[#This Row],[_IsSummary]],MIN(INDEX(Tasks[_ShownCalcStart],Tasks[[#This Row],[_Row]]+1):INDEX(Tasks[_ShownCalcStart],Tasks[[#This Row],[_Row]]+Tasks[[#This Row],[_Descendants]])),Tasks[[#This Row],[_ShownCalcStart]]))</f>
        <v/>
      </c>
      <c r="FE158" s="89" t="str">
        <f aca="false">IF(Tasks[[#This Row],[Task Name]]="","",IF(Tasks[[#This Row],[_IsSummary]],MAX(INDEX(Tasks[_ShownCalcFinish],Tasks[[#This Row],[_Row]]+1):INDEX(Tasks[_ShownCalcFinish],Tasks[[#This Row],[_Row]]+Tasks[[#This Row],[_Descendants]])),Tasks[[#This Row],[_ShownCalcFinish]]))</f>
        <v/>
      </c>
      <c r="FF15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8" s="42" t="n">
        <f aca="false">IF(AND(Tasks[[#This Row],[_IsLeaf]]=1,Tasks[[#This Row],[_LeafTotalWork]]&gt;0),NETWORKDAYS.INTL(ProjectStart,Tasks[[#This Row],[_ShownFcstStart]],WorkWeek,Holidays),0)</f>
        <v>0</v>
      </c>
      <c r="FS158" s="42" t="n">
        <f aca="false">IF(AND(Tasks[[#This Row],[_IsLeaf]]=1,Tasks[[#This Row],[_LeafTotalWork]]&gt;0),MAX(Tasks[[#This Row],[_StartWorkday]],NETWORKDAYS.INTL(ProjectStart,Tasks[[#This Row],[_ShownFcstFinish]],WorkWeek,Holidays)),0)</f>
        <v>0</v>
      </c>
      <c r="FT158" s="42" t="n">
        <f aca="false">IF(AND(Tasks[[#This Row],[_IsLeaf]]=1,Tasks[[#This Row],[_LeafTotalWork]]&gt;0),Tasks[[#This Row],[_LeafWork]]/(Tasks[[#This Row],[_FinishWorkday]]-Tasks[[#This Row],[_StartWorkday]]+1),0)</f>
        <v>0</v>
      </c>
      <c r="FU158" s="42" t="n">
        <f aca="false">Tasks[[#This Row],[_WorkPerWorkday]]*(Tasks[[#This Row],[_StartWorkday]]-1)</f>
        <v>-0</v>
      </c>
      <c r="FV158" s="42" t="n">
        <f aca="false">IF(Tasks[[#This Row],[_IsLeaf]]=1,MAX(N(Tasks[[#This Row],[_Days]]),0.1),0)</f>
        <v>0</v>
      </c>
      <c r="FW158" s="42" t="n">
        <f aca="false">Tasks[[#This Row],[_WeightDur]]*Tasks[[#This Row],[_LeafProgress]]</f>
        <v>0</v>
      </c>
      <c r="FX158" s="42" t="n">
        <f aca="false">Tasks[[#This Row],[_WeightDur]]*Tasks[[#This Row],[_PlannedPct]]</f>
        <v>0</v>
      </c>
      <c r="FY15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8" s="42" t="str">
        <f aca="false">IF(AND(Tasks[[#This Row],[_IsLeaf]]=1,N(Tasks[[#This Row],[_Days]])=0,Tasks[[#This Row],[_LeafProgress]]&lt;1),Tasks[[#This Row],[_ShownFcstFinish]]+Tasks[[#This Row],[_Row]]/100000,"")</f>
        <v/>
      </c>
      <c r="GA15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8" s="42" t="str">
        <f aca="false">IF(Tasks[[#This Row],[Task Name]]="","",LEFT(Tasks[[#This Row],[WBS]],FIND(".",Tasks[[#This Row],[WBS]]&amp;".")-1))</f>
        <v/>
      </c>
      <c r="GC158" s="42" t="str">
        <f aca="false">IF(AND(Tasks[[#This Row],[Task Name]]&lt;&gt;"",Tasks[[#This Row],[_Level]]=1),Tasks[[#This Row],[_Row]],"")</f>
        <v/>
      </c>
      <c r="GD158" s="42" t="str">
        <f aca="false">IF(AND(Tasks[[#This Row],[_IsLeaf]]=1,N(Tasks[[#This Row],[_Days]])=0),Tasks[[#This Row],[Planned Finish]]+Tasks[[#This Row],[_Row]]/100000,"")</f>
        <v/>
      </c>
      <c r="GE158" s="42" t="str">
        <f aca="false">IF(AND(Tasks[[#This Row],[_IsLeaf]]=1,Tasks[[#This Row],[_LeafProgress]]&lt;1,OR(N(Tasks[[#This Row],[Finish Var]])&gt;0,Tasks[[#This Row],[Status]]="Late Start")),MAX(0,Tasks[[#This Row],[Finish Var]])+1-Tasks[[#This Row],[_Row]]/1000000,"")</f>
        <v/>
      </c>
      <c r="GF158" s="42" t="str">
        <f aca="false">IF(AND(Tasks[[#This Row],[_IsLeaf]]=1,N(Tasks[[#This Row],[Actual Start]])=0,Tasks[[#This Row],[_ShownFcstStart]]&gt;=StatusDate,Tasks[[#This Row],[_ShownFcstStart]]&lt;=LookaheadEnd),Tasks[[#This Row],[_ShownFcstStart]]+Tasks[[#This Row],[_Row]]/100000,"")</f>
        <v/>
      </c>
      <c r="GG158" s="42" t="str">
        <f aca="false">IF(AND(Tasks[[#This Row],[_IsLeaf]]=1,Tasks[[#This Row],[_LeafProgress]]&lt;1,Tasks[[#This Row],[_ShownFcstFinish]]&gt;=StatusDate,Tasks[[#This Row],[_ShownFcstFinish]]&lt;=LookaheadEnd),Tasks[[#This Row],[_ShownFcstFinish]]+Tasks[[#This Row],[_Row]]/100000,"")</f>
        <v/>
      </c>
      <c r="GH158" s="42" t="str">
        <f aca="false">IF(Tasks[[#This Row],[_LeafCritical]],Tasks[[#This Row],[_ShownFcstStart]]+Tasks[[#This Row],[_Row]]/100000,"")</f>
        <v/>
      </c>
      <c r="GI158" s="42" t="n">
        <f aca="false">Tasks[[#This Row],[_LeafWork]]*Tasks[[#This Row],[_LeafProgress]]</f>
        <v>0</v>
      </c>
      <c r="GJ158" s="89" t="str">
        <f aca="false">IF(AND(Tasks[[#This Row],[_IsLeaf]]=1,Tasks[[#This Row],[_LeafProgress]]&gt;=1),IF(N(Tasks[[#This Row],[Actual Finish]])&gt;0,Tasks[[#This Row],[Actual Finish]],Tasks[[#This Row],[_ShownFcstFinish]]),"")</f>
        <v/>
      </c>
      <c r="GK158" s="42" t="n">
        <f aca="false">IF(Tasks[[#This Row],[_IsLeaf]]=1,N(Tasks[[#This Row],[Story Points]]),0)</f>
        <v>0</v>
      </c>
      <c r="GL158" s="42" t="str">
        <f aca="false">""</f>
        <v/>
      </c>
      <c r="GM158" s="88" t="b">
        <f aca="false">IF(Tasks[[#This Row],[Task Name]]="",FALSE(),AND(Tasks[[#This Row],[_IsLeaf]]=1,N(Tasks[[#This Row],[_Days]])=0))</f>
        <v>0</v>
      </c>
      <c r="GN158" s="89" t="n">
        <f aca="false">IF(Tasks[[#This Row],[Task Name]]="",0,IF(AND(Tasks[[#This Row],[_IsLeaf]]=1,NOT(Tasks[[#This Row],[_IsMilestone]]),N(Tasks[[#This Row],[Progress]])&gt;0),Tasks[[#This Row],[Start]],0))</f>
        <v>0</v>
      </c>
      <c r="GO158" s="89" t="n">
        <f aca="false">IF(Tasks[[#This Row],[_DoneFrom]]=0,0,IF(Tasks[[#This Row],[Progress]]&gt;=1,Tasks[[#This Row],[Finish]],MAX(Tasks[[#This Row],[_DoneFrom]],Tasks[[#This Row],[Start]]+ROUND((Tasks[[#This Row],[Finish]]-Tasks[[#This Row],[Start]]+1)*Tasks[[#This Row],[Progress]],0)-1)))</f>
        <v>0</v>
      </c>
      <c r="GP158" s="89" t="n">
        <f aca="false">IF(Tasks[[#This Row],[Task Name]]="",0,IF(OR(NOT(Tasks[[#This Row],[_IsLeaf]]=1),Tasks[[#This Row],[_IsMilestone]],N(Tasks[[#This Row],[Progress]])&gt;=1),0,IF(Tasks[[#This Row],[_DoneTo]]&gt;0,Tasks[[#This Row],[_DoneTo]]+1,Tasks[[#This Row],[Start]])))</f>
        <v>0</v>
      </c>
      <c r="GQ158" s="89" t="n">
        <f aca="false">IF(Tasks[[#This Row],[_RemFrom]]=0,0,Tasks[[#This Row],[Finish]])</f>
        <v>0</v>
      </c>
      <c r="GR158" s="88" t="b">
        <f aca="false">IF(Tasks[[#This Row],[Task Name]]="",FALSE(),OR(NOT(BaselineSet),N(Tasks[[#This Row],[Baseline Start]])&gt;0))</f>
        <v>0</v>
      </c>
      <c r="GS15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8" s="90" t="str">
        <f aca="false">IF(Tasks[[#This Row],[_IsLeaf]]=1,Tasks[[#This Row],[_Row]],"")</f>
        <v/>
      </c>
      <c r="GW158" s="90" t="str">
        <f aca="false">IFERROR(INDEX(Tasks[UID],SMALL(Tasks[_PickKey],Tasks[[#This Row],[_Row]]))&amp;" "&amp;INDEX(Tasks[Task Name],SMALL(Tasks[_PickKey],Tasks[[#This Row],[_Row]])),"")</f>
        <v/>
      </c>
      <c r="GX158" s="42" t="str">
        <f aca="false">IF(Tasks[[#This Row],[Task Name]]="","",IF(Tasks[[#This Row],[_IsSummary]],NETWORKDAYS.INTL(Tasks[[#This Row],[Start]],Tasks[[#This Row],[Finish]],WorkWeek,Holidays),N(Tasks[[#This Row],[_Days]])))</f>
        <v/>
      </c>
    </row>
    <row r="159" customFormat="false" ht="15" hidden="false" customHeight="false" outlineLevel="0" collapsed="false">
      <c r="A159" s="21" t="str">
        <f aca="false">IF(Tasks[[#This Row],[Task Name]]="","",COUNTA(Tasks[[#Headers],[Task Name]]:Tasks[[#This Row],[Task Name]])-1)</f>
        <v/>
      </c>
      <c r="B159" s="22" t="n">
        <v>167</v>
      </c>
      <c r="C159" s="22"/>
      <c r="D159" s="23"/>
      <c r="E159" s="22"/>
      <c r="F159" s="23"/>
      <c r="G159" s="22"/>
      <c r="H159" s="22"/>
      <c r="I159" s="23"/>
      <c r="J159" s="22"/>
      <c r="K159" s="22"/>
      <c r="L159" s="23"/>
      <c r="M159" s="22"/>
      <c r="N159" s="22"/>
      <c r="O159" s="23"/>
      <c r="P159" s="22"/>
      <c r="Q159" s="22"/>
      <c r="R159" s="23"/>
      <c r="S159" s="23"/>
      <c r="T159" s="83"/>
      <c r="U159" s="23"/>
      <c r="V159" s="83"/>
      <c r="W159" s="23"/>
      <c r="X159" s="83"/>
      <c r="Y159" s="23"/>
      <c r="Z159" s="83"/>
      <c r="AA159" s="23"/>
      <c r="AB159" s="23"/>
      <c r="AC159" s="7"/>
      <c r="AD159" s="7"/>
      <c r="AE159" s="62" t="str">
        <f aca="false">IF(Tasks[[#This Row],[Task Name]]="","",IF(Tasks[[#This Row],[_IsSummary]],MIN(INDEX(Tasks[_ShownFcstStart],Tasks[[#This Row],[_Row]]+1):INDEX(Tasks[_ShownFcstStart],Tasks[[#This Row],[_Row]]+Tasks[[#This Row],[_Descendants]])),Tasks[[#This Row],[_ShownFcstStart]]))</f>
        <v/>
      </c>
      <c r="AF159" s="62" t="str">
        <f aca="false">IF(Tasks[[#This Row],[Task Name]]="","",IF(Tasks[[#This Row],[_IsSummary]],MAX(INDEX(Tasks[_ShownFcstFinish],Tasks[[#This Row],[_Row]]+1):INDEX(Tasks[_ShownFcstFinish],Tasks[[#This Row],[_Row]]+Tasks[[#This Row],[_Descendants]])),Tasks[[#This Row],[_ShownFcstFinish]]))</f>
        <v/>
      </c>
      <c r="AG159" s="21" t="str">
        <f aca="false">""</f>
        <v/>
      </c>
      <c r="AH159" s="23"/>
      <c r="AI15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59" s="7"/>
      <c r="AK159" s="22"/>
      <c r="AL159" s="23"/>
      <c r="AM159" s="7"/>
      <c r="AN159" s="46" t="str">
        <f aca="false">IF(Tasks[[#This Row],[Task Name]]="","",IF(Tasks[[#This Row],[Finish]]&gt;=Tasks[[#This Row],[Planned Finish]],NETWORKDAYS.INTL(Tasks[[#This Row],[Planned Finish]],Tasks[[#This Row],[Finish]],WorkWeek,Holidays)-1,1-NETWORKDAYS.INTL(Tasks[[#This Row],[Finish]],Tasks[[#This Row],[Planned Finish]],WorkWeek,Holidays)))</f>
        <v/>
      </c>
      <c r="AO159" s="21" t="str">
        <f aca="false">IF(Tasks[[#This Row],[Task Name]]="","",IF(Tasks[[#This Row],[Progress]]&gt;=1,"Complete",IF(OR(N(Tasks[[#This Row],[Actual Start]])&gt;0,Tasks[[#This Row],[Progress]]&gt;0),IF(Tasks[[#This Row],[Finish Var]]&gt;0,"Behind","In Progress"),IF(Tasks[[#This Row],[Planned Start]]&lt;StatusDate,"Late Start","Not Started"))))</f>
        <v/>
      </c>
      <c r="AP159" s="21" t="str">
        <f aca="false">IF(Tasks[[#This Row],[Task Name]]="","",IF(IF(Tasks[[#This Row],[_IsSummary]],COUNTIF(INDEX(Tasks[_LeafCritical],Tasks[[#This Row],[_Row]]+1):INDEX(Tasks[_LeafCritical],Tasks[[#This Row],[_Row]]+Tasks[[#This Row],[_Descendants]]),TRUE())&gt;0,Tasks[[#This Row],[_LeafCritical]]),"Yes",""))</f>
        <v/>
      </c>
      <c r="AQ159" s="62" t="str">
        <f aca="false">IF(Tasks[[#This Row],[Task Name]]="","",IF(N(Tasks[[#This Row],[Baseline Start]])&gt;0,Tasks[[#This Row],[Baseline Start]],Tasks[[#This Row],[_CalcStart]]))</f>
        <v/>
      </c>
      <c r="AR159" s="62" t="str">
        <f aca="false">IF(Tasks[[#This Row],[Task Name]]="","",IF(N(Tasks[[#This Row],[Baseline Finish]])&gt;0,Tasks[[#This Row],[Baseline Finish]],Tasks[[#This Row],[_CalcFinish]]))</f>
        <v/>
      </c>
      <c r="AS159" s="46" t="str">
        <f aca="false">IF(Tasks[[#This Row],[Task Name]]="","",IF(Tasks[[#This Row],[Start]]&gt;=Tasks[[#This Row],[Planned Start]],NETWORKDAYS.INTL(Tasks[[#This Row],[Planned Start]],Tasks[[#This Row],[Start]],WorkWeek,Holidays)-1,1-NETWORKDAYS.INTL(Tasks[[#This Row],[Start]],Tasks[[#This Row],[Planned Start]],WorkWeek,Holidays)))</f>
        <v/>
      </c>
      <c r="AT159" s="62" t="str">
        <f aca="false">IF(Tasks[[#This Row],[Task Name]]="","",IF(Tasks[[#This Row],[_IsSummary]],MIN(INDEX(Tasks[_LeafLateStart],Tasks[[#This Row],[_Row]]+1):INDEX(Tasks[_LeafLateStart],Tasks[[#This Row],[_Row]]+Tasks[[#This Row],[_Descendants]])),Tasks[[#This Row],[_LeafLateStart]]))</f>
        <v/>
      </c>
      <c r="AU159" s="62" t="str">
        <f aca="false">IF(Tasks[[#This Row],[Task Name]]="","",IF(Tasks[[#This Row],[_IsSummary]],MAX(INDEX(Tasks[_LeafLateFinish],Tasks[[#This Row],[_Row]]+1):INDEX(Tasks[_LeafLateFinish],Tasks[[#This Row],[_Row]]+Tasks[[#This Row],[_Descendants]])),Tasks[[#This Row],[_LeafLateFinish]]))</f>
        <v/>
      </c>
      <c r="AV159" s="46" t="str">
        <f aca="false">IF(Tasks[[#This Row],[Task Name]]="","",IF(Tasks[[#This Row],[_IsSummary]],MIN(INDEX(Tasks[_LeafTotalSlack],Tasks[[#This Row],[_Row]]+1):INDEX(Tasks[_LeafTotalSlack],Tasks[[#This Row],[_Row]]+Tasks[[#This Row],[_Descendants]])),Tasks[[#This Row],[_LeafTotalSlack]]))</f>
        <v/>
      </c>
      <c r="AW15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4"/>
      <c r="BA15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t="str">
        <f aca="false">IF(Tasks[[#This Row],[Task Name]]="","",IF(Tasks[[#This Row],[_Level]]&lt;=OutlineShowLevel,"Yes","No"))</f>
        <v/>
      </c>
      <c r="BE159" s="85" t="str">
        <f aca="false">IF(Tasks[[#This Row],[Task Name]]="","",IF(Tasks[[#This Row],[_IsSummary]],SUM(INDEX(Tasks[_LeafTotalWork],Tasks[[#This Row],[_Row]]+1):INDEX(Tasks[_LeafTotalWork],Tasks[[#This Row],[_Row]]+Tasks[[#This Row],[_Descendants]])),Tasks[[#This Row],[_LeafTotalWork]]))</f>
        <v/>
      </c>
      <c r="BF159" s="23"/>
      <c r="BG15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t="str">
        <f aca="false">""</f>
        <v/>
      </c>
      <c r="BI159" s="86"/>
      <c r="BJ159" s="22"/>
      <c r="BK159" s="46" t="str">
        <f aca="false">IF(OR(Tasks[[#This Row],[Task Name]]="",Tasks[[#This Row],[Baseline Duration]]=""),"",Tasks[[#This Row],[_SpanDays]]-N(Tasks[[#This Row],[Baseline Duration]]))</f>
        <v/>
      </c>
      <c r="BL159" s="85" t="str">
        <f aca="false">IF(OR(Tasks[[#This Row],[Task Name]]="",Tasks[[#This Row],[Baseline Work]]=""),"",Tasks[[#This Row],[Work]]-N(Tasks[[#This Row],[Baseline Work]]))</f>
        <v/>
      </c>
      <c r="BM159" s="62" t="str">
        <f aca="false">IF(Tasks[[#This Row],[Task Name]]="","",IF(OR(TakeBaseline="Yes",N(Tasks[[#This Row],[Baseline Start]])=0),Tasks[[#This Row],[Start]],Tasks[[#This Row],[Baseline Start]]))</f>
        <v/>
      </c>
      <c r="BN159" s="62" t="str">
        <f aca="false">IF(Tasks[[#This Row],[Task Name]]="","",IF(OR(TakeBaseline="Yes",N(Tasks[[#This Row],[Baseline Finish]])=0),Tasks[[#This Row],[Finish]],Tasks[[#This Row],[Baseline Finish]]))</f>
        <v/>
      </c>
      <c r="BO159" s="21" t="str">
        <f aca="false">IF(Tasks[[#This Row],[Task Name]]="","",IF(OR(TakeBaseline="Yes",N(Tasks[[#This Row],[Baseline Duration]])=0),Tasks[[#This Row],[_SpanDays]],Tasks[[#This Row],[Baseline Duration]]))</f>
        <v/>
      </c>
      <c r="BP159" s="85" t="str">
        <f aca="false">IF(Tasks[[#This Row],[Task Name]]="","",IF(OR(TakeBaseline="Yes",N(Tasks[[#This Row],[Baseline Work]])=0),Tasks[[#This Row],[Work]],Tasks[[#This Row],[Baseline Work]]))</f>
        <v/>
      </c>
      <c r="BQ159" s="7"/>
      <c r="BR159" s="7"/>
      <c r="BS159" s="22"/>
      <c r="BT159" s="87"/>
      <c r="BU159" s="42" t="str">
        <f aca="false">IF(Tasks[[#This Row],[Task Name]]="","",MAX(1,N(Tasks[[#This Row],[Level]])))</f>
        <v/>
      </c>
      <c r="BV159" s="42" t="n">
        <f aca="false">ROW()-ROW(Tasks[[#Headers],[ID]])</f>
        <v>154</v>
      </c>
      <c r="BW159" s="42" t="n">
        <f aca="false">IF(OR(Tasks[[#This Row],[Task Name]]="",Tasks[[#This Row],[_Level]]&lt;=1),0,IFERROR(LOOKUP(2,1/(Tasks[[#Headers],[_Level]]:Tasks[[#This Row],[_Level]]=Tasks[[#This Row],[_Level]]-1),ROW(Tasks[[#Headers],[_Level]]:Tasks[[#This Row],[_Level]])),0))</f>
        <v>0</v>
      </c>
      <c r="BX159" s="42" t="n">
        <f aca="false">IFERROR(N(INDEX(Tasks[_Level],Tasks[[#This Row],[_Row]]+1)),0)</f>
        <v>0</v>
      </c>
      <c r="BY159" s="88" t="b">
        <f aca="false">AND(Tasks[[#This Row],[Task Name]]&lt;&gt;"",Tasks[[#This Row],[_NextLevel]]&gt;Tasks[[#This Row],[_Level]])</f>
        <v>0</v>
      </c>
      <c r="BZ159" s="42" t="n">
        <f aca="false">IF(Tasks[[#This Row],[_IsSummary]],COUNTIF(Tasks[WBS],Tasks[[#This Row],[WBS]]&amp;".*"),0)</f>
        <v>0</v>
      </c>
      <c r="CA159" s="42" t="n">
        <f aca="false">IF(AND(Tasks[[#This Row],[Task Name]]&lt;&gt;"",NOT(Tasks[[#This Row],[_IsSummary]])),1,0)</f>
        <v>0</v>
      </c>
      <c r="CB159" s="42" t="n">
        <f aca="false">IF(N(Tasks[[#This Row],[_Pred1UID]])=0,0,IFERROR(MATCH(Tasks[[#This Row],[_Pred1UID]],Tasks[UID],0),-1))</f>
        <v>0</v>
      </c>
      <c r="CC159" s="42" t="n">
        <f aca="false">IF(N(Tasks[[#This Row],[_Pred2UID]])=0,0,IFERROR(MATCH(Tasks[[#This Row],[_Pred2UID]],Tasks[UID],0),-1))</f>
        <v>0</v>
      </c>
      <c r="CD159" s="42" t="n">
        <f aca="false">IF(N(Tasks[[#This Row],[_Pred3UID]])=0,0,IFERROR(MATCH(Tasks[[#This Row],[_Pred3UID]],Tasks[UID],0),-1))</f>
        <v>0</v>
      </c>
      <c r="CE159" s="42" t="n">
        <f aca="false">IF(N(Tasks[[#This Row],[_Pred4UID]])=0,0,IFERROR(MATCH(Tasks[[#This Row],[_Pred4UID]],Tasks[UID],0),-1))</f>
        <v>0</v>
      </c>
      <c r="CF15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5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59" s="89" t="n">
        <f aca="false">IF(OR(Tasks[[#This Row],[_ConstraintCode]]=2,Tasks[[#This Row],[_ConstraintCode]]=3,Tasks[[#This Row],[_ConstraintCode]]=4,Tasks[[#This Row],[_ConstraintCode]]=6),Tasks[[#This Row],[_ConstraintStart]],0)</f>
        <v>0</v>
      </c>
      <c r="CI159" s="89" t="n">
        <f aca="false">IF(OR(Tasks[[#This Row],[_ConstraintCode]]=2,Tasks[[#This Row],[_ConstraintCode]]=3,Tasks[[#This Row],[_ConstraintCode]]=5,Tasks[[#This Row],[_ConstraintCode]]=7),Tasks[[#This Row],[_ConstraintStart]],2958465)</f>
        <v>2958465</v>
      </c>
      <c r="CJ15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59" s="89" t="str">
        <f aca="false">IF(NOT(Tasks[[#This Row],[_IsLeaf]]=1),"",IF(N(Tasks[[#This Row],[_Days]])&lt;=0,Tasks[[#This Row],[_LeafCalcStart]],WORKDAY.INTL(Tasks[[#This Row],[_LeafCalcStart]],Tasks[[#This Row],[_Days]]-1,WorkWeek,Holidays)))</f>
        <v/>
      </c>
      <c r="CL15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5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59" s="42" t="str">
        <f aca="false">IF(Tasks[[#This Row],[_Predecessors]]="","",TRIM(MID(SUBSTITUTE(SUBSTITUTE(SUBSTITUTE(UPPER(Tasks[[#This Row],[_Predecessors]]),";",",")," ",""),",",REPT(" ",99)),1,99)))</f>
        <v/>
      </c>
      <c r="CO159" s="42" t="str">
        <f aca="false">IF(Tasks[[#This Row],[_Pred1Text]]="","",IFERROR(VALUE(LEFT(Tasks[[#This Row],[_Pred1Text]],MIN(FIND("F",Tasks[[#This Row],[_Pred1Text]]&amp;"F"),FIND("S",Tasks[[#This Row],[_Pred1Text]]&amp;"S"),FIND("+",Tasks[[#This Row],[_Pred1Text]]&amp;"+"),FIND("-",Tasks[[#This Row],[_Pred1Text]]&amp;"-"))-1)),""))</f>
        <v/>
      </c>
      <c r="CP15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5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59" s="42" t="str">
        <f aca="false">IF(Tasks[[#This Row],[_Pred1Text]]="","",TRIM(MID(SUBSTITUTE(SUBSTITUTE(SUBSTITUTE(UPPER(Tasks[[#This Row],[_Predecessors]]),";",",")," ",""),",",REPT(" ",99)),100,99)))</f>
        <v/>
      </c>
      <c r="CS159" s="42" t="str">
        <f aca="false">IF(Tasks[[#This Row],[_Pred2Text]]="","",IFERROR(VALUE(LEFT(Tasks[[#This Row],[_Pred2Text]],MIN(FIND("F",Tasks[[#This Row],[_Pred2Text]]&amp;"F"),FIND("S",Tasks[[#This Row],[_Pred2Text]]&amp;"S"),FIND("+",Tasks[[#This Row],[_Pred2Text]]&amp;"+"),FIND("-",Tasks[[#This Row],[_Pred2Text]]&amp;"-"))-1)),""))</f>
        <v/>
      </c>
      <c r="CT15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5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59" s="42" t="str">
        <f aca="false">IF(Tasks[[#This Row],[_Pred2Text]]="","",TRIM(MID(SUBSTITUTE(SUBSTITUTE(SUBSTITUTE(UPPER(Tasks[[#This Row],[_Predecessors]]),";",",")," ",""),",",REPT(" ",99)),199,99)))</f>
        <v/>
      </c>
      <c r="CW159" s="42" t="str">
        <f aca="false">IF(Tasks[[#This Row],[_Pred3Text]]="","",IFERROR(VALUE(LEFT(Tasks[[#This Row],[_Pred3Text]],MIN(FIND("F",Tasks[[#This Row],[_Pred3Text]]&amp;"F"),FIND("S",Tasks[[#This Row],[_Pred3Text]]&amp;"S"),FIND("+",Tasks[[#This Row],[_Pred3Text]]&amp;"+"),FIND("-",Tasks[[#This Row],[_Pred3Text]]&amp;"-"))-1)),""))</f>
        <v/>
      </c>
      <c r="CX15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5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59" s="42" t="str">
        <f aca="false">IF(Tasks[[#This Row],[_Pred3Text]]="","",TRIM(MID(SUBSTITUTE(SUBSTITUTE(SUBSTITUTE(UPPER(Tasks[[#This Row],[_Predecessors]]),";",",")," ",""),",",REPT(" ",99)),298,99)))</f>
        <v/>
      </c>
      <c r="DA159" s="42" t="str">
        <f aca="false">IF(Tasks[[#This Row],[_Pred4Text]]="","",IFERROR(VALUE(LEFT(Tasks[[#This Row],[_Pred4Text]],MIN(FIND("F",Tasks[[#This Row],[_Pred4Text]]&amp;"F"),FIND("S",Tasks[[#This Row],[_Pred4Text]]&amp;"S"),FIND("+",Tasks[[#This Row],[_Pred4Text]]&amp;"+"),FIND("-",Tasks[[#This Row],[_Pred4Text]]&amp;"-"))-1)),""))</f>
        <v/>
      </c>
      <c r="DB15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5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59" s="42" t="str">
        <f aca="false">IF(OR(Tasks[[#This Row],[Task Name]]="",Tasks[[#This Row],[_Resources]]=""),"",TRIM(MID(SUBSTITUTE(Tasks[[#This Row],[_Resources]],",",REPT(" ",99)),1,99)))</f>
        <v/>
      </c>
      <c r="DE159" s="42" t="str">
        <f aca="false">IF(Tasks[[#This Row],[_Res1Text]]="","",TRIM(MID(SUBSTITUTE(Tasks[[#This Row],[_Resources]],",",REPT(" ",99)),100,99)))</f>
        <v/>
      </c>
      <c r="DF159" s="42" t="str">
        <f aca="false">IF(Tasks[[#This Row],[_Res2Text]]="","",TRIM(MID(SUBSTITUTE(Tasks[[#This Row],[_Resources]],",",REPT(" ",99)),199,99)))</f>
        <v/>
      </c>
      <c r="DG159" s="42" t="str">
        <f aca="false">IF(Tasks[[#This Row],[_Res3Text]]="","",TRIM(MID(SUBSTITUTE(Tasks[[#This Row],[_Resources]],",",REPT(" ",99)),298,99)))</f>
        <v/>
      </c>
      <c r="DH159" s="42" t="n">
        <f aca="false">IF(Tasks[[#This Row],[_Res1Text]]="",0,IFERROR(MATCH(TRIM(LEFT(Tasks[[#This Row],[_Res1Text]],FIND("[",Tasks[[#This Row],[_Res1Text]]&amp;"[")-1)),res_Name,0),IFERROR(MATCH(TRIM(LEFT(Tasks[[#This Row],[_Res1Text]],FIND("[",Tasks[[#This Row],[_Res1Text]]&amp;"[")-1)),res_Initials,0),0)))</f>
        <v>0</v>
      </c>
      <c r="DI159" s="42" t="n">
        <f aca="false">IF(Tasks[[#This Row],[_Res2Text]]="",0,IFERROR(MATCH(TRIM(LEFT(Tasks[[#This Row],[_Res2Text]],FIND("[",Tasks[[#This Row],[_Res2Text]]&amp;"[")-1)),res_Name,0),IFERROR(MATCH(TRIM(LEFT(Tasks[[#This Row],[_Res2Text]],FIND("[",Tasks[[#This Row],[_Res2Text]]&amp;"[")-1)),res_Initials,0),0)))</f>
        <v>0</v>
      </c>
      <c r="DJ159" s="42" t="n">
        <f aca="false">IF(Tasks[[#This Row],[_Res3Text]]="",0,IFERROR(MATCH(TRIM(LEFT(Tasks[[#This Row],[_Res3Text]],FIND("[",Tasks[[#This Row],[_Res3Text]]&amp;"[")-1)),res_Name,0),IFERROR(MATCH(TRIM(LEFT(Tasks[[#This Row],[_Res3Text]],FIND("[",Tasks[[#This Row],[_Res3Text]]&amp;"[")-1)),res_Initials,0),0)))</f>
        <v>0</v>
      </c>
      <c r="DK159" s="42" t="n">
        <f aca="false">IF(Tasks[[#This Row],[_Res4Text]]="",0,IFERROR(MATCH(TRIM(LEFT(Tasks[[#This Row],[_Res4Text]],FIND("[",Tasks[[#This Row],[_Res4Text]]&amp;"[")-1)),res_Name,0),IFERROR(MATCH(TRIM(LEFT(Tasks[[#This Row],[_Res4Text]],FIND("[",Tasks[[#This Row],[_Res4Text]]&amp;"[")-1)),res_Initials,0),0)))</f>
        <v>0</v>
      </c>
      <c r="DL159" s="42" t="str">
        <f aca="false">IF(Tasks[[#This Row],[_Res1Text]]="","",IF(Tasks[[#This Row],[_Res1Row]]&gt;0,INDEX(res_Name,Tasks[[#This Row],[_Res1Row]]),TRIM(LEFT(Tasks[[#This Row],[_Res1Text]],FIND("[",Tasks[[#This Row],[_Res1Text]]&amp;"[")-1))))</f>
        <v/>
      </c>
      <c r="DM15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59" s="42" t="n">
        <f aca="false">IF(NOT(Tasks[[#This Row],[_IsLeaf]]=1),0,(Tasks[[#This Row],[_Resource1]]&lt;&gt;"")+(Tasks[[#This Row],[_Res2]]&lt;&gt;"")+(Tasks[[#This Row],[_Res3]]&lt;&gt;"")+(Tasks[[#This Row],[_Res4]]&lt;&gt;""))</f>
        <v>0</v>
      </c>
      <c r="DO159" s="42" t="str">
        <f aca="false">IF(Tasks[[#This Row],[_Res2Text]]="","",IF(Tasks[[#This Row],[_Res2Row]]&gt;0,INDEX(res_Name,Tasks[[#This Row],[_Res2Row]]),TRIM(LEFT(Tasks[[#This Row],[_Res2Text]],FIND("[",Tasks[[#This Row],[_Res2Text]]&amp;"[")-1))))</f>
        <v/>
      </c>
      <c r="DP15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59" s="42" t="n">
        <f aca="false">IF(OR(NOT(Tasks[[#This Row],[_IsLeaf]]=1),Tasks[[#This Row],[_Res2Row]]=0),0,N(Tasks[[#This Row],[_Days]])*HoursPerDay*IF(Tasks[[#This Row],[_Res2Units]]="",DefaultUnits,Tasks[[#This Row],[_Res2Units]]))</f>
        <v>0</v>
      </c>
      <c r="DR159" s="42" t="n">
        <f aca="false">IF(AND(AND(Tasks[[#This Row],[_IsLeaf]]=1,Tasks[[#This Row],[_LeafTotalWork]]&gt;0),Tasks[[#This Row],[_Res2Work]]&gt;0),Tasks[[#This Row],[_Res2Work]]/(Tasks[[#This Row],[_FinishWorkday]]-Tasks[[#This Row],[_StartWorkday]]+1),0)</f>
        <v>0</v>
      </c>
      <c r="DS159" s="42" t="n">
        <f aca="false">Tasks[[#This Row],[_Res2WorkPerWD]]*MAX(0,Tasks[[#This Row],[_StartWorkday]]-1)</f>
        <v>0</v>
      </c>
      <c r="DT159" s="42" t="n">
        <f aca="false">Tasks[[#This Row],[_Res2Work]]*Tasks[[#This Row],[_LeafProgress]]</f>
        <v>0</v>
      </c>
      <c r="DU159" s="42" t="str">
        <f aca="false">IF(Tasks[[#This Row],[_Res3Text]]="","",IF(Tasks[[#This Row],[_Res3Row]]&gt;0,INDEX(res_Name,Tasks[[#This Row],[_Res3Row]]),TRIM(LEFT(Tasks[[#This Row],[_Res3Text]],FIND("[",Tasks[[#This Row],[_Res3Text]]&amp;"[")-1))))</f>
        <v/>
      </c>
      <c r="DV15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59" s="42" t="n">
        <f aca="false">IF(OR(NOT(Tasks[[#This Row],[_IsLeaf]]=1),Tasks[[#This Row],[_Res3Row]]=0),0,N(Tasks[[#This Row],[_Days]])*HoursPerDay*IF(Tasks[[#This Row],[_Res3Units]]="",DefaultUnits,Tasks[[#This Row],[_Res3Units]]))</f>
        <v>0</v>
      </c>
      <c r="DX159" s="42" t="n">
        <f aca="false">IF(AND(AND(Tasks[[#This Row],[_IsLeaf]]=1,Tasks[[#This Row],[_LeafTotalWork]]&gt;0),Tasks[[#This Row],[_Res3Work]]&gt;0),Tasks[[#This Row],[_Res3Work]]/(Tasks[[#This Row],[_FinishWorkday]]-Tasks[[#This Row],[_StartWorkday]]+1),0)</f>
        <v>0</v>
      </c>
      <c r="DY159" s="42" t="n">
        <f aca="false">Tasks[[#This Row],[_Res3WorkPerWD]]*MAX(0,Tasks[[#This Row],[_StartWorkday]]-1)</f>
        <v>0</v>
      </c>
      <c r="DZ159" s="42" t="n">
        <f aca="false">Tasks[[#This Row],[_Res3Work]]*Tasks[[#This Row],[_LeafProgress]]</f>
        <v>0</v>
      </c>
      <c r="EA159" s="42" t="str">
        <f aca="false">IF(Tasks[[#This Row],[_Res4Text]]="","",IF(Tasks[[#This Row],[_Res4Row]]&gt;0,INDEX(res_Name,Tasks[[#This Row],[_Res4Row]]),TRIM(LEFT(Tasks[[#This Row],[_Res4Text]],FIND("[",Tasks[[#This Row],[_Res4Text]]&amp;"[")-1))))</f>
        <v/>
      </c>
      <c r="EB15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59" s="42" t="n">
        <f aca="false">IF(OR(NOT(Tasks[[#This Row],[_IsLeaf]]=1),Tasks[[#This Row],[_Res4Row]]=0),0,N(Tasks[[#This Row],[_Days]])*HoursPerDay*IF(Tasks[[#This Row],[_Res4Units]]="",DefaultUnits,Tasks[[#This Row],[_Res4Units]]))</f>
        <v>0</v>
      </c>
      <c r="ED159" s="42" t="n">
        <f aca="false">IF(AND(AND(Tasks[[#This Row],[_IsLeaf]]=1,Tasks[[#This Row],[_LeafTotalWork]]&gt;0),Tasks[[#This Row],[_Res4Work]]&gt;0),Tasks[[#This Row],[_Res4Work]]/(Tasks[[#This Row],[_FinishWorkday]]-Tasks[[#This Row],[_StartWorkday]]+1),0)</f>
        <v>0</v>
      </c>
      <c r="EE159" s="42" t="n">
        <f aca="false">Tasks[[#This Row],[_Res4WorkPerWD]]*MAX(0,Tasks[[#This Row],[_StartWorkday]]-1)</f>
        <v>0</v>
      </c>
      <c r="EF159" s="42" t="n">
        <f aca="false">Tasks[[#This Row],[_Res4Work]]*Tasks[[#This Row],[_LeafProgress]]</f>
        <v>0</v>
      </c>
      <c r="EG159" s="42" t="n">
        <f aca="false">IF(ISNUMBER(Tasks[[#This Row],[% Complete]]),Tasks[[#This Row],[% Complete]],IF(Tasks[[#This Row],[Stage]]="",0,IFERROR(INDEX(stg_Pct,MATCH(Tasks[[#This Row],[Stage]],stg_Name,0)),0)))</f>
        <v>0</v>
      </c>
      <c r="EH159" s="42" t="n">
        <f aca="false">IF(NOT(Tasks[[#This Row],[_IsLeaf]]=1),0,IF(N(Tasks[[#This Row],[Actual Finish]])&gt;0,1,MIN(1,Tasks[[#This Row],[_Pct]])))</f>
        <v>0</v>
      </c>
      <c r="EI159" s="42" t="n">
        <f aca="false">IF(OR(NOT(Tasks[[#This Row],[_IsLeaf]]=1),Tasks[[#This Row],[_Res1Row]]=0),0,N(Tasks[[#This Row],[_Days]])*HoursPerDay*IF(Tasks[[#This Row],[_Units1]]="",DefaultUnits,Tasks[[#This Row],[_Units1]]))</f>
        <v>0</v>
      </c>
      <c r="EJ159" s="42" t="n">
        <f aca="false">Tasks[[#This Row],[_LeafWork]]+Tasks[[#This Row],[_Res2Work]]+Tasks[[#This Row],[_Res3Work]]+Tasks[[#This Row],[_Res4Work]]</f>
        <v>0</v>
      </c>
      <c r="EK15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5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5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5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5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5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5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5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59" s="42" t="n">
        <f aca="false">IF(NOT(Tasks[[#This Row],[_IsLeaf]]=1),0,MAX(_xlfn.MAXIFS(Tasks[_Row],Tasks[_Pred1UID],Tasks[[#This Row],[UID]]),_xlfn.MAXIFS(Tasks[_Row],Tasks[_Pred2UID],Tasks[[#This Row],[UID]]),_xlfn.MAXIFS(Tasks[_Row],Tasks[_Pred3UID],Tasks[[#This Row],[UID]]),_xlfn.MAXIFS(Tasks[_Row],Tasks[_Pred4UID],Tasks[[#This Row],[UID]])))</f>
        <v>0</v>
      </c>
      <c r="ET15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5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59" s="89" t="str">
        <f aca="false">IF(NOT(Tasks[[#This Row],[_IsLeaf]]=1),"",IF(N(Tasks[[#This Row],[_Days]])&lt;=0,Tasks[[#This Row],[_LeafLateFinish]],WORKDAY.INTL(Tasks[[#This Row],[_LeafLateFinish]],-(Tasks[[#This Row],[_Days]]-1),WorkWeek,Holidays)))</f>
        <v/>
      </c>
      <c r="EW15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59" s="88" t="b">
        <f aca="false">AND(Tasks[[#This Row],[_IsLeaf]]=1,Tasks[[#This Row],[_LeafProgress]]&lt;1,N(Tasks[[#This Row],[_LeafTotalSlack]])&lt;=CriticalSlackDays)</f>
        <v>0</v>
      </c>
      <c r="EY159" s="42" t="n">
        <f aca="false">IF(AND(Tasks[[#This Row],[_IsLeaf]]=1,Tasks[[#This Row],[_ConstraintCode]]=1,Tasks[[#This Row],[Mode]]&lt;&gt;"Manual",N(Tasks[[#This Row],[Actual Start]])=0),MAX(0,N(Tasks[[#This Row],[Free Slack]])),0)</f>
        <v>0</v>
      </c>
      <c r="EZ159" s="89" t="str">
        <f aca="false">IF(NOT(Tasks[[#This Row],[_IsLeaf]]=1),"",IF(Tasks[[#This Row],[_AlapShift]]=0,Tasks[[#This Row],[_LeafCalcStart]],WORKDAY.INTL(Tasks[[#This Row],[_LeafCalcStart]],Tasks[[#This Row],[_AlapShift]],WorkWeek,Holidays)))</f>
        <v/>
      </c>
      <c r="FA159" s="89" t="str">
        <f aca="false">IF(NOT(Tasks[[#This Row],[_IsLeaf]]=1),"",IF(Tasks[[#This Row],[_AlapShift]]=0,Tasks[[#This Row],[_LeafCalcFinish]],WORKDAY.INTL(Tasks[[#This Row],[_LeafCalcFinish]],Tasks[[#This Row],[_AlapShift]],WorkWeek,Holidays)))</f>
        <v/>
      </c>
      <c r="FB159" s="89" t="str">
        <f aca="false">IF(NOT(Tasks[[#This Row],[_IsLeaf]]=1),"",IF(Tasks[[#This Row],[_AlapShift]]=0,Tasks[[#This Row],[_LeafFcstStart]],WORKDAY.INTL(Tasks[[#This Row],[_LeafFcstStart]],Tasks[[#This Row],[_AlapShift]],WorkWeek,Holidays)))</f>
        <v/>
      </c>
      <c r="FC159" s="89" t="str">
        <f aca="false">IF(NOT(Tasks[[#This Row],[_IsLeaf]]=1),"",IF(Tasks[[#This Row],[_AlapShift]]=0,Tasks[[#This Row],[_LeafFcstFinish]],WORKDAY.INTL(Tasks[[#This Row],[_LeafFcstFinish]],Tasks[[#This Row],[_AlapShift]],WorkWeek,Holidays)))</f>
        <v/>
      </c>
      <c r="FD159" s="89" t="str">
        <f aca="false">IF(Tasks[[#This Row],[Task Name]]="","",IF(Tasks[[#This Row],[_IsSummary]],MIN(INDEX(Tasks[_ShownCalcStart],Tasks[[#This Row],[_Row]]+1):INDEX(Tasks[_ShownCalcStart],Tasks[[#This Row],[_Row]]+Tasks[[#This Row],[_Descendants]])),Tasks[[#This Row],[_ShownCalcStart]]))</f>
        <v/>
      </c>
      <c r="FE159" s="89" t="str">
        <f aca="false">IF(Tasks[[#This Row],[Task Name]]="","",IF(Tasks[[#This Row],[_IsSummary]],MAX(INDEX(Tasks[_ShownCalcFinish],Tasks[[#This Row],[_Row]]+1):INDEX(Tasks[_ShownCalcFinish],Tasks[[#This Row],[_Row]]+Tasks[[#This Row],[_Descendants]])),Tasks[[#This Row],[_ShownCalcFinish]]))</f>
        <v/>
      </c>
      <c r="FF15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5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5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5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5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5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5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5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5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5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5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5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59" s="42" t="n">
        <f aca="false">IF(AND(Tasks[[#This Row],[_IsLeaf]]=1,Tasks[[#This Row],[_LeafTotalWork]]&gt;0),NETWORKDAYS.INTL(ProjectStart,Tasks[[#This Row],[_ShownFcstStart]],WorkWeek,Holidays),0)</f>
        <v>0</v>
      </c>
      <c r="FS159" s="42" t="n">
        <f aca="false">IF(AND(Tasks[[#This Row],[_IsLeaf]]=1,Tasks[[#This Row],[_LeafTotalWork]]&gt;0),MAX(Tasks[[#This Row],[_StartWorkday]],NETWORKDAYS.INTL(ProjectStart,Tasks[[#This Row],[_ShownFcstFinish]],WorkWeek,Holidays)),0)</f>
        <v>0</v>
      </c>
      <c r="FT159" s="42" t="n">
        <f aca="false">IF(AND(Tasks[[#This Row],[_IsLeaf]]=1,Tasks[[#This Row],[_LeafTotalWork]]&gt;0),Tasks[[#This Row],[_LeafWork]]/(Tasks[[#This Row],[_FinishWorkday]]-Tasks[[#This Row],[_StartWorkday]]+1),0)</f>
        <v>0</v>
      </c>
      <c r="FU159" s="42" t="n">
        <f aca="false">Tasks[[#This Row],[_WorkPerWorkday]]*(Tasks[[#This Row],[_StartWorkday]]-1)</f>
        <v>-0</v>
      </c>
      <c r="FV159" s="42" t="n">
        <f aca="false">IF(Tasks[[#This Row],[_IsLeaf]]=1,MAX(N(Tasks[[#This Row],[_Days]]),0.1),0)</f>
        <v>0</v>
      </c>
      <c r="FW159" s="42" t="n">
        <f aca="false">Tasks[[#This Row],[_WeightDur]]*Tasks[[#This Row],[_LeafProgress]]</f>
        <v>0</v>
      </c>
      <c r="FX159" s="42" t="n">
        <f aca="false">Tasks[[#This Row],[_WeightDur]]*Tasks[[#This Row],[_PlannedPct]]</f>
        <v>0</v>
      </c>
      <c r="FY15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59" s="42" t="str">
        <f aca="false">IF(AND(Tasks[[#This Row],[_IsLeaf]]=1,N(Tasks[[#This Row],[_Days]])=0,Tasks[[#This Row],[_LeafProgress]]&lt;1),Tasks[[#This Row],[_ShownFcstFinish]]+Tasks[[#This Row],[_Row]]/100000,"")</f>
        <v/>
      </c>
      <c r="GA15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59" s="42" t="str">
        <f aca="false">IF(Tasks[[#This Row],[Task Name]]="","",LEFT(Tasks[[#This Row],[WBS]],FIND(".",Tasks[[#This Row],[WBS]]&amp;".")-1))</f>
        <v/>
      </c>
      <c r="GC159" s="42" t="str">
        <f aca="false">IF(AND(Tasks[[#This Row],[Task Name]]&lt;&gt;"",Tasks[[#This Row],[_Level]]=1),Tasks[[#This Row],[_Row]],"")</f>
        <v/>
      </c>
      <c r="GD159" s="42" t="str">
        <f aca="false">IF(AND(Tasks[[#This Row],[_IsLeaf]]=1,N(Tasks[[#This Row],[_Days]])=0),Tasks[[#This Row],[Planned Finish]]+Tasks[[#This Row],[_Row]]/100000,"")</f>
        <v/>
      </c>
      <c r="GE159" s="42" t="str">
        <f aca="false">IF(AND(Tasks[[#This Row],[_IsLeaf]]=1,Tasks[[#This Row],[_LeafProgress]]&lt;1,OR(N(Tasks[[#This Row],[Finish Var]])&gt;0,Tasks[[#This Row],[Status]]="Late Start")),MAX(0,Tasks[[#This Row],[Finish Var]])+1-Tasks[[#This Row],[_Row]]/1000000,"")</f>
        <v/>
      </c>
      <c r="GF159" s="42" t="str">
        <f aca="false">IF(AND(Tasks[[#This Row],[_IsLeaf]]=1,N(Tasks[[#This Row],[Actual Start]])=0,Tasks[[#This Row],[_ShownFcstStart]]&gt;=StatusDate,Tasks[[#This Row],[_ShownFcstStart]]&lt;=LookaheadEnd),Tasks[[#This Row],[_ShownFcstStart]]+Tasks[[#This Row],[_Row]]/100000,"")</f>
        <v/>
      </c>
      <c r="GG159" s="42" t="str">
        <f aca="false">IF(AND(Tasks[[#This Row],[_IsLeaf]]=1,Tasks[[#This Row],[_LeafProgress]]&lt;1,Tasks[[#This Row],[_ShownFcstFinish]]&gt;=StatusDate,Tasks[[#This Row],[_ShownFcstFinish]]&lt;=LookaheadEnd),Tasks[[#This Row],[_ShownFcstFinish]]+Tasks[[#This Row],[_Row]]/100000,"")</f>
        <v/>
      </c>
      <c r="GH159" s="42" t="str">
        <f aca="false">IF(Tasks[[#This Row],[_LeafCritical]],Tasks[[#This Row],[_ShownFcstStart]]+Tasks[[#This Row],[_Row]]/100000,"")</f>
        <v/>
      </c>
      <c r="GI159" s="42" t="n">
        <f aca="false">Tasks[[#This Row],[_LeafWork]]*Tasks[[#This Row],[_LeafProgress]]</f>
        <v>0</v>
      </c>
      <c r="GJ159" s="89" t="str">
        <f aca="false">IF(AND(Tasks[[#This Row],[_IsLeaf]]=1,Tasks[[#This Row],[_LeafProgress]]&gt;=1),IF(N(Tasks[[#This Row],[Actual Finish]])&gt;0,Tasks[[#This Row],[Actual Finish]],Tasks[[#This Row],[_ShownFcstFinish]]),"")</f>
        <v/>
      </c>
      <c r="GK159" s="42" t="n">
        <f aca="false">IF(Tasks[[#This Row],[_IsLeaf]]=1,N(Tasks[[#This Row],[Story Points]]),0)</f>
        <v>0</v>
      </c>
      <c r="GL159" s="42" t="str">
        <f aca="false">""</f>
        <v/>
      </c>
      <c r="GM159" s="88" t="b">
        <f aca="false">IF(Tasks[[#This Row],[Task Name]]="",FALSE(),AND(Tasks[[#This Row],[_IsLeaf]]=1,N(Tasks[[#This Row],[_Days]])=0))</f>
        <v>0</v>
      </c>
      <c r="GN159" s="89" t="n">
        <f aca="false">IF(Tasks[[#This Row],[Task Name]]="",0,IF(AND(Tasks[[#This Row],[_IsLeaf]]=1,NOT(Tasks[[#This Row],[_IsMilestone]]),N(Tasks[[#This Row],[Progress]])&gt;0),Tasks[[#This Row],[Start]],0))</f>
        <v>0</v>
      </c>
      <c r="GO159" s="89" t="n">
        <f aca="false">IF(Tasks[[#This Row],[_DoneFrom]]=0,0,IF(Tasks[[#This Row],[Progress]]&gt;=1,Tasks[[#This Row],[Finish]],MAX(Tasks[[#This Row],[_DoneFrom]],Tasks[[#This Row],[Start]]+ROUND((Tasks[[#This Row],[Finish]]-Tasks[[#This Row],[Start]]+1)*Tasks[[#This Row],[Progress]],0)-1)))</f>
        <v>0</v>
      </c>
      <c r="GP159" s="89" t="n">
        <f aca="false">IF(Tasks[[#This Row],[Task Name]]="",0,IF(OR(NOT(Tasks[[#This Row],[_IsLeaf]]=1),Tasks[[#This Row],[_IsMilestone]],N(Tasks[[#This Row],[Progress]])&gt;=1),0,IF(Tasks[[#This Row],[_DoneTo]]&gt;0,Tasks[[#This Row],[_DoneTo]]+1,Tasks[[#This Row],[Start]])))</f>
        <v>0</v>
      </c>
      <c r="GQ159" s="89" t="n">
        <f aca="false">IF(Tasks[[#This Row],[_RemFrom]]=0,0,Tasks[[#This Row],[Finish]])</f>
        <v>0</v>
      </c>
      <c r="GR159" s="88" t="b">
        <f aca="false">IF(Tasks[[#This Row],[Task Name]]="",FALSE(),OR(NOT(BaselineSet),N(Tasks[[#This Row],[Baseline Start]])&gt;0))</f>
        <v>0</v>
      </c>
      <c r="GS15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5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5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59" s="90" t="str">
        <f aca="false">IF(Tasks[[#This Row],[_IsLeaf]]=1,Tasks[[#This Row],[_Row]],"")</f>
        <v/>
      </c>
      <c r="GW159" s="90" t="str">
        <f aca="false">IFERROR(INDEX(Tasks[UID],SMALL(Tasks[_PickKey],Tasks[[#This Row],[_Row]]))&amp;" "&amp;INDEX(Tasks[Task Name],SMALL(Tasks[_PickKey],Tasks[[#This Row],[_Row]])),"")</f>
        <v/>
      </c>
      <c r="GX159" s="42" t="str">
        <f aca="false">IF(Tasks[[#This Row],[Task Name]]="","",IF(Tasks[[#This Row],[_IsSummary]],NETWORKDAYS.INTL(Tasks[[#This Row],[Start]],Tasks[[#This Row],[Finish]],WorkWeek,Holidays),N(Tasks[[#This Row],[_Days]])))</f>
        <v/>
      </c>
    </row>
    <row r="160" customFormat="false" ht="15" hidden="false" customHeight="false" outlineLevel="0" collapsed="false">
      <c r="A160" s="21" t="str">
        <f aca="false">IF(Tasks[[#This Row],[Task Name]]="","",COUNTA(Tasks[[#Headers],[Task Name]]:Tasks[[#This Row],[Task Name]])-1)</f>
        <v/>
      </c>
      <c r="B160" s="22" t="n">
        <v>168</v>
      </c>
      <c r="C160" s="22"/>
      <c r="D160" s="23"/>
      <c r="E160" s="22"/>
      <c r="F160" s="23"/>
      <c r="G160" s="22"/>
      <c r="H160" s="22"/>
      <c r="I160" s="23"/>
      <c r="J160" s="22"/>
      <c r="K160" s="22"/>
      <c r="L160" s="23"/>
      <c r="M160" s="22"/>
      <c r="N160" s="22"/>
      <c r="O160" s="23"/>
      <c r="P160" s="22"/>
      <c r="Q160" s="22"/>
      <c r="R160" s="23"/>
      <c r="S160" s="23"/>
      <c r="T160" s="83"/>
      <c r="U160" s="23"/>
      <c r="V160" s="83"/>
      <c r="W160" s="23"/>
      <c r="X160" s="83"/>
      <c r="Y160" s="23"/>
      <c r="Z160" s="83"/>
      <c r="AA160" s="23"/>
      <c r="AB160" s="23"/>
      <c r="AC160" s="7"/>
      <c r="AD160" s="7"/>
      <c r="AE160" s="62" t="str">
        <f aca="false">IF(Tasks[[#This Row],[Task Name]]="","",IF(Tasks[[#This Row],[_IsSummary]],MIN(INDEX(Tasks[_ShownFcstStart],Tasks[[#This Row],[_Row]]+1):INDEX(Tasks[_ShownFcstStart],Tasks[[#This Row],[_Row]]+Tasks[[#This Row],[_Descendants]])),Tasks[[#This Row],[_ShownFcstStart]]))</f>
        <v/>
      </c>
      <c r="AF160" s="62" t="str">
        <f aca="false">IF(Tasks[[#This Row],[Task Name]]="","",IF(Tasks[[#This Row],[_IsSummary]],MAX(INDEX(Tasks[_ShownFcstFinish],Tasks[[#This Row],[_Row]]+1):INDEX(Tasks[_ShownFcstFinish],Tasks[[#This Row],[_Row]]+Tasks[[#This Row],[_Descendants]])),Tasks[[#This Row],[_ShownFcstFinish]]))</f>
        <v/>
      </c>
      <c r="AG160" s="21" t="str">
        <f aca="false">""</f>
        <v/>
      </c>
      <c r="AH160" s="23"/>
      <c r="AI16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0" s="7"/>
      <c r="AK160" s="22"/>
      <c r="AL160" s="23"/>
      <c r="AM160" s="7"/>
      <c r="AN160" s="46" t="str">
        <f aca="false">IF(Tasks[[#This Row],[Task Name]]="","",IF(Tasks[[#This Row],[Finish]]&gt;=Tasks[[#This Row],[Planned Finish]],NETWORKDAYS.INTL(Tasks[[#This Row],[Planned Finish]],Tasks[[#This Row],[Finish]],WorkWeek,Holidays)-1,1-NETWORKDAYS.INTL(Tasks[[#This Row],[Finish]],Tasks[[#This Row],[Planned Finish]],WorkWeek,Holidays)))</f>
        <v/>
      </c>
      <c r="AO160" s="21" t="str">
        <f aca="false">IF(Tasks[[#This Row],[Task Name]]="","",IF(Tasks[[#This Row],[Progress]]&gt;=1,"Complete",IF(OR(N(Tasks[[#This Row],[Actual Start]])&gt;0,Tasks[[#This Row],[Progress]]&gt;0),IF(Tasks[[#This Row],[Finish Var]]&gt;0,"Behind","In Progress"),IF(Tasks[[#This Row],[Planned Start]]&lt;StatusDate,"Late Start","Not Started"))))</f>
        <v/>
      </c>
      <c r="AP160" s="21" t="str">
        <f aca="false">IF(Tasks[[#This Row],[Task Name]]="","",IF(IF(Tasks[[#This Row],[_IsSummary]],COUNTIF(INDEX(Tasks[_LeafCritical],Tasks[[#This Row],[_Row]]+1):INDEX(Tasks[_LeafCritical],Tasks[[#This Row],[_Row]]+Tasks[[#This Row],[_Descendants]]),TRUE())&gt;0,Tasks[[#This Row],[_LeafCritical]]),"Yes",""))</f>
        <v/>
      </c>
      <c r="AQ160" s="62" t="str">
        <f aca="false">IF(Tasks[[#This Row],[Task Name]]="","",IF(N(Tasks[[#This Row],[Baseline Start]])&gt;0,Tasks[[#This Row],[Baseline Start]],Tasks[[#This Row],[_CalcStart]]))</f>
        <v/>
      </c>
      <c r="AR160" s="62" t="str">
        <f aca="false">IF(Tasks[[#This Row],[Task Name]]="","",IF(N(Tasks[[#This Row],[Baseline Finish]])&gt;0,Tasks[[#This Row],[Baseline Finish]],Tasks[[#This Row],[_CalcFinish]]))</f>
        <v/>
      </c>
      <c r="AS160" s="46" t="str">
        <f aca="false">IF(Tasks[[#This Row],[Task Name]]="","",IF(Tasks[[#This Row],[Start]]&gt;=Tasks[[#This Row],[Planned Start]],NETWORKDAYS.INTL(Tasks[[#This Row],[Planned Start]],Tasks[[#This Row],[Start]],WorkWeek,Holidays)-1,1-NETWORKDAYS.INTL(Tasks[[#This Row],[Start]],Tasks[[#This Row],[Planned Start]],WorkWeek,Holidays)))</f>
        <v/>
      </c>
      <c r="AT160" s="62" t="str">
        <f aca="false">IF(Tasks[[#This Row],[Task Name]]="","",IF(Tasks[[#This Row],[_IsSummary]],MIN(INDEX(Tasks[_LeafLateStart],Tasks[[#This Row],[_Row]]+1):INDEX(Tasks[_LeafLateStart],Tasks[[#This Row],[_Row]]+Tasks[[#This Row],[_Descendants]])),Tasks[[#This Row],[_LeafLateStart]]))</f>
        <v/>
      </c>
      <c r="AU160" s="62" t="str">
        <f aca="false">IF(Tasks[[#This Row],[Task Name]]="","",IF(Tasks[[#This Row],[_IsSummary]],MAX(INDEX(Tasks[_LeafLateFinish],Tasks[[#This Row],[_Row]]+1):INDEX(Tasks[_LeafLateFinish],Tasks[[#This Row],[_Row]]+Tasks[[#This Row],[_Descendants]])),Tasks[[#This Row],[_LeafLateFinish]]))</f>
        <v/>
      </c>
      <c r="AV160" s="46" t="str">
        <f aca="false">IF(Tasks[[#This Row],[Task Name]]="","",IF(Tasks[[#This Row],[_IsSummary]],MIN(INDEX(Tasks[_LeafTotalSlack],Tasks[[#This Row],[_Row]]+1):INDEX(Tasks[_LeafTotalSlack],Tasks[[#This Row],[_Row]]+Tasks[[#This Row],[_Descendants]])),Tasks[[#This Row],[_LeafTotalSlack]]))</f>
        <v/>
      </c>
      <c r="AW16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4"/>
      <c r="BA16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t="str">
        <f aca="false">IF(Tasks[[#This Row],[Task Name]]="","",IF(Tasks[[#This Row],[_Level]]&lt;=OutlineShowLevel,"Yes","No"))</f>
        <v/>
      </c>
      <c r="BE160" s="85" t="str">
        <f aca="false">IF(Tasks[[#This Row],[Task Name]]="","",IF(Tasks[[#This Row],[_IsSummary]],SUM(INDEX(Tasks[_LeafTotalWork],Tasks[[#This Row],[_Row]]+1):INDEX(Tasks[_LeafTotalWork],Tasks[[#This Row],[_Row]]+Tasks[[#This Row],[_Descendants]])),Tasks[[#This Row],[_LeafTotalWork]]))</f>
        <v/>
      </c>
      <c r="BF160" s="23"/>
      <c r="BG16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t="str">
        <f aca="false">""</f>
        <v/>
      </c>
      <c r="BI160" s="86"/>
      <c r="BJ160" s="22"/>
      <c r="BK160" s="46" t="str">
        <f aca="false">IF(OR(Tasks[[#This Row],[Task Name]]="",Tasks[[#This Row],[Baseline Duration]]=""),"",Tasks[[#This Row],[_SpanDays]]-N(Tasks[[#This Row],[Baseline Duration]]))</f>
        <v/>
      </c>
      <c r="BL160" s="85" t="str">
        <f aca="false">IF(OR(Tasks[[#This Row],[Task Name]]="",Tasks[[#This Row],[Baseline Work]]=""),"",Tasks[[#This Row],[Work]]-N(Tasks[[#This Row],[Baseline Work]]))</f>
        <v/>
      </c>
      <c r="BM160" s="62" t="str">
        <f aca="false">IF(Tasks[[#This Row],[Task Name]]="","",IF(OR(TakeBaseline="Yes",N(Tasks[[#This Row],[Baseline Start]])=0),Tasks[[#This Row],[Start]],Tasks[[#This Row],[Baseline Start]]))</f>
        <v/>
      </c>
      <c r="BN160" s="62" t="str">
        <f aca="false">IF(Tasks[[#This Row],[Task Name]]="","",IF(OR(TakeBaseline="Yes",N(Tasks[[#This Row],[Baseline Finish]])=0),Tasks[[#This Row],[Finish]],Tasks[[#This Row],[Baseline Finish]]))</f>
        <v/>
      </c>
      <c r="BO160" s="21" t="str">
        <f aca="false">IF(Tasks[[#This Row],[Task Name]]="","",IF(OR(TakeBaseline="Yes",N(Tasks[[#This Row],[Baseline Duration]])=0),Tasks[[#This Row],[_SpanDays]],Tasks[[#This Row],[Baseline Duration]]))</f>
        <v/>
      </c>
      <c r="BP160" s="85" t="str">
        <f aca="false">IF(Tasks[[#This Row],[Task Name]]="","",IF(OR(TakeBaseline="Yes",N(Tasks[[#This Row],[Baseline Work]])=0),Tasks[[#This Row],[Work]],Tasks[[#This Row],[Baseline Work]]))</f>
        <v/>
      </c>
      <c r="BQ160" s="7"/>
      <c r="BR160" s="7"/>
      <c r="BS160" s="22"/>
      <c r="BT160" s="87"/>
      <c r="BU160" s="42" t="str">
        <f aca="false">IF(Tasks[[#This Row],[Task Name]]="","",MAX(1,N(Tasks[[#This Row],[Level]])))</f>
        <v/>
      </c>
      <c r="BV160" s="42" t="n">
        <f aca="false">ROW()-ROW(Tasks[[#Headers],[ID]])</f>
        <v>155</v>
      </c>
      <c r="BW160" s="42" t="n">
        <f aca="false">IF(OR(Tasks[[#This Row],[Task Name]]="",Tasks[[#This Row],[_Level]]&lt;=1),0,IFERROR(LOOKUP(2,1/(Tasks[[#Headers],[_Level]]:Tasks[[#This Row],[_Level]]=Tasks[[#This Row],[_Level]]-1),ROW(Tasks[[#Headers],[_Level]]:Tasks[[#This Row],[_Level]])),0))</f>
        <v>0</v>
      </c>
      <c r="BX160" s="42" t="n">
        <f aca="false">IFERROR(N(INDEX(Tasks[_Level],Tasks[[#This Row],[_Row]]+1)),0)</f>
        <v>0</v>
      </c>
      <c r="BY160" s="88" t="b">
        <f aca="false">AND(Tasks[[#This Row],[Task Name]]&lt;&gt;"",Tasks[[#This Row],[_NextLevel]]&gt;Tasks[[#This Row],[_Level]])</f>
        <v>0</v>
      </c>
      <c r="BZ160" s="42" t="n">
        <f aca="false">IF(Tasks[[#This Row],[_IsSummary]],COUNTIF(Tasks[WBS],Tasks[[#This Row],[WBS]]&amp;".*"),0)</f>
        <v>0</v>
      </c>
      <c r="CA160" s="42" t="n">
        <f aca="false">IF(AND(Tasks[[#This Row],[Task Name]]&lt;&gt;"",NOT(Tasks[[#This Row],[_IsSummary]])),1,0)</f>
        <v>0</v>
      </c>
      <c r="CB160" s="42" t="n">
        <f aca="false">IF(N(Tasks[[#This Row],[_Pred1UID]])=0,0,IFERROR(MATCH(Tasks[[#This Row],[_Pred1UID]],Tasks[UID],0),-1))</f>
        <v>0</v>
      </c>
      <c r="CC160" s="42" t="n">
        <f aca="false">IF(N(Tasks[[#This Row],[_Pred2UID]])=0,0,IFERROR(MATCH(Tasks[[#This Row],[_Pred2UID]],Tasks[UID],0),-1))</f>
        <v>0</v>
      </c>
      <c r="CD160" s="42" t="n">
        <f aca="false">IF(N(Tasks[[#This Row],[_Pred3UID]])=0,0,IFERROR(MATCH(Tasks[[#This Row],[_Pred3UID]],Tasks[UID],0),-1))</f>
        <v>0</v>
      </c>
      <c r="CE160" s="42" t="n">
        <f aca="false">IF(N(Tasks[[#This Row],[_Pred4UID]])=0,0,IFERROR(MATCH(Tasks[[#This Row],[_Pred4UID]],Tasks[UID],0),-1))</f>
        <v>0</v>
      </c>
      <c r="CF16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0" s="89" t="n">
        <f aca="false">IF(OR(Tasks[[#This Row],[_ConstraintCode]]=2,Tasks[[#This Row],[_ConstraintCode]]=3,Tasks[[#This Row],[_ConstraintCode]]=4,Tasks[[#This Row],[_ConstraintCode]]=6),Tasks[[#This Row],[_ConstraintStart]],0)</f>
        <v>0</v>
      </c>
      <c r="CI160" s="89" t="n">
        <f aca="false">IF(OR(Tasks[[#This Row],[_ConstraintCode]]=2,Tasks[[#This Row],[_ConstraintCode]]=3,Tasks[[#This Row],[_ConstraintCode]]=5,Tasks[[#This Row],[_ConstraintCode]]=7),Tasks[[#This Row],[_ConstraintStart]],2958465)</f>
        <v>2958465</v>
      </c>
      <c r="CJ16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0" s="89" t="str">
        <f aca="false">IF(NOT(Tasks[[#This Row],[_IsLeaf]]=1),"",IF(N(Tasks[[#This Row],[_Days]])&lt;=0,Tasks[[#This Row],[_LeafCalcStart]],WORKDAY.INTL(Tasks[[#This Row],[_LeafCalcStart]],Tasks[[#This Row],[_Days]]-1,WorkWeek,Holidays)))</f>
        <v/>
      </c>
      <c r="CL16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0" s="42" t="str">
        <f aca="false">IF(Tasks[[#This Row],[_Predecessors]]="","",TRIM(MID(SUBSTITUTE(SUBSTITUTE(SUBSTITUTE(UPPER(Tasks[[#This Row],[_Predecessors]]),";",",")," ",""),",",REPT(" ",99)),1,99)))</f>
        <v/>
      </c>
      <c r="CO160" s="42" t="str">
        <f aca="false">IF(Tasks[[#This Row],[_Pred1Text]]="","",IFERROR(VALUE(LEFT(Tasks[[#This Row],[_Pred1Text]],MIN(FIND("F",Tasks[[#This Row],[_Pred1Text]]&amp;"F"),FIND("S",Tasks[[#This Row],[_Pred1Text]]&amp;"S"),FIND("+",Tasks[[#This Row],[_Pred1Text]]&amp;"+"),FIND("-",Tasks[[#This Row],[_Pred1Text]]&amp;"-"))-1)),""))</f>
        <v/>
      </c>
      <c r="CP16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0" s="42" t="str">
        <f aca="false">IF(Tasks[[#This Row],[_Pred1Text]]="","",TRIM(MID(SUBSTITUTE(SUBSTITUTE(SUBSTITUTE(UPPER(Tasks[[#This Row],[_Predecessors]]),";",",")," ",""),",",REPT(" ",99)),100,99)))</f>
        <v/>
      </c>
      <c r="CS160" s="42" t="str">
        <f aca="false">IF(Tasks[[#This Row],[_Pred2Text]]="","",IFERROR(VALUE(LEFT(Tasks[[#This Row],[_Pred2Text]],MIN(FIND("F",Tasks[[#This Row],[_Pred2Text]]&amp;"F"),FIND("S",Tasks[[#This Row],[_Pred2Text]]&amp;"S"),FIND("+",Tasks[[#This Row],[_Pred2Text]]&amp;"+"),FIND("-",Tasks[[#This Row],[_Pred2Text]]&amp;"-"))-1)),""))</f>
        <v/>
      </c>
      <c r="CT16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0" s="42" t="str">
        <f aca="false">IF(Tasks[[#This Row],[_Pred2Text]]="","",TRIM(MID(SUBSTITUTE(SUBSTITUTE(SUBSTITUTE(UPPER(Tasks[[#This Row],[_Predecessors]]),";",",")," ",""),",",REPT(" ",99)),199,99)))</f>
        <v/>
      </c>
      <c r="CW160" s="42" t="str">
        <f aca="false">IF(Tasks[[#This Row],[_Pred3Text]]="","",IFERROR(VALUE(LEFT(Tasks[[#This Row],[_Pred3Text]],MIN(FIND("F",Tasks[[#This Row],[_Pred3Text]]&amp;"F"),FIND("S",Tasks[[#This Row],[_Pred3Text]]&amp;"S"),FIND("+",Tasks[[#This Row],[_Pred3Text]]&amp;"+"),FIND("-",Tasks[[#This Row],[_Pred3Text]]&amp;"-"))-1)),""))</f>
        <v/>
      </c>
      <c r="CX16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0" s="42" t="str">
        <f aca="false">IF(Tasks[[#This Row],[_Pred3Text]]="","",TRIM(MID(SUBSTITUTE(SUBSTITUTE(SUBSTITUTE(UPPER(Tasks[[#This Row],[_Predecessors]]),";",",")," ",""),",",REPT(" ",99)),298,99)))</f>
        <v/>
      </c>
      <c r="DA160" s="42" t="str">
        <f aca="false">IF(Tasks[[#This Row],[_Pred4Text]]="","",IFERROR(VALUE(LEFT(Tasks[[#This Row],[_Pred4Text]],MIN(FIND("F",Tasks[[#This Row],[_Pred4Text]]&amp;"F"),FIND("S",Tasks[[#This Row],[_Pred4Text]]&amp;"S"),FIND("+",Tasks[[#This Row],[_Pred4Text]]&amp;"+"),FIND("-",Tasks[[#This Row],[_Pred4Text]]&amp;"-"))-1)),""))</f>
        <v/>
      </c>
      <c r="DB16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0" s="42" t="str">
        <f aca="false">IF(OR(Tasks[[#This Row],[Task Name]]="",Tasks[[#This Row],[_Resources]]=""),"",TRIM(MID(SUBSTITUTE(Tasks[[#This Row],[_Resources]],",",REPT(" ",99)),1,99)))</f>
        <v/>
      </c>
      <c r="DE160" s="42" t="str">
        <f aca="false">IF(Tasks[[#This Row],[_Res1Text]]="","",TRIM(MID(SUBSTITUTE(Tasks[[#This Row],[_Resources]],",",REPT(" ",99)),100,99)))</f>
        <v/>
      </c>
      <c r="DF160" s="42" t="str">
        <f aca="false">IF(Tasks[[#This Row],[_Res2Text]]="","",TRIM(MID(SUBSTITUTE(Tasks[[#This Row],[_Resources]],",",REPT(" ",99)),199,99)))</f>
        <v/>
      </c>
      <c r="DG160" s="42" t="str">
        <f aca="false">IF(Tasks[[#This Row],[_Res3Text]]="","",TRIM(MID(SUBSTITUTE(Tasks[[#This Row],[_Resources]],",",REPT(" ",99)),298,99)))</f>
        <v/>
      </c>
      <c r="DH160" s="42" t="n">
        <f aca="false">IF(Tasks[[#This Row],[_Res1Text]]="",0,IFERROR(MATCH(TRIM(LEFT(Tasks[[#This Row],[_Res1Text]],FIND("[",Tasks[[#This Row],[_Res1Text]]&amp;"[")-1)),res_Name,0),IFERROR(MATCH(TRIM(LEFT(Tasks[[#This Row],[_Res1Text]],FIND("[",Tasks[[#This Row],[_Res1Text]]&amp;"[")-1)),res_Initials,0),0)))</f>
        <v>0</v>
      </c>
      <c r="DI160" s="42" t="n">
        <f aca="false">IF(Tasks[[#This Row],[_Res2Text]]="",0,IFERROR(MATCH(TRIM(LEFT(Tasks[[#This Row],[_Res2Text]],FIND("[",Tasks[[#This Row],[_Res2Text]]&amp;"[")-1)),res_Name,0),IFERROR(MATCH(TRIM(LEFT(Tasks[[#This Row],[_Res2Text]],FIND("[",Tasks[[#This Row],[_Res2Text]]&amp;"[")-1)),res_Initials,0),0)))</f>
        <v>0</v>
      </c>
      <c r="DJ160" s="42" t="n">
        <f aca="false">IF(Tasks[[#This Row],[_Res3Text]]="",0,IFERROR(MATCH(TRIM(LEFT(Tasks[[#This Row],[_Res3Text]],FIND("[",Tasks[[#This Row],[_Res3Text]]&amp;"[")-1)),res_Name,0),IFERROR(MATCH(TRIM(LEFT(Tasks[[#This Row],[_Res3Text]],FIND("[",Tasks[[#This Row],[_Res3Text]]&amp;"[")-1)),res_Initials,0),0)))</f>
        <v>0</v>
      </c>
      <c r="DK160" s="42" t="n">
        <f aca="false">IF(Tasks[[#This Row],[_Res4Text]]="",0,IFERROR(MATCH(TRIM(LEFT(Tasks[[#This Row],[_Res4Text]],FIND("[",Tasks[[#This Row],[_Res4Text]]&amp;"[")-1)),res_Name,0),IFERROR(MATCH(TRIM(LEFT(Tasks[[#This Row],[_Res4Text]],FIND("[",Tasks[[#This Row],[_Res4Text]]&amp;"[")-1)),res_Initials,0),0)))</f>
        <v>0</v>
      </c>
      <c r="DL160" s="42" t="str">
        <f aca="false">IF(Tasks[[#This Row],[_Res1Text]]="","",IF(Tasks[[#This Row],[_Res1Row]]&gt;0,INDEX(res_Name,Tasks[[#This Row],[_Res1Row]]),TRIM(LEFT(Tasks[[#This Row],[_Res1Text]],FIND("[",Tasks[[#This Row],[_Res1Text]]&amp;"[")-1))))</f>
        <v/>
      </c>
      <c r="DM16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0" s="42" t="n">
        <f aca="false">IF(NOT(Tasks[[#This Row],[_IsLeaf]]=1),0,(Tasks[[#This Row],[_Resource1]]&lt;&gt;"")+(Tasks[[#This Row],[_Res2]]&lt;&gt;"")+(Tasks[[#This Row],[_Res3]]&lt;&gt;"")+(Tasks[[#This Row],[_Res4]]&lt;&gt;""))</f>
        <v>0</v>
      </c>
      <c r="DO160" s="42" t="str">
        <f aca="false">IF(Tasks[[#This Row],[_Res2Text]]="","",IF(Tasks[[#This Row],[_Res2Row]]&gt;0,INDEX(res_Name,Tasks[[#This Row],[_Res2Row]]),TRIM(LEFT(Tasks[[#This Row],[_Res2Text]],FIND("[",Tasks[[#This Row],[_Res2Text]]&amp;"[")-1))))</f>
        <v/>
      </c>
      <c r="DP16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0" s="42" t="n">
        <f aca="false">IF(OR(NOT(Tasks[[#This Row],[_IsLeaf]]=1),Tasks[[#This Row],[_Res2Row]]=0),0,N(Tasks[[#This Row],[_Days]])*HoursPerDay*IF(Tasks[[#This Row],[_Res2Units]]="",DefaultUnits,Tasks[[#This Row],[_Res2Units]]))</f>
        <v>0</v>
      </c>
      <c r="DR160" s="42" t="n">
        <f aca="false">IF(AND(AND(Tasks[[#This Row],[_IsLeaf]]=1,Tasks[[#This Row],[_LeafTotalWork]]&gt;0),Tasks[[#This Row],[_Res2Work]]&gt;0),Tasks[[#This Row],[_Res2Work]]/(Tasks[[#This Row],[_FinishWorkday]]-Tasks[[#This Row],[_StartWorkday]]+1),0)</f>
        <v>0</v>
      </c>
      <c r="DS160" s="42" t="n">
        <f aca="false">Tasks[[#This Row],[_Res2WorkPerWD]]*MAX(0,Tasks[[#This Row],[_StartWorkday]]-1)</f>
        <v>0</v>
      </c>
      <c r="DT160" s="42" t="n">
        <f aca="false">Tasks[[#This Row],[_Res2Work]]*Tasks[[#This Row],[_LeafProgress]]</f>
        <v>0</v>
      </c>
      <c r="DU160" s="42" t="str">
        <f aca="false">IF(Tasks[[#This Row],[_Res3Text]]="","",IF(Tasks[[#This Row],[_Res3Row]]&gt;0,INDEX(res_Name,Tasks[[#This Row],[_Res3Row]]),TRIM(LEFT(Tasks[[#This Row],[_Res3Text]],FIND("[",Tasks[[#This Row],[_Res3Text]]&amp;"[")-1))))</f>
        <v/>
      </c>
      <c r="DV16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0" s="42" t="n">
        <f aca="false">IF(OR(NOT(Tasks[[#This Row],[_IsLeaf]]=1),Tasks[[#This Row],[_Res3Row]]=0),0,N(Tasks[[#This Row],[_Days]])*HoursPerDay*IF(Tasks[[#This Row],[_Res3Units]]="",DefaultUnits,Tasks[[#This Row],[_Res3Units]]))</f>
        <v>0</v>
      </c>
      <c r="DX160" s="42" t="n">
        <f aca="false">IF(AND(AND(Tasks[[#This Row],[_IsLeaf]]=1,Tasks[[#This Row],[_LeafTotalWork]]&gt;0),Tasks[[#This Row],[_Res3Work]]&gt;0),Tasks[[#This Row],[_Res3Work]]/(Tasks[[#This Row],[_FinishWorkday]]-Tasks[[#This Row],[_StartWorkday]]+1),0)</f>
        <v>0</v>
      </c>
      <c r="DY160" s="42" t="n">
        <f aca="false">Tasks[[#This Row],[_Res3WorkPerWD]]*MAX(0,Tasks[[#This Row],[_StartWorkday]]-1)</f>
        <v>0</v>
      </c>
      <c r="DZ160" s="42" t="n">
        <f aca="false">Tasks[[#This Row],[_Res3Work]]*Tasks[[#This Row],[_LeafProgress]]</f>
        <v>0</v>
      </c>
      <c r="EA160" s="42" t="str">
        <f aca="false">IF(Tasks[[#This Row],[_Res4Text]]="","",IF(Tasks[[#This Row],[_Res4Row]]&gt;0,INDEX(res_Name,Tasks[[#This Row],[_Res4Row]]),TRIM(LEFT(Tasks[[#This Row],[_Res4Text]],FIND("[",Tasks[[#This Row],[_Res4Text]]&amp;"[")-1))))</f>
        <v/>
      </c>
      <c r="EB16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0" s="42" t="n">
        <f aca="false">IF(OR(NOT(Tasks[[#This Row],[_IsLeaf]]=1),Tasks[[#This Row],[_Res4Row]]=0),0,N(Tasks[[#This Row],[_Days]])*HoursPerDay*IF(Tasks[[#This Row],[_Res4Units]]="",DefaultUnits,Tasks[[#This Row],[_Res4Units]]))</f>
        <v>0</v>
      </c>
      <c r="ED160" s="42" t="n">
        <f aca="false">IF(AND(AND(Tasks[[#This Row],[_IsLeaf]]=1,Tasks[[#This Row],[_LeafTotalWork]]&gt;0),Tasks[[#This Row],[_Res4Work]]&gt;0),Tasks[[#This Row],[_Res4Work]]/(Tasks[[#This Row],[_FinishWorkday]]-Tasks[[#This Row],[_StartWorkday]]+1),0)</f>
        <v>0</v>
      </c>
      <c r="EE160" s="42" t="n">
        <f aca="false">Tasks[[#This Row],[_Res4WorkPerWD]]*MAX(0,Tasks[[#This Row],[_StartWorkday]]-1)</f>
        <v>0</v>
      </c>
      <c r="EF160" s="42" t="n">
        <f aca="false">Tasks[[#This Row],[_Res4Work]]*Tasks[[#This Row],[_LeafProgress]]</f>
        <v>0</v>
      </c>
      <c r="EG160" s="42" t="n">
        <f aca="false">IF(ISNUMBER(Tasks[[#This Row],[% Complete]]),Tasks[[#This Row],[% Complete]],IF(Tasks[[#This Row],[Stage]]="",0,IFERROR(INDEX(stg_Pct,MATCH(Tasks[[#This Row],[Stage]],stg_Name,0)),0)))</f>
        <v>0</v>
      </c>
      <c r="EH160" s="42" t="n">
        <f aca="false">IF(NOT(Tasks[[#This Row],[_IsLeaf]]=1),0,IF(N(Tasks[[#This Row],[Actual Finish]])&gt;0,1,MIN(1,Tasks[[#This Row],[_Pct]])))</f>
        <v>0</v>
      </c>
      <c r="EI160" s="42" t="n">
        <f aca="false">IF(OR(NOT(Tasks[[#This Row],[_IsLeaf]]=1),Tasks[[#This Row],[_Res1Row]]=0),0,N(Tasks[[#This Row],[_Days]])*HoursPerDay*IF(Tasks[[#This Row],[_Units1]]="",DefaultUnits,Tasks[[#This Row],[_Units1]]))</f>
        <v>0</v>
      </c>
      <c r="EJ160" s="42" t="n">
        <f aca="false">Tasks[[#This Row],[_LeafWork]]+Tasks[[#This Row],[_Res2Work]]+Tasks[[#This Row],[_Res3Work]]+Tasks[[#This Row],[_Res4Work]]</f>
        <v>0</v>
      </c>
      <c r="EK16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0" s="42" t="n">
        <f aca="false">IF(NOT(Tasks[[#This Row],[_IsLeaf]]=1),0,MAX(_xlfn.MAXIFS(Tasks[_Row],Tasks[_Pred1UID],Tasks[[#This Row],[UID]]),_xlfn.MAXIFS(Tasks[_Row],Tasks[_Pred2UID],Tasks[[#This Row],[UID]]),_xlfn.MAXIFS(Tasks[_Row],Tasks[_Pred3UID],Tasks[[#This Row],[UID]]),_xlfn.MAXIFS(Tasks[_Row],Tasks[_Pred4UID],Tasks[[#This Row],[UID]])))</f>
        <v>0</v>
      </c>
      <c r="ET16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0" s="89" t="str">
        <f aca="false">IF(NOT(Tasks[[#This Row],[_IsLeaf]]=1),"",IF(N(Tasks[[#This Row],[_Days]])&lt;=0,Tasks[[#This Row],[_LeafLateFinish]],WORKDAY.INTL(Tasks[[#This Row],[_LeafLateFinish]],-(Tasks[[#This Row],[_Days]]-1),WorkWeek,Holidays)))</f>
        <v/>
      </c>
      <c r="EW16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0" s="88" t="b">
        <f aca="false">AND(Tasks[[#This Row],[_IsLeaf]]=1,Tasks[[#This Row],[_LeafProgress]]&lt;1,N(Tasks[[#This Row],[_LeafTotalSlack]])&lt;=CriticalSlackDays)</f>
        <v>0</v>
      </c>
      <c r="EY160" s="42" t="n">
        <f aca="false">IF(AND(Tasks[[#This Row],[_IsLeaf]]=1,Tasks[[#This Row],[_ConstraintCode]]=1,Tasks[[#This Row],[Mode]]&lt;&gt;"Manual",N(Tasks[[#This Row],[Actual Start]])=0),MAX(0,N(Tasks[[#This Row],[Free Slack]])),0)</f>
        <v>0</v>
      </c>
      <c r="EZ160" s="89" t="str">
        <f aca="false">IF(NOT(Tasks[[#This Row],[_IsLeaf]]=1),"",IF(Tasks[[#This Row],[_AlapShift]]=0,Tasks[[#This Row],[_LeafCalcStart]],WORKDAY.INTL(Tasks[[#This Row],[_LeafCalcStart]],Tasks[[#This Row],[_AlapShift]],WorkWeek,Holidays)))</f>
        <v/>
      </c>
      <c r="FA160" s="89" t="str">
        <f aca="false">IF(NOT(Tasks[[#This Row],[_IsLeaf]]=1),"",IF(Tasks[[#This Row],[_AlapShift]]=0,Tasks[[#This Row],[_LeafCalcFinish]],WORKDAY.INTL(Tasks[[#This Row],[_LeafCalcFinish]],Tasks[[#This Row],[_AlapShift]],WorkWeek,Holidays)))</f>
        <v/>
      </c>
      <c r="FB160" s="89" t="str">
        <f aca="false">IF(NOT(Tasks[[#This Row],[_IsLeaf]]=1),"",IF(Tasks[[#This Row],[_AlapShift]]=0,Tasks[[#This Row],[_LeafFcstStart]],WORKDAY.INTL(Tasks[[#This Row],[_LeafFcstStart]],Tasks[[#This Row],[_AlapShift]],WorkWeek,Holidays)))</f>
        <v/>
      </c>
      <c r="FC160" s="89" t="str">
        <f aca="false">IF(NOT(Tasks[[#This Row],[_IsLeaf]]=1),"",IF(Tasks[[#This Row],[_AlapShift]]=0,Tasks[[#This Row],[_LeafFcstFinish]],WORKDAY.INTL(Tasks[[#This Row],[_LeafFcstFinish]],Tasks[[#This Row],[_AlapShift]],WorkWeek,Holidays)))</f>
        <v/>
      </c>
      <c r="FD160" s="89" t="str">
        <f aca="false">IF(Tasks[[#This Row],[Task Name]]="","",IF(Tasks[[#This Row],[_IsSummary]],MIN(INDEX(Tasks[_ShownCalcStart],Tasks[[#This Row],[_Row]]+1):INDEX(Tasks[_ShownCalcStart],Tasks[[#This Row],[_Row]]+Tasks[[#This Row],[_Descendants]])),Tasks[[#This Row],[_ShownCalcStart]]))</f>
        <v/>
      </c>
      <c r="FE160" s="89" t="str">
        <f aca="false">IF(Tasks[[#This Row],[Task Name]]="","",IF(Tasks[[#This Row],[_IsSummary]],MAX(INDEX(Tasks[_ShownCalcFinish],Tasks[[#This Row],[_Row]]+1):INDEX(Tasks[_ShownCalcFinish],Tasks[[#This Row],[_Row]]+Tasks[[#This Row],[_Descendants]])),Tasks[[#This Row],[_ShownCalcFinish]]))</f>
        <v/>
      </c>
      <c r="FF16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0" s="42" t="n">
        <f aca="false">IF(AND(Tasks[[#This Row],[_IsLeaf]]=1,Tasks[[#This Row],[_LeafTotalWork]]&gt;0),NETWORKDAYS.INTL(ProjectStart,Tasks[[#This Row],[_ShownFcstStart]],WorkWeek,Holidays),0)</f>
        <v>0</v>
      </c>
      <c r="FS160" s="42" t="n">
        <f aca="false">IF(AND(Tasks[[#This Row],[_IsLeaf]]=1,Tasks[[#This Row],[_LeafTotalWork]]&gt;0),MAX(Tasks[[#This Row],[_StartWorkday]],NETWORKDAYS.INTL(ProjectStart,Tasks[[#This Row],[_ShownFcstFinish]],WorkWeek,Holidays)),0)</f>
        <v>0</v>
      </c>
      <c r="FT160" s="42" t="n">
        <f aca="false">IF(AND(Tasks[[#This Row],[_IsLeaf]]=1,Tasks[[#This Row],[_LeafTotalWork]]&gt;0),Tasks[[#This Row],[_LeafWork]]/(Tasks[[#This Row],[_FinishWorkday]]-Tasks[[#This Row],[_StartWorkday]]+1),0)</f>
        <v>0</v>
      </c>
      <c r="FU160" s="42" t="n">
        <f aca="false">Tasks[[#This Row],[_WorkPerWorkday]]*(Tasks[[#This Row],[_StartWorkday]]-1)</f>
        <v>-0</v>
      </c>
      <c r="FV160" s="42" t="n">
        <f aca="false">IF(Tasks[[#This Row],[_IsLeaf]]=1,MAX(N(Tasks[[#This Row],[_Days]]),0.1),0)</f>
        <v>0</v>
      </c>
      <c r="FW160" s="42" t="n">
        <f aca="false">Tasks[[#This Row],[_WeightDur]]*Tasks[[#This Row],[_LeafProgress]]</f>
        <v>0</v>
      </c>
      <c r="FX160" s="42" t="n">
        <f aca="false">Tasks[[#This Row],[_WeightDur]]*Tasks[[#This Row],[_PlannedPct]]</f>
        <v>0</v>
      </c>
      <c r="FY16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0" s="42" t="str">
        <f aca="false">IF(AND(Tasks[[#This Row],[_IsLeaf]]=1,N(Tasks[[#This Row],[_Days]])=0,Tasks[[#This Row],[_LeafProgress]]&lt;1),Tasks[[#This Row],[_ShownFcstFinish]]+Tasks[[#This Row],[_Row]]/100000,"")</f>
        <v/>
      </c>
      <c r="GA16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0" s="42" t="str">
        <f aca="false">IF(Tasks[[#This Row],[Task Name]]="","",LEFT(Tasks[[#This Row],[WBS]],FIND(".",Tasks[[#This Row],[WBS]]&amp;".")-1))</f>
        <v/>
      </c>
      <c r="GC160" s="42" t="str">
        <f aca="false">IF(AND(Tasks[[#This Row],[Task Name]]&lt;&gt;"",Tasks[[#This Row],[_Level]]=1),Tasks[[#This Row],[_Row]],"")</f>
        <v/>
      </c>
      <c r="GD160" s="42" t="str">
        <f aca="false">IF(AND(Tasks[[#This Row],[_IsLeaf]]=1,N(Tasks[[#This Row],[_Days]])=0),Tasks[[#This Row],[Planned Finish]]+Tasks[[#This Row],[_Row]]/100000,"")</f>
        <v/>
      </c>
      <c r="GE160" s="42" t="str">
        <f aca="false">IF(AND(Tasks[[#This Row],[_IsLeaf]]=1,Tasks[[#This Row],[_LeafProgress]]&lt;1,OR(N(Tasks[[#This Row],[Finish Var]])&gt;0,Tasks[[#This Row],[Status]]="Late Start")),MAX(0,Tasks[[#This Row],[Finish Var]])+1-Tasks[[#This Row],[_Row]]/1000000,"")</f>
        <v/>
      </c>
      <c r="GF160" s="42" t="str">
        <f aca="false">IF(AND(Tasks[[#This Row],[_IsLeaf]]=1,N(Tasks[[#This Row],[Actual Start]])=0,Tasks[[#This Row],[_ShownFcstStart]]&gt;=StatusDate,Tasks[[#This Row],[_ShownFcstStart]]&lt;=LookaheadEnd),Tasks[[#This Row],[_ShownFcstStart]]+Tasks[[#This Row],[_Row]]/100000,"")</f>
        <v/>
      </c>
      <c r="GG160" s="42" t="str">
        <f aca="false">IF(AND(Tasks[[#This Row],[_IsLeaf]]=1,Tasks[[#This Row],[_LeafProgress]]&lt;1,Tasks[[#This Row],[_ShownFcstFinish]]&gt;=StatusDate,Tasks[[#This Row],[_ShownFcstFinish]]&lt;=LookaheadEnd),Tasks[[#This Row],[_ShownFcstFinish]]+Tasks[[#This Row],[_Row]]/100000,"")</f>
        <v/>
      </c>
      <c r="GH160" s="42" t="str">
        <f aca="false">IF(Tasks[[#This Row],[_LeafCritical]],Tasks[[#This Row],[_ShownFcstStart]]+Tasks[[#This Row],[_Row]]/100000,"")</f>
        <v/>
      </c>
      <c r="GI160" s="42" t="n">
        <f aca="false">Tasks[[#This Row],[_LeafWork]]*Tasks[[#This Row],[_LeafProgress]]</f>
        <v>0</v>
      </c>
      <c r="GJ160" s="89" t="str">
        <f aca="false">IF(AND(Tasks[[#This Row],[_IsLeaf]]=1,Tasks[[#This Row],[_LeafProgress]]&gt;=1),IF(N(Tasks[[#This Row],[Actual Finish]])&gt;0,Tasks[[#This Row],[Actual Finish]],Tasks[[#This Row],[_ShownFcstFinish]]),"")</f>
        <v/>
      </c>
      <c r="GK160" s="42" t="n">
        <f aca="false">IF(Tasks[[#This Row],[_IsLeaf]]=1,N(Tasks[[#This Row],[Story Points]]),0)</f>
        <v>0</v>
      </c>
      <c r="GL160" s="42" t="str">
        <f aca="false">""</f>
        <v/>
      </c>
      <c r="GM160" s="88" t="b">
        <f aca="false">IF(Tasks[[#This Row],[Task Name]]="",FALSE(),AND(Tasks[[#This Row],[_IsLeaf]]=1,N(Tasks[[#This Row],[_Days]])=0))</f>
        <v>0</v>
      </c>
      <c r="GN160" s="89" t="n">
        <f aca="false">IF(Tasks[[#This Row],[Task Name]]="",0,IF(AND(Tasks[[#This Row],[_IsLeaf]]=1,NOT(Tasks[[#This Row],[_IsMilestone]]),N(Tasks[[#This Row],[Progress]])&gt;0),Tasks[[#This Row],[Start]],0))</f>
        <v>0</v>
      </c>
      <c r="GO160" s="89" t="n">
        <f aca="false">IF(Tasks[[#This Row],[_DoneFrom]]=0,0,IF(Tasks[[#This Row],[Progress]]&gt;=1,Tasks[[#This Row],[Finish]],MAX(Tasks[[#This Row],[_DoneFrom]],Tasks[[#This Row],[Start]]+ROUND((Tasks[[#This Row],[Finish]]-Tasks[[#This Row],[Start]]+1)*Tasks[[#This Row],[Progress]],0)-1)))</f>
        <v>0</v>
      </c>
      <c r="GP160" s="89" t="n">
        <f aca="false">IF(Tasks[[#This Row],[Task Name]]="",0,IF(OR(NOT(Tasks[[#This Row],[_IsLeaf]]=1),Tasks[[#This Row],[_IsMilestone]],N(Tasks[[#This Row],[Progress]])&gt;=1),0,IF(Tasks[[#This Row],[_DoneTo]]&gt;0,Tasks[[#This Row],[_DoneTo]]+1,Tasks[[#This Row],[Start]])))</f>
        <v>0</v>
      </c>
      <c r="GQ160" s="89" t="n">
        <f aca="false">IF(Tasks[[#This Row],[_RemFrom]]=0,0,Tasks[[#This Row],[Finish]])</f>
        <v>0</v>
      </c>
      <c r="GR160" s="88" t="b">
        <f aca="false">IF(Tasks[[#This Row],[Task Name]]="",FALSE(),OR(NOT(BaselineSet),N(Tasks[[#This Row],[Baseline Start]])&gt;0))</f>
        <v>0</v>
      </c>
      <c r="GS16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0" s="90" t="str">
        <f aca="false">IF(Tasks[[#This Row],[_IsLeaf]]=1,Tasks[[#This Row],[_Row]],"")</f>
        <v/>
      </c>
      <c r="GW160" s="90" t="str">
        <f aca="false">IFERROR(INDEX(Tasks[UID],SMALL(Tasks[_PickKey],Tasks[[#This Row],[_Row]]))&amp;" "&amp;INDEX(Tasks[Task Name],SMALL(Tasks[_PickKey],Tasks[[#This Row],[_Row]])),"")</f>
        <v/>
      </c>
      <c r="GX160" s="42" t="str">
        <f aca="false">IF(Tasks[[#This Row],[Task Name]]="","",IF(Tasks[[#This Row],[_IsSummary]],NETWORKDAYS.INTL(Tasks[[#This Row],[Start]],Tasks[[#This Row],[Finish]],WorkWeek,Holidays),N(Tasks[[#This Row],[_Days]])))</f>
        <v/>
      </c>
    </row>
    <row r="161" customFormat="false" ht="15" hidden="false" customHeight="false" outlineLevel="0" collapsed="false">
      <c r="A161" s="21" t="str">
        <f aca="false">IF(Tasks[[#This Row],[Task Name]]="","",COUNTA(Tasks[[#Headers],[Task Name]]:Tasks[[#This Row],[Task Name]])-1)</f>
        <v/>
      </c>
      <c r="B161" s="22" t="n">
        <v>169</v>
      </c>
      <c r="C161" s="22"/>
      <c r="D161" s="23"/>
      <c r="E161" s="22"/>
      <c r="F161" s="23"/>
      <c r="G161" s="22"/>
      <c r="H161" s="22"/>
      <c r="I161" s="23"/>
      <c r="J161" s="22"/>
      <c r="K161" s="22"/>
      <c r="L161" s="23"/>
      <c r="M161" s="22"/>
      <c r="N161" s="22"/>
      <c r="O161" s="23"/>
      <c r="P161" s="22"/>
      <c r="Q161" s="22"/>
      <c r="R161" s="23"/>
      <c r="S161" s="23"/>
      <c r="T161" s="83"/>
      <c r="U161" s="23"/>
      <c r="V161" s="83"/>
      <c r="W161" s="23"/>
      <c r="X161" s="83"/>
      <c r="Y161" s="23"/>
      <c r="Z161" s="83"/>
      <c r="AA161" s="23"/>
      <c r="AB161" s="23"/>
      <c r="AC161" s="7"/>
      <c r="AD161" s="7"/>
      <c r="AE161" s="62" t="str">
        <f aca="false">IF(Tasks[[#This Row],[Task Name]]="","",IF(Tasks[[#This Row],[_IsSummary]],MIN(INDEX(Tasks[_ShownFcstStart],Tasks[[#This Row],[_Row]]+1):INDEX(Tasks[_ShownFcstStart],Tasks[[#This Row],[_Row]]+Tasks[[#This Row],[_Descendants]])),Tasks[[#This Row],[_ShownFcstStart]]))</f>
        <v/>
      </c>
      <c r="AF161" s="62" t="str">
        <f aca="false">IF(Tasks[[#This Row],[Task Name]]="","",IF(Tasks[[#This Row],[_IsSummary]],MAX(INDEX(Tasks[_ShownFcstFinish],Tasks[[#This Row],[_Row]]+1):INDEX(Tasks[_ShownFcstFinish],Tasks[[#This Row],[_Row]]+Tasks[[#This Row],[_Descendants]])),Tasks[[#This Row],[_ShownFcstFinish]]))</f>
        <v/>
      </c>
      <c r="AG161" s="21" t="str">
        <f aca="false">""</f>
        <v/>
      </c>
      <c r="AH161" s="23"/>
      <c r="AI16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1" s="7"/>
      <c r="AK161" s="22"/>
      <c r="AL161" s="23"/>
      <c r="AM161" s="7"/>
      <c r="AN161" s="46" t="str">
        <f aca="false">IF(Tasks[[#This Row],[Task Name]]="","",IF(Tasks[[#This Row],[Finish]]&gt;=Tasks[[#This Row],[Planned Finish]],NETWORKDAYS.INTL(Tasks[[#This Row],[Planned Finish]],Tasks[[#This Row],[Finish]],WorkWeek,Holidays)-1,1-NETWORKDAYS.INTL(Tasks[[#This Row],[Finish]],Tasks[[#This Row],[Planned Finish]],WorkWeek,Holidays)))</f>
        <v/>
      </c>
      <c r="AO161" s="21" t="str">
        <f aca="false">IF(Tasks[[#This Row],[Task Name]]="","",IF(Tasks[[#This Row],[Progress]]&gt;=1,"Complete",IF(OR(N(Tasks[[#This Row],[Actual Start]])&gt;0,Tasks[[#This Row],[Progress]]&gt;0),IF(Tasks[[#This Row],[Finish Var]]&gt;0,"Behind","In Progress"),IF(Tasks[[#This Row],[Planned Start]]&lt;StatusDate,"Late Start","Not Started"))))</f>
        <v/>
      </c>
      <c r="AP161" s="21" t="str">
        <f aca="false">IF(Tasks[[#This Row],[Task Name]]="","",IF(IF(Tasks[[#This Row],[_IsSummary]],COUNTIF(INDEX(Tasks[_LeafCritical],Tasks[[#This Row],[_Row]]+1):INDEX(Tasks[_LeafCritical],Tasks[[#This Row],[_Row]]+Tasks[[#This Row],[_Descendants]]),TRUE())&gt;0,Tasks[[#This Row],[_LeafCritical]]),"Yes",""))</f>
        <v/>
      </c>
      <c r="AQ161" s="62" t="str">
        <f aca="false">IF(Tasks[[#This Row],[Task Name]]="","",IF(N(Tasks[[#This Row],[Baseline Start]])&gt;0,Tasks[[#This Row],[Baseline Start]],Tasks[[#This Row],[_CalcStart]]))</f>
        <v/>
      </c>
      <c r="AR161" s="62" t="str">
        <f aca="false">IF(Tasks[[#This Row],[Task Name]]="","",IF(N(Tasks[[#This Row],[Baseline Finish]])&gt;0,Tasks[[#This Row],[Baseline Finish]],Tasks[[#This Row],[_CalcFinish]]))</f>
        <v/>
      </c>
      <c r="AS161" s="46" t="str">
        <f aca="false">IF(Tasks[[#This Row],[Task Name]]="","",IF(Tasks[[#This Row],[Start]]&gt;=Tasks[[#This Row],[Planned Start]],NETWORKDAYS.INTL(Tasks[[#This Row],[Planned Start]],Tasks[[#This Row],[Start]],WorkWeek,Holidays)-1,1-NETWORKDAYS.INTL(Tasks[[#This Row],[Start]],Tasks[[#This Row],[Planned Start]],WorkWeek,Holidays)))</f>
        <v/>
      </c>
      <c r="AT161" s="62" t="str">
        <f aca="false">IF(Tasks[[#This Row],[Task Name]]="","",IF(Tasks[[#This Row],[_IsSummary]],MIN(INDEX(Tasks[_LeafLateStart],Tasks[[#This Row],[_Row]]+1):INDEX(Tasks[_LeafLateStart],Tasks[[#This Row],[_Row]]+Tasks[[#This Row],[_Descendants]])),Tasks[[#This Row],[_LeafLateStart]]))</f>
        <v/>
      </c>
      <c r="AU161" s="62" t="str">
        <f aca="false">IF(Tasks[[#This Row],[Task Name]]="","",IF(Tasks[[#This Row],[_IsSummary]],MAX(INDEX(Tasks[_LeafLateFinish],Tasks[[#This Row],[_Row]]+1):INDEX(Tasks[_LeafLateFinish],Tasks[[#This Row],[_Row]]+Tasks[[#This Row],[_Descendants]])),Tasks[[#This Row],[_LeafLateFinish]]))</f>
        <v/>
      </c>
      <c r="AV161" s="46" t="str">
        <f aca="false">IF(Tasks[[#This Row],[Task Name]]="","",IF(Tasks[[#This Row],[_IsSummary]],MIN(INDEX(Tasks[_LeafTotalSlack],Tasks[[#This Row],[_Row]]+1):INDEX(Tasks[_LeafTotalSlack],Tasks[[#This Row],[_Row]]+Tasks[[#This Row],[_Descendants]])),Tasks[[#This Row],[_LeafTotalSlack]]))</f>
        <v/>
      </c>
      <c r="AW16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4"/>
      <c r="BA16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t="str">
        <f aca="false">IF(Tasks[[#This Row],[Task Name]]="","",IF(Tasks[[#This Row],[_Level]]&lt;=OutlineShowLevel,"Yes","No"))</f>
        <v/>
      </c>
      <c r="BE161" s="85" t="str">
        <f aca="false">IF(Tasks[[#This Row],[Task Name]]="","",IF(Tasks[[#This Row],[_IsSummary]],SUM(INDEX(Tasks[_LeafTotalWork],Tasks[[#This Row],[_Row]]+1):INDEX(Tasks[_LeafTotalWork],Tasks[[#This Row],[_Row]]+Tasks[[#This Row],[_Descendants]])),Tasks[[#This Row],[_LeafTotalWork]]))</f>
        <v/>
      </c>
      <c r="BF161" s="23"/>
      <c r="BG16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t="str">
        <f aca="false">""</f>
        <v/>
      </c>
      <c r="BI161" s="86"/>
      <c r="BJ161" s="22"/>
      <c r="BK161" s="46" t="str">
        <f aca="false">IF(OR(Tasks[[#This Row],[Task Name]]="",Tasks[[#This Row],[Baseline Duration]]=""),"",Tasks[[#This Row],[_SpanDays]]-N(Tasks[[#This Row],[Baseline Duration]]))</f>
        <v/>
      </c>
      <c r="BL161" s="85" t="str">
        <f aca="false">IF(OR(Tasks[[#This Row],[Task Name]]="",Tasks[[#This Row],[Baseline Work]]=""),"",Tasks[[#This Row],[Work]]-N(Tasks[[#This Row],[Baseline Work]]))</f>
        <v/>
      </c>
      <c r="BM161" s="62" t="str">
        <f aca="false">IF(Tasks[[#This Row],[Task Name]]="","",IF(OR(TakeBaseline="Yes",N(Tasks[[#This Row],[Baseline Start]])=0),Tasks[[#This Row],[Start]],Tasks[[#This Row],[Baseline Start]]))</f>
        <v/>
      </c>
      <c r="BN161" s="62" t="str">
        <f aca="false">IF(Tasks[[#This Row],[Task Name]]="","",IF(OR(TakeBaseline="Yes",N(Tasks[[#This Row],[Baseline Finish]])=0),Tasks[[#This Row],[Finish]],Tasks[[#This Row],[Baseline Finish]]))</f>
        <v/>
      </c>
      <c r="BO161" s="21" t="str">
        <f aca="false">IF(Tasks[[#This Row],[Task Name]]="","",IF(OR(TakeBaseline="Yes",N(Tasks[[#This Row],[Baseline Duration]])=0),Tasks[[#This Row],[_SpanDays]],Tasks[[#This Row],[Baseline Duration]]))</f>
        <v/>
      </c>
      <c r="BP161" s="85" t="str">
        <f aca="false">IF(Tasks[[#This Row],[Task Name]]="","",IF(OR(TakeBaseline="Yes",N(Tasks[[#This Row],[Baseline Work]])=0),Tasks[[#This Row],[Work]],Tasks[[#This Row],[Baseline Work]]))</f>
        <v/>
      </c>
      <c r="BQ161" s="7"/>
      <c r="BR161" s="7"/>
      <c r="BS161" s="22"/>
      <c r="BT161" s="87"/>
      <c r="BU161" s="42" t="str">
        <f aca="false">IF(Tasks[[#This Row],[Task Name]]="","",MAX(1,N(Tasks[[#This Row],[Level]])))</f>
        <v/>
      </c>
      <c r="BV161" s="42" t="n">
        <f aca="false">ROW()-ROW(Tasks[[#Headers],[ID]])</f>
        <v>156</v>
      </c>
      <c r="BW161" s="42" t="n">
        <f aca="false">IF(OR(Tasks[[#This Row],[Task Name]]="",Tasks[[#This Row],[_Level]]&lt;=1),0,IFERROR(LOOKUP(2,1/(Tasks[[#Headers],[_Level]]:Tasks[[#This Row],[_Level]]=Tasks[[#This Row],[_Level]]-1),ROW(Tasks[[#Headers],[_Level]]:Tasks[[#This Row],[_Level]])),0))</f>
        <v>0</v>
      </c>
      <c r="BX161" s="42" t="n">
        <f aca="false">IFERROR(N(INDEX(Tasks[_Level],Tasks[[#This Row],[_Row]]+1)),0)</f>
        <v>0</v>
      </c>
      <c r="BY161" s="88" t="b">
        <f aca="false">AND(Tasks[[#This Row],[Task Name]]&lt;&gt;"",Tasks[[#This Row],[_NextLevel]]&gt;Tasks[[#This Row],[_Level]])</f>
        <v>0</v>
      </c>
      <c r="BZ161" s="42" t="n">
        <f aca="false">IF(Tasks[[#This Row],[_IsSummary]],COUNTIF(Tasks[WBS],Tasks[[#This Row],[WBS]]&amp;".*"),0)</f>
        <v>0</v>
      </c>
      <c r="CA161" s="42" t="n">
        <f aca="false">IF(AND(Tasks[[#This Row],[Task Name]]&lt;&gt;"",NOT(Tasks[[#This Row],[_IsSummary]])),1,0)</f>
        <v>0</v>
      </c>
      <c r="CB161" s="42" t="n">
        <f aca="false">IF(N(Tasks[[#This Row],[_Pred1UID]])=0,0,IFERROR(MATCH(Tasks[[#This Row],[_Pred1UID]],Tasks[UID],0),-1))</f>
        <v>0</v>
      </c>
      <c r="CC161" s="42" t="n">
        <f aca="false">IF(N(Tasks[[#This Row],[_Pred2UID]])=0,0,IFERROR(MATCH(Tasks[[#This Row],[_Pred2UID]],Tasks[UID],0),-1))</f>
        <v>0</v>
      </c>
      <c r="CD161" s="42" t="n">
        <f aca="false">IF(N(Tasks[[#This Row],[_Pred3UID]])=0,0,IFERROR(MATCH(Tasks[[#This Row],[_Pred3UID]],Tasks[UID],0),-1))</f>
        <v>0</v>
      </c>
      <c r="CE161" s="42" t="n">
        <f aca="false">IF(N(Tasks[[#This Row],[_Pred4UID]])=0,0,IFERROR(MATCH(Tasks[[#This Row],[_Pred4UID]],Tasks[UID],0),-1))</f>
        <v>0</v>
      </c>
      <c r="CF16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1" s="89" t="n">
        <f aca="false">IF(OR(Tasks[[#This Row],[_ConstraintCode]]=2,Tasks[[#This Row],[_ConstraintCode]]=3,Tasks[[#This Row],[_ConstraintCode]]=4,Tasks[[#This Row],[_ConstraintCode]]=6),Tasks[[#This Row],[_ConstraintStart]],0)</f>
        <v>0</v>
      </c>
      <c r="CI161" s="89" t="n">
        <f aca="false">IF(OR(Tasks[[#This Row],[_ConstraintCode]]=2,Tasks[[#This Row],[_ConstraintCode]]=3,Tasks[[#This Row],[_ConstraintCode]]=5,Tasks[[#This Row],[_ConstraintCode]]=7),Tasks[[#This Row],[_ConstraintStart]],2958465)</f>
        <v>2958465</v>
      </c>
      <c r="CJ16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1" s="89" t="str">
        <f aca="false">IF(NOT(Tasks[[#This Row],[_IsLeaf]]=1),"",IF(N(Tasks[[#This Row],[_Days]])&lt;=0,Tasks[[#This Row],[_LeafCalcStart]],WORKDAY.INTL(Tasks[[#This Row],[_LeafCalcStart]],Tasks[[#This Row],[_Days]]-1,WorkWeek,Holidays)))</f>
        <v/>
      </c>
      <c r="CL16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1" s="42" t="str">
        <f aca="false">IF(Tasks[[#This Row],[_Predecessors]]="","",TRIM(MID(SUBSTITUTE(SUBSTITUTE(SUBSTITUTE(UPPER(Tasks[[#This Row],[_Predecessors]]),";",",")," ",""),",",REPT(" ",99)),1,99)))</f>
        <v/>
      </c>
      <c r="CO161" s="42" t="str">
        <f aca="false">IF(Tasks[[#This Row],[_Pred1Text]]="","",IFERROR(VALUE(LEFT(Tasks[[#This Row],[_Pred1Text]],MIN(FIND("F",Tasks[[#This Row],[_Pred1Text]]&amp;"F"),FIND("S",Tasks[[#This Row],[_Pred1Text]]&amp;"S"),FIND("+",Tasks[[#This Row],[_Pred1Text]]&amp;"+"),FIND("-",Tasks[[#This Row],[_Pred1Text]]&amp;"-"))-1)),""))</f>
        <v/>
      </c>
      <c r="CP16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1" s="42" t="str">
        <f aca="false">IF(Tasks[[#This Row],[_Pred1Text]]="","",TRIM(MID(SUBSTITUTE(SUBSTITUTE(SUBSTITUTE(UPPER(Tasks[[#This Row],[_Predecessors]]),";",",")," ",""),",",REPT(" ",99)),100,99)))</f>
        <v/>
      </c>
      <c r="CS161" s="42" t="str">
        <f aca="false">IF(Tasks[[#This Row],[_Pred2Text]]="","",IFERROR(VALUE(LEFT(Tasks[[#This Row],[_Pred2Text]],MIN(FIND("F",Tasks[[#This Row],[_Pred2Text]]&amp;"F"),FIND("S",Tasks[[#This Row],[_Pred2Text]]&amp;"S"),FIND("+",Tasks[[#This Row],[_Pred2Text]]&amp;"+"),FIND("-",Tasks[[#This Row],[_Pred2Text]]&amp;"-"))-1)),""))</f>
        <v/>
      </c>
      <c r="CT16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1" s="42" t="str">
        <f aca="false">IF(Tasks[[#This Row],[_Pred2Text]]="","",TRIM(MID(SUBSTITUTE(SUBSTITUTE(SUBSTITUTE(UPPER(Tasks[[#This Row],[_Predecessors]]),";",",")," ",""),",",REPT(" ",99)),199,99)))</f>
        <v/>
      </c>
      <c r="CW161" s="42" t="str">
        <f aca="false">IF(Tasks[[#This Row],[_Pred3Text]]="","",IFERROR(VALUE(LEFT(Tasks[[#This Row],[_Pred3Text]],MIN(FIND("F",Tasks[[#This Row],[_Pred3Text]]&amp;"F"),FIND("S",Tasks[[#This Row],[_Pred3Text]]&amp;"S"),FIND("+",Tasks[[#This Row],[_Pred3Text]]&amp;"+"),FIND("-",Tasks[[#This Row],[_Pred3Text]]&amp;"-"))-1)),""))</f>
        <v/>
      </c>
      <c r="CX16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1" s="42" t="str">
        <f aca="false">IF(Tasks[[#This Row],[_Pred3Text]]="","",TRIM(MID(SUBSTITUTE(SUBSTITUTE(SUBSTITUTE(UPPER(Tasks[[#This Row],[_Predecessors]]),";",",")," ",""),",",REPT(" ",99)),298,99)))</f>
        <v/>
      </c>
      <c r="DA161" s="42" t="str">
        <f aca="false">IF(Tasks[[#This Row],[_Pred4Text]]="","",IFERROR(VALUE(LEFT(Tasks[[#This Row],[_Pred4Text]],MIN(FIND("F",Tasks[[#This Row],[_Pred4Text]]&amp;"F"),FIND("S",Tasks[[#This Row],[_Pred4Text]]&amp;"S"),FIND("+",Tasks[[#This Row],[_Pred4Text]]&amp;"+"),FIND("-",Tasks[[#This Row],[_Pred4Text]]&amp;"-"))-1)),""))</f>
        <v/>
      </c>
      <c r="DB16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1" s="42" t="str">
        <f aca="false">IF(OR(Tasks[[#This Row],[Task Name]]="",Tasks[[#This Row],[_Resources]]=""),"",TRIM(MID(SUBSTITUTE(Tasks[[#This Row],[_Resources]],",",REPT(" ",99)),1,99)))</f>
        <v/>
      </c>
      <c r="DE161" s="42" t="str">
        <f aca="false">IF(Tasks[[#This Row],[_Res1Text]]="","",TRIM(MID(SUBSTITUTE(Tasks[[#This Row],[_Resources]],",",REPT(" ",99)),100,99)))</f>
        <v/>
      </c>
      <c r="DF161" s="42" t="str">
        <f aca="false">IF(Tasks[[#This Row],[_Res2Text]]="","",TRIM(MID(SUBSTITUTE(Tasks[[#This Row],[_Resources]],",",REPT(" ",99)),199,99)))</f>
        <v/>
      </c>
      <c r="DG161" s="42" t="str">
        <f aca="false">IF(Tasks[[#This Row],[_Res3Text]]="","",TRIM(MID(SUBSTITUTE(Tasks[[#This Row],[_Resources]],",",REPT(" ",99)),298,99)))</f>
        <v/>
      </c>
      <c r="DH161" s="42" t="n">
        <f aca="false">IF(Tasks[[#This Row],[_Res1Text]]="",0,IFERROR(MATCH(TRIM(LEFT(Tasks[[#This Row],[_Res1Text]],FIND("[",Tasks[[#This Row],[_Res1Text]]&amp;"[")-1)),res_Name,0),IFERROR(MATCH(TRIM(LEFT(Tasks[[#This Row],[_Res1Text]],FIND("[",Tasks[[#This Row],[_Res1Text]]&amp;"[")-1)),res_Initials,0),0)))</f>
        <v>0</v>
      </c>
      <c r="DI161" s="42" t="n">
        <f aca="false">IF(Tasks[[#This Row],[_Res2Text]]="",0,IFERROR(MATCH(TRIM(LEFT(Tasks[[#This Row],[_Res2Text]],FIND("[",Tasks[[#This Row],[_Res2Text]]&amp;"[")-1)),res_Name,0),IFERROR(MATCH(TRIM(LEFT(Tasks[[#This Row],[_Res2Text]],FIND("[",Tasks[[#This Row],[_Res2Text]]&amp;"[")-1)),res_Initials,0),0)))</f>
        <v>0</v>
      </c>
      <c r="DJ161" s="42" t="n">
        <f aca="false">IF(Tasks[[#This Row],[_Res3Text]]="",0,IFERROR(MATCH(TRIM(LEFT(Tasks[[#This Row],[_Res3Text]],FIND("[",Tasks[[#This Row],[_Res3Text]]&amp;"[")-1)),res_Name,0),IFERROR(MATCH(TRIM(LEFT(Tasks[[#This Row],[_Res3Text]],FIND("[",Tasks[[#This Row],[_Res3Text]]&amp;"[")-1)),res_Initials,0),0)))</f>
        <v>0</v>
      </c>
      <c r="DK161" s="42" t="n">
        <f aca="false">IF(Tasks[[#This Row],[_Res4Text]]="",0,IFERROR(MATCH(TRIM(LEFT(Tasks[[#This Row],[_Res4Text]],FIND("[",Tasks[[#This Row],[_Res4Text]]&amp;"[")-1)),res_Name,0),IFERROR(MATCH(TRIM(LEFT(Tasks[[#This Row],[_Res4Text]],FIND("[",Tasks[[#This Row],[_Res4Text]]&amp;"[")-1)),res_Initials,0),0)))</f>
        <v>0</v>
      </c>
      <c r="DL161" s="42" t="str">
        <f aca="false">IF(Tasks[[#This Row],[_Res1Text]]="","",IF(Tasks[[#This Row],[_Res1Row]]&gt;0,INDEX(res_Name,Tasks[[#This Row],[_Res1Row]]),TRIM(LEFT(Tasks[[#This Row],[_Res1Text]],FIND("[",Tasks[[#This Row],[_Res1Text]]&amp;"[")-1))))</f>
        <v/>
      </c>
      <c r="DM16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1" s="42" t="n">
        <f aca="false">IF(NOT(Tasks[[#This Row],[_IsLeaf]]=1),0,(Tasks[[#This Row],[_Resource1]]&lt;&gt;"")+(Tasks[[#This Row],[_Res2]]&lt;&gt;"")+(Tasks[[#This Row],[_Res3]]&lt;&gt;"")+(Tasks[[#This Row],[_Res4]]&lt;&gt;""))</f>
        <v>0</v>
      </c>
      <c r="DO161" s="42" t="str">
        <f aca="false">IF(Tasks[[#This Row],[_Res2Text]]="","",IF(Tasks[[#This Row],[_Res2Row]]&gt;0,INDEX(res_Name,Tasks[[#This Row],[_Res2Row]]),TRIM(LEFT(Tasks[[#This Row],[_Res2Text]],FIND("[",Tasks[[#This Row],[_Res2Text]]&amp;"[")-1))))</f>
        <v/>
      </c>
      <c r="DP16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1" s="42" t="n">
        <f aca="false">IF(OR(NOT(Tasks[[#This Row],[_IsLeaf]]=1),Tasks[[#This Row],[_Res2Row]]=0),0,N(Tasks[[#This Row],[_Days]])*HoursPerDay*IF(Tasks[[#This Row],[_Res2Units]]="",DefaultUnits,Tasks[[#This Row],[_Res2Units]]))</f>
        <v>0</v>
      </c>
      <c r="DR161" s="42" t="n">
        <f aca="false">IF(AND(AND(Tasks[[#This Row],[_IsLeaf]]=1,Tasks[[#This Row],[_LeafTotalWork]]&gt;0),Tasks[[#This Row],[_Res2Work]]&gt;0),Tasks[[#This Row],[_Res2Work]]/(Tasks[[#This Row],[_FinishWorkday]]-Tasks[[#This Row],[_StartWorkday]]+1),0)</f>
        <v>0</v>
      </c>
      <c r="DS161" s="42" t="n">
        <f aca="false">Tasks[[#This Row],[_Res2WorkPerWD]]*MAX(0,Tasks[[#This Row],[_StartWorkday]]-1)</f>
        <v>0</v>
      </c>
      <c r="DT161" s="42" t="n">
        <f aca="false">Tasks[[#This Row],[_Res2Work]]*Tasks[[#This Row],[_LeafProgress]]</f>
        <v>0</v>
      </c>
      <c r="DU161" s="42" t="str">
        <f aca="false">IF(Tasks[[#This Row],[_Res3Text]]="","",IF(Tasks[[#This Row],[_Res3Row]]&gt;0,INDEX(res_Name,Tasks[[#This Row],[_Res3Row]]),TRIM(LEFT(Tasks[[#This Row],[_Res3Text]],FIND("[",Tasks[[#This Row],[_Res3Text]]&amp;"[")-1))))</f>
        <v/>
      </c>
      <c r="DV16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1" s="42" t="n">
        <f aca="false">IF(OR(NOT(Tasks[[#This Row],[_IsLeaf]]=1),Tasks[[#This Row],[_Res3Row]]=0),0,N(Tasks[[#This Row],[_Days]])*HoursPerDay*IF(Tasks[[#This Row],[_Res3Units]]="",DefaultUnits,Tasks[[#This Row],[_Res3Units]]))</f>
        <v>0</v>
      </c>
      <c r="DX161" s="42" t="n">
        <f aca="false">IF(AND(AND(Tasks[[#This Row],[_IsLeaf]]=1,Tasks[[#This Row],[_LeafTotalWork]]&gt;0),Tasks[[#This Row],[_Res3Work]]&gt;0),Tasks[[#This Row],[_Res3Work]]/(Tasks[[#This Row],[_FinishWorkday]]-Tasks[[#This Row],[_StartWorkday]]+1),0)</f>
        <v>0</v>
      </c>
      <c r="DY161" s="42" t="n">
        <f aca="false">Tasks[[#This Row],[_Res3WorkPerWD]]*MAX(0,Tasks[[#This Row],[_StartWorkday]]-1)</f>
        <v>0</v>
      </c>
      <c r="DZ161" s="42" t="n">
        <f aca="false">Tasks[[#This Row],[_Res3Work]]*Tasks[[#This Row],[_LeafProgress]]</f>
        <v>0</v>
      </c>
      <c r="EA161" s="42" t="str">
        <f aca="false">IF(Tasks[[#This Row],[_Res4Text]]="","",IF(Tasks[[#This Row],[_Res4Row]]&gt;0,INDEX(res_Name,Tasks[[#This Row],[_Res4Row]]),TRIM(LEFT(Tasks[[#This Row],[_Res4Text]],FIND("[",Tasks[[#This Row],[_Res4Text]]&amp;"[")-1))))</f>
        <v/>
      </c>
      <c r="EB16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1" s="42" t="n">
        <f aca="false">IF(OR(NOT(Tasks[[#This Row],[_IsLeaf]]=1),Tasks[[#This Row],[_Res4Row]]=0),0,N(Tasks[[#This Row],[_Days]])*HoursPerDay*IF(Tasks[[#This Row],[_Res4Units]]="",DefaultUnits,Tasks[[#This Row],[_Res4Units]]))</f>
        <v>0</v>
      </c>
      <c r="ED161" s="42" t="n">
        <f aca="false">IF(AND(AND(Tasks[[#This Row],[_IsLeaf]]=1,Tasks[[#This Row],[_LeafTotalWork]]&gt;0),Tasks[[#This Row],[_Res4Work]]&gt;0),Tasks[[#This Row],[_Res4Work]]/(Tasks[[#This Row],[_FinishWorkday]]-Tasks[[#This Row],[_StartWorkday]]+1),0)</f>
        <v>0</v>
      </c>
      <c r="EE161" s="42" t="n">
        <f aca="false">Tasks[[#This Row],[_Res4WorkPerWD]]*MAX(0,Tasks[[#This Row],[_StartWorkday]]-1)</f>
        <v>0</v>
      </c>
      <c r="EF161" s="42" t="n">
        <f aca="false">Tasks[[#This Row],[_Res4Work]]*Tasks[[#This Row],[_LeafProgress]]</f>
        <v>0</v>
      </c>
      <c r="EG161" s="42" t="n">
        <f aca="false">IF(ISNUMBER(Tasks[[#This Row],[% Complete]]),Tasks[[#This Row],[% Complete]],IF(Tasks[[#This Row],[Stage]]="",0,IFERROR(INDEX(stg_Pct,MATCH(Tasks[[#This Row],[Stage]],stg_Name,0)),0)))</f>
        <v>0</v>
      </c>
      <c r="EH161" s="42" t="n">
        <f aca="false">IF(NOT(Tasks[[#This Row],[_IsLeaf]]=1),0,IF(N(Tasks[[#This Row],[Actual Finish]])&gt;0,1,MIN(1,Tasks[[#This Row],[_Pct]])))</f>
        <v>0</v>
      </c>
      <c r="EI161" s="42" t="n">
        <f aca="false">IF(OR(NOT(Tasks[[#This Row],[_IsLeaf]]=1),Tasks[[#This Row],[_Res1Row]]=0),0,N(Tasks[[#This Row],[_Days]])*HoursPerDay*IF(Tasks[[#This Row],[_Units1]]="",DefaultUnits,Tasks[[#This Row],[_Units1]]))</f>
        <v>0</v>
      </c>
      <c r="EJ161" s="42" t="n">
        <f aca="false">Tasks[[#This Row],[_LeafWork]]+Tasks[[#This Row],[_Res2Work]]+Tasks[[#This Row],[_Res3Work]]+Tasks[[#This Row],[_Res4Work]]</f>
        <v>0</v>
      </c>
      <c r="EK16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1" s="42" t="n">
        <f aca="false">IF(NOT(Tasks[[#This Row],[_IsLeaf]]=1),0,MAX(_xlfn.MAXIFS(Tasks[_Row],Tasks[_Pred1UID],Tasks[[#This Row],[UID]]),_xlfn.MAXIFS(Tasks[_Row],Tasks[_Pred2UID],Tasks[[#This Row],[UID]]),_xlfn.MAXIFS(Tasks[_Row],Tasks[_Pred3UID],Tasks[[#This Row],[UID]]),_xlfn.MAXIFS(Tasks[_Row],Tasks[_Pred4UID],Tasks[[#This Row],[UID]])))</f>
        <v>0</v>
      </c>
      <c r="ET16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1" s="89" t="str">
        <f aca="false">IF(NOT(Tasks[[#This Row],[_IsLeaf]]=1),"",IF(N(Tasks[[#This Row],[_Days]])&lt;=0,Tasks[[#This Row],[_LeafLateFinish]],WORKDAY.INTL(Tasks[[#This Row],[_LeafLateFinish]],-(Tasks[[#This Row],[_Days]]-1),WorkWeek,Holidays)))</f>
        <v/>
      </c>
      <c r="EW16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1" s="88" t="b">
        <f aca="false">AND(Tasks[[#This Row],[_IsLeaf]]=1,Tasks[[#This Row],[_LeafProgress]]&lt;1,N(Tasks[[#This Row],[_LeafTotalSlack]])&lt;=CriticalSlackDays)</f>
        <v>0</v>
      </c>
      <c r="EY161" s="42" t="n">
        <f aca="false">IF(AND(Tasks[[#This Row],[_IsLeaf]]=1,Tasks[[#This Row],[_ConstraintCode]]=1,Tasks[[#This Row],[Mode]]&lt;&gt;"Manual",N(Tasks[[#This Row],[Actual Start]])=0),MAX(0,N(Tasks[[#This Row],[Free Slack]])),0)</f>
        <v>0</v>
      </c>
      <c r="EZ161" s="89" t="str">
        <f aca="false">IF(NOT(Tasks[[#This Row],[_IsLeaf]]=1),"",IF(Tasks[[#This Row],[_AlapShift]]=0,Tasks[[#This Row],[_LeafCalcStart]],WORKDAY.INTL(Tasks[[#This Row],[_LeafCalcStart]],Tasks[[#This Row],[_AlapShift]],WorkWeek,Holidays)))</f>
        <v/>
      </c>
      <c r="FA161" s="89" t="str">
        <f aca="false">IF(NOT(Tasks[[#This Row],[_IsLeaf]]=1),"",IF(Tasks[[#This Row],[_AlapShift]]=0,Tasks[[#This Row],[_LeafCalcFinish]],WORKDAY.INTL(Tasks[[#This Row],[_LeafCalcFinish]],Tasks[[#This Row],[_AlapShift]],WorkWeek,Holidays)))</f>
        <v/>
      </c>
      <c r="FB161" s="89" t="str">
        <f aca="false">IF(NOT(Tasks[[#This Row],[_IsLeaf]]=1),"",IF(Tasks[[#This Row],[_AlapShift]]=0,Tasks[[#This Row],[_LeafFcstStart]],WORKDAY.INTL(Tasks[[#This Row],[_LeafFcstStart]],Tasks[[#This Row],[_AlapShift]],WorkWeek,Holidays)))</f>
        <v/>
      </c>
      <c r="FC161" s="89" t="str">
        <f aca="false">IF(NOT(Tasks[[#This Row],[_IsLeaf]]=1),"",IF(Tasks[[#This Row],[_AlapShift]]=0,Tasks[[#This Row],[_LeafFcstFinish]],WORKDAY.INTL(Tasks[[#This Row],[_LeafFcstFinish]],Tasks[[#This Row],[_AlapShift]],WorkWeek,Holidays)))</f>
        <v/>
      </c>
      <c r="FD161" s="89" t="str">
        <f aca="false">IF(Tasks[[#This Row],[Task Name]]="","",IF(Tasks[[#This Row],[_IsSummary]],MIN(INDEX(Tasks[_ShownCalcStart],Tasks[[#This Row],[_Row]]+1):INDEX(Tasks[_ShownCalcStart],Tasks[[#This Row],[_Row]]+Tasks[[#This Row],[_Descendants]])),Tasks[[#This Row],[_ShownCalcStart]]))</f>
        <v/>
      </c>
      <c r="FE161" s="89" t="str">
        <f aca="false">IF(Tasks[[#This Row],[Task Name]]="","",IF(Tasks[[#This Row],[_IsSummary]],MAX(INDEX(Tasks[_ShownCalcFinish],Tasks[[#This Row],[_Row]]+1):INDEX(Tasks[_ShownCalcFinish],Tasks[[#This Row],[_Row]]+Tasks[[#This Row],[_Descendants]])),Tasks[[#This Row],[_ShownCalcFinish]]))</f>
        <v/>
      </c>
      <c r="FF16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1" s="42" t="n">
        <f aca="false">IF(AND(Tasks[[#This Row],[_IsLeaf]]=1,Tasks[[#This Row],[_LeafTotalWork]]&gt;0),NETWORKDAYS.INTL(ProjectStart,Tasks[[#This Row],[_ShownFcstStart]],WorkWeek,Holidays),0)</f>
        <v>0</v>
      </c>
      <c r="FS161" s="42" t="n">
        <f aca="false">IF(AND(Tasks[[#This Row],[_IsLeaf]]=1,Tasks[[#This Row],[_LeafTotalWork]]&gt;0),MAX(Tasks[[#This Row],[_StartWorkday]],NETWORKDAYS.INTL(ProjectStart,Tasks[[#This Row],[_ShownFcstFinish]],WorkWeek,Holidays)),0)</f>
        <v>0</v>
      </c>
      <c r="FT161" s="42" t="n">
        <f aca="false">IF(AND(Tasks[[#This Row],[_IsLeaf]]=1,Tasks[[#This Row],[_LeafTotalWork]]&gt;0),Tasks[[#This Row],[_LeafWork]]/(Tasks[[#This Row],[_FinishWorkday]]-Tasks[[#This Row],[_StartWorkday]]+1),0)</f>
        <v>0</v>
      </c>
      <c r="FU161" s="42" t="n">
        <f aca="false">Tasks[[#This Row],[_WorkPerWorkday]]*(Tasks[[#This Row],[_StartWorkday]]-1)</f>
        <v>-0</v>
      </c>
      <c r="FV161" s="42" t="n">
        <f aca="false">IF(Tasks[[#This Row],[_IsLeaf]]=1,MAX(N(Tasks[[#This Row],[_Days]]),0.1),0)</f>
        <v>0</v>
      </c>
      <c r="FW161" s="42" t="n">
        <f aca="false">Tasks[[#This Row],[_WeightDur]]*Tasks[[#This Row],[_LeafProgress]]</f>
        <v>0</v>
      </c>
      <c r="FX161" s="42" t="n">
        <f aca="false">Tasks[[#This Row],[_WeightDur]]*Tasks[[#This Row],[_PlannedPct]]</f>
        <v>0</v>
      </c>
      <c r="FY16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1" s="42" t="str">
        <f aca="false">IF(AND(Tasks[[#This Row],[_IsLeaf]]=1,N(Tasks[[#This Row],[_Days]])=0,Tasks[[#This Row],[_LeafProgress]]&lt;1),Tasks[[#This Row],[_ShownFcstFinish]]+Tasks[[#This Row],[_Row]]/100000,"")</f>
        <v/>
      </c>
      <c r="GA16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1" s="42" t="str">
        <f aca="false">IF(Tasks[[#This Row],[Task Name]]="","",LEFT(Tasks[[#This Row],[WBS]],FIND(".",Tasks[[#This Row],[WBS]]&amp;".")-1))</f>
        <v/>
      </c>
      <c r="GC161" s="42" t="str">
        <f aca="false">IF(AND(Tasks[[#This Row],[Task Name]]&lt;&gt;"",Tasks[[#This Row],[_Level]]=1),Tasks[[#This Row],[_Row]],"")</f>
        <v/>
      </c>
      <c r="GD161" s="42" t="str">
        <f aca="false">IF(AND(Tasks[[#This Row],[_IsLeaf]]=1,N(Tasks[[#This Row],[_Days]])=0),Tasks[[#This Row],[Planned Finish]]+Tasks[[#This Row],[_Row]]/100000,"")</f>
        <v/>
      </c>
      <c r="GE161" s="42" t="str">
        <f aca="false">IF(AND(Tasks[[#This Row],[_IsLeaf]]=1,Tasks[[#This Row],[_LeafProgress]]&lt;1,OR(N(Tasks[[#This Row],[Finish Var]])&gt;0,Tasks[[#This Row],[Status]]="Late Start")),MAX(0,Tasks[[#This Row],[Finish Var]])+1-Tasks[[#This Row],[_Row]]/1000000,"")</f>
        <v/>
      </c>
      <c r="GF161" s="42" t="str">
        <f aca="false">IF(AND(Tasks[[#This Row],[_IsLeaf]]=1,N(Tasks[[#This Row],[Actual Start]])=0,Tasks[[#This Row],[_ShownFcstStart]]&gt;=StatusDate,Tasks[[#This Row],[_ShownFcstStart]]&lt;=LookaheadEnd),Tasks[[#This Row],[_ShownFcstStart]]+Tasks[[#This Row],[_Row]]/100000,"")</f>
        <v/>
      </c>
      <c r="GG161" s="42" t="str">
        <f aca="false">IF(AND(Tasks[[#This Row],[_IsLeaf]]=1,Tasks[[#This Row],[_LeafProgress]]&lt;1,Tasks[[#This Row],[_ShownFcstFinish]]&gt;=StatusDate,Tasks[[#This Row],[_ShownFcstFinish]]&lt;=LookaheadEnd),Tasks[[#This Row],[_ShownFcstFinish]]+Tasks[[#This Row],[_Row]]/100000,"")</f>
        <v/>
      </c>
      <c r="GH161" s="42" t="str">
        <f aca="false">IF(Tasks[[#This Row],[_LeafCritical]],Tasks[[#This Row],[_ShownFcstStart]]+Tasks[[#This Row],[_Row]]/100000,"")</f>
        <v/>
      </c>
      <c r="GI161" s="42" t="n">
        <f aca="false">Tasks[[#This Row],[_LeafWork]]*Tasks[[#This Row],[_LeafProgress]]</f>
        <v>0</v>
      </c>
      <c r="GJ161" s="89" t="str">
        <f aca="false">IF(AND(Tasks[[#This Row],[_IsLeaf]]=1,Tasks[[#This Row],[_LeafProgress]]&gt;=1),IF(N(Tasks[[#This Row],[Actual Finish]])&gt;0,Tasks[[#This Row],[Actual Finish]],Tasks[[#This Row],[_ShownFcstFinish]]),"")</f>
        <v/>
      </c>
      <c r="GK161" s="42" t="n">
        <f aca="false">IF(Tasks[[#This Row],[_IsLeaf]]=1,N(Tasks[[#This Row],[Story Points]]),0)</f>
        <v>0</v>
      </c>
      <c r="GL161" s="42" t="str">
        <f aca="false">""</f>
        <v/>
      </c>
      <c r="GM161" s="88" t="b">
        <f aca="false">IF(Tasks[[#This Row],[Task Name]]="",FALSE(),AND(Tasks[[#This Row],[_IsLeaf]]=1,N(Tasks[[#This Row],[_Days]])=0))</f>
        <v>0</v>
      </c>
      <c r="GN161" s="89" t="n">
        <f aca="false">IF(Tasks[[#This Row],[Task Name]]="",0,IF(AND(Tasks[[#This Row],[_IsLeaf]]=1,NOT(Tasks[[#This Row],[_IsMilestone]]),N(Tasks[[#This Row],[Progress]])&gt;0),Tasks[[#This Row],[Start]],0))</f>
        <v>0</v>
      </c>
      <c r="GO161" s="89" t="n">
        <f aca="false">IF(Tasks[[#This Row],[_DoneFrom]]=0,0,IF(Tasks[[#This Row],[Progress]]&gt;=1,Tasks[[#This Row],[Finish]],MAX(Tasks[[#This Row],[_DoneFrom]],Tasks[[#This Row],[Start]]+ROUND((Tasks[[#This Row],[Finish]]-Tasks[[#This Row],[Start]]+1)*Tasks[[#This Row],[Progress]],0)-1)))</f>
        <v>0</v>
      </c>
      <c r="GP161" s="89" t="n">
        <f aca="false">IF(Tasks[[#This Row],[Task Name]]="",0,IF(OR(NOT(Tasks[[#This Row],[_IsLeaf]]=1),Tasks[[#This Row],[_IsMilestone]],N(Tasks[[#This Row],[Progress]])&gt;=1),0,IF(Tasks[[#This Row],[_DoneTo]]&gt;0,Tasks[[#This Row],[_DoneTo]]+1,Tasks[[#This Row],[Start]])))</f>
        <v>0</v>
      </c>
      <c r="GQ161" s="89" t="n">
        <f aca="false">IF(Tasks[[#This Row],[_RemFrom]]=0,0,Tasks[[#This Row],[Finish]])</f>
        <v>0</v>
      </c>
      <c r="GR161" s="88" t="b">
        <f aca="false">IF(Tasks[[#This Row],[Task Name]]="",FALSE(),OR(NOT(BaselineSet),N(Tasks[[#This Row],[Baseline Start]])&gt;0))</f>
        <v>0</v>
      </c>
      <c r="GS16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1" s="90" t="str">
        <f aca="false">IF(Tasks[[#This Row],[_IsLeaf]]=1,Tasks[[#This Row],[_Row]],"")</f>
        <v/>
      </c>
      <c r="GW161" s="90" t="str">
        <f aca="false">IFERROR(INDEX(Tasks[UID],SMALL(Tasks[_PickKey],Tasks[[#This Row],[_Row]]))&amp;" "&amp;INDEX(Tasks[Task Name],SMALL(Tasks[_PickKey],Tasks[[#This Row],[_Row]])),"")</f>
        <v/>
      </c>
      <c r="GX161" s="42" t="str">
        <f aca="false">IF(Tasks[[#This Row],[Task Name]]="","",IF(Tasks[[#This Row],[_IsSummary]],NETWORKDAYS.INTL(Tasks[[#This Row],[Start]],Tasks[[#This Row],[Finish]],WorkWeek,Holidays),N(Tasks[[#This Row],[_Days]])))</f>
        <v/>
      </c>
    </row>
    <row r="162" customFormat="false" ht="15" hidden="false" customHeight="false" outlineLevel="0" collapsed="false">
      <c r="A162" s="21" t="str">
        <f aca="false">IF(Tasks[[#This Row],[Task Name]]="","",COUNTA(Tasks[[#Headers],[Task Name]]:Tasks[[#This Row],[Task Name]])-1)</f>
        <v/>
      </c>
      <c r="B162" s="22" t="n">
        <v>170</v>
      </c>
      <c r="C162" s="22"/>
      <c r="D162" s="23"/>
      <c r="E162" s="22"/>
      <c r="F162" s="23"/>
      <c r="G162" s="22"/>
      <c r="H162" s="22"/>
      <c r="I162" s="23"/>
      <c r="J162" s="22"/>
      <c r="K162" s="22"/>
      <c r="L162" s="23"/>
      <c r="M162" s="22"/>
      <c r="N162" s="22"/>
      <c r="O162" s="23"/>
      <c r="P162" s="22"/>
      <c r="Q162" s="22"/>
      <c r="R162" s="23"/>
      <c r="S162" s="23"/>
      <c r="T162" s="83"/>
      <c r="U162" s="23"/>
      <c r="V162" s="83"/>
      <c r="W162" s="23"/>
      <c r="X162" s="83"/>
      <c r="Y162" s="23"/>
      <c r="Z162" s="83"/>
      <c r="AA162" s="23"/>
      <c r="AB162" s="23"/>
      <c r="AC162" s="7"/>
      <c r="AD162" s="7"/>
      <c r="AE162" s="62" t="str">
        <f aca="false">IF(Tasks[[#This Row],[Task Name]]="","",IF(Tasks[[#This Row],[_IsSummary]],MIN(INDEX(Tasks[_ShownFcstStart],Tasks[[#This Row],[_Row]]+1):INDEX(Tasks[_ShownFcstStart],Tasks[[#This Row],[_Row]]+Tasks[[#This Row],[_Descendants]])),Tasks[[#This Row],[_ShownFcstStart]]))</f>
        <v/>
      </c>
      <c r="AF162" s="62" t="str">
        <f aca="false">IF(Tasks[[#This Row],[Task Name]]="","",IF(Tasks[[#This Row],[_IsSummary]],MAX(INDEX(Tasks[_ShownFcstFinish],Tasks[[#This Row],[_Row]]+1):INDEX(Tasks[_ShownFcstFinish],Tasks[[#This Row],[_Row]]+Tasks[[#This Row],[_Descendants]])),Tasks[[#This Row],[_ShownFcstFinish]]))</f>
        <v/>
      </c>
      <c r="AG162" s="21" t="str">
        <f aca="false">""</f>
        <v/>
      </c>
      <c r="AH162" s="23"/>
      <c r="AI16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2" s="7"/>
      <c r="AK162" s="22"/>
      <c r="AL162" s="23"/>
      <c r="AM162" s="7"/>
      <c r="AN162" s="46" t="str">
        <f aca="false">IF(Tasks[[#This Row],[Task Name]]="","",IF(Tasks[[#This Row],[Finish]]&gt;=Tasks[[#This Row],[Planned Finish]],NETWORKDAYS.INTL(Tasks[[#This Row],[Planned Finish]],Tasks[[#This Row],[Finish]],WorkWeek,Holidays)-1,1-NETWORKDAYS.INTL(Tasks[[#This Row],[Finish]],Tasks[[#This Row],[Planned Finish]],WorkWeek,Holidays)))</f>
        <v/>
      </c>
      <c r="AO162" s="21" t="str">
        <f aca="false">IF(Tasks[[#This Row],[Task Name]]="","",IF(Tasks[[#This Row],[Progress]]&gt;=1,"Complete",IF(OR(N(Tasks[[#This Row],[Actual Start]])&gt;0,Tasks[[#This Row],[Progress]]&gt;0),IF(Tasks[[#This Row],[Finish Var]]&gt;0,"Behind","In Progress"),IF(Tasks[[#This Row],[Planned Start]]&lt;StatusDate,"Late Start","Not Started"))))</f>
        <v/>
      </c>
      <c r="AP162" s="21" t="str">
        <f aca="false">IF(Tasks[[#This Row],[Task Name]]="","",IF(IF(Tasks[[#This Row],[_IsSummary]],COUNTIF(INDEX(Tasks[_LeafCritical],Tasks[[#This Row],[_Row]]+1):INDEX(Tasks[_LeafCritical],Tasks[[#This Row],[_Row]]+Tasks[[#This Row],[_Descendants]]),TRUE())&gt;0,Tasks[[#This Row],[_LeafCritical]]),"Yes",""))</f>
        <v/>
      </c>
      <c r="AQ162" s="62" t="str">
        <f aca="false">IF(Tasks[[#This Row],[Task Name]]="","",IF(N(Tasks[[#This Row],[Baseline Start]])&gt;0,Tasks[[#This Row],[Baseline Start]],Tasks[[#This Row],[_CalcStart]]))</f>
        <v/>
      </c>
      <c r="AR162" s="62" t="str">
        <f aca="false">IF(Tasks[[#This Row],[Task Name]]="","",IF(N(Tasks[[#This Row],[Baseline Finish]])&gt;0,Tasks[[#This Row],[Baseline Finish]],Tasks[[#This Row],[_CalcFinish]]))</f>
        <v/>
      </c>
      <c r="AS162" s="46" t="str">
        <f aca="false">IF(Tasks[[#This Row],[Task Name]]="","",IF(Tasks[[#This Row],[Start]]&gt;=Tasks[[#This Row],[Planned Start]],NETWORKDAYS.INTL(Tasks[[#This Row],[Planned Start]],Tasks[[#This Row],[Start]],WorkWeek,Holidays)-1,1-NETWORKDAYS.INTL(Tasks[[#This Row],[Start]],Tasks[[#This Row],[Planned Start]],WorkWeek,Holidays)))</f>
        <v/>
      </c>
      <c r="AT162" s="62" t="str">
        <f aca="false">IF(Tasks[[#This Row],[Task Name]]="","",IF(Tasks[[#This Row],[_IsSummary]],MIN(INDEX(Tasks[_LeafLateStart],Tasks[[#This Row],[_Row]]+1):INDEX(Tasks[_LeafLateStart],Tasks[[#This Row],[_Row]]+Tasks[[#This Row],[_Descendants]])),Tasks[[#This Row],[_LeafLateStart]]))</f>
        <v/>
      </c>
      <c r="AU162" s="62" t="str">
        <f aca="false">IF(Tasks[[#This Row],[Task Name]]="","",IF(Tasks[[#This Row],[_IsSummary]],MAX(INDEX(Tasks[_LeafLateFinish],Tasks[[#This Row],[_Row]]+1):INDEX(Tasks[_LeafLateFinish],Tasks[[#This Row],[_Row]]+Tasks[[#This Row],[_Descendants]])),Tasks[[#This Row],[_LeafLateFinish]]))</f>
        <v/>
      </c>
      <c r="AV162" s="46" t="str">
        <f aca="false">IF(Tasks[[#This Row],[Task Name]]="","",IF(Tasks[[#This Row],[_IsSummary]],MIN(INDEX(Tasks[_LeafTotalSlack],Tasks[[#This Row],[_Row]]+1):INDEX(Tasks[_LeafTotalSlack],Tasks[[#This Row],[_Row]]+Tasks[[#This Row],[_Descendants]])),Tasks[[#This Row],[_LeafTotalSlack]]))</f>
        <v/>
      </c>
      <c r="AW16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4"/>
      <c r="BA16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t="str">
        <f aca="false">IF(Tasks[[#This Row],[Task Name]]="","",IF(Tasks[[#This Row],[_Level]]&lt;=OutlineShowLevel,"Yes","No"))</f>
        <v/>
      </c>
      <c r="BE162" s="85" t="str">
        <f aca="false">IF(Tasks[[#This Row],[Task Name]]="","",IF(Tasks[[#This Row],[_IsSummary]],SUM(INDEX(Tasks[_LeafTotalWork],Tasks[[#This Row],[_Row]]+1):INDEX(Tasks[_LeafTotalWork],Tasks[[#This Row],[_Row]]+Tasks[[#This Row],[_Descendants]])),Tasks[[#This Row],[_LeafTotalWork]]))</f>
        <v/>
      </c>
      <c r="BF162" s="23"/>
      <c r="BG16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t="str">
        <f aca="false">""</f>
        <v/>
      </c>
      <c r="BI162" s="86"/>
      <c r="BJ162" s="22"/>
      <c r="BK162" s="46" t="str">
        <f aca="false">IF(OR(Tasks[[#This Row],[Task Name]]="",Tasks[[#This Row],[Baseline Duration]]=""),"",Tasks[[#This Row],[_SpanDays]]-N(Tasks[[#This Row],[Baseline Duration]]))</f>
        <v/>
      </c>
      <c r="BL162" s="85" t="str">
        <f aca="false">IF(OR(Tasks[[#This Row],[Task Name]]="",Tasks[[#This Row],[Baseline Work]]=""),"",Tasks[[#This Row],[Work]]-N(Tasks[[#This Row],[Baseline Work]]))</f>
        <v/>
      </c>
      <c r="BM162" s="62" t="str">
        <f aca="false">IF(Tasks[[#This Row],[Task Name]]="","",IF(OR(TakeBaseline="Yes",N(Tasks[[#This Row],[Baseline Start]])=0),Tasks[[#This Row],[Start]],Tasks[[#This Row],[Baseline Start]]))</f>
        <v/>
      </c>
      <c r="BN162" s="62" t="str">
        <f aca="false">IF(Tasks[[#This Row],[Task Name]]="","",IF(OR(TakeBaseline="Yes",N(Tasks[[#This Row],[Baseline Finish]])=0),Tasks[[#This Row],[Finish]],Tasks[[#This Row],[Baseline Finish]]))</f>
        <v/>
      </c>
      <c r="BO162" s="21" t="str">
        <f aca="false">IF(Tasks[[#This Row],[Task Name]]="","",IF(OR(TakeBaseline="Yes",N(Tasks[[#This Row],[Baseline Duration]])=0),Tasks[[#This Row],[_SpanDays]],Tasks[[#This Row],[Baseline Duration]]))</f>
        <v/>
      </c>
      <c r="BP162" s="85" t="str">
        <f aca="false">IF(Tasks[[#This Row],[Task Name]]="","",IF(OR(TakeBaseline="Yes",N(Tasks[[#This Row],[Baseline Work]])=0),Tasks[[#This Row],[Work]],Tasks[[#This Row],[Baseline Work]]))</f>
        <v/>
      </c>
      <c r="BQ162" s="7"/>
      <c r="BR162" s="7"/>
      <c r="BS162" s="22"/>
      <c r="BT162" s="87"/>
      <c r="BU162" s="42" t="str">
        <f aca="false">IF(Tasks[[#This Row],[Task Name]]="","",MAX(1,N(Tasks[[#This Row],[Level]])))</f>
        <v/>
      </c>
      <c r="BV162" s="42" t="n">
        <f aca="false">ROW()-ROW(Tasks[[#Headers],[ID]])</f>
        <v>157</v>
      </c>
      <c r="BW162" s="42" t="n">
        <f aca="false">IF(OR(Tasks[[#This Row],[Task Name]]="",Tasks[[#This Row],[_Level]]&lt;=1),0,IFERROR(LOOKUP(2,1/(Tasks[[#Headers],[_Level]]:Tasks[[#This Row],[_Level]]=Tasks[[#This Row],[_Level]]-1),ROW(Tasks[[#Headers],[_Level]]:Tasks[[#This Row],[_Level]])),0))</f>
        <v>0</v>
      </c>
      <c r="BX162" s="42" t="n">
        <f aca="false">IFERROR(N(INDEX(Tasks[_Level],Tasks[[#This Row],[_Row]]+1)),0)</f>
        <v>0</v>
      </c>
      <c r="BY162" s="88" t="b">
        <f aca="false">AND(Tasks[[#This Row],[Task Name]]&lt;&gt;"",Tasks[[#This Row],[_NextLevel]]&gt;Tasks[[#This Row],[_Level]])</f>
        <v>0</v>
      </c>
      <c r="BZ162" s="42" t="n">
        <f aca="false">IF(Tasks[[#This Row],[_IsSummary]],COUNTIF(Tasks[WBS],Tasks[[#This Row],[WBS]]&amp;".*"),0)</f>
        <v>0</v>
      </c>
      <c r="CA162" s="42" t="n">
        <f aca="false">IF(AND(Tasks[[#This Row],[Task Name]]&lt;&gt;"",NOT(Tasks[[#This Row],[_IsSummary]])),1,0)</f>
        <v>0</v>
      </c>
      <c r="CB162" s="42" t="n">
        <f aca="false">IF(N(Tasks[[#This Row],[_Pred1UID]])=0,0,IFERROR(MATCH(Tasks[[#This Row],[_Pred1UID]],Tasks[UID],0),-1))</f>
        <v>0</v>
      </c>
      <c r="CC162" s="42" t="n">
        <f aca="false">IF(N(Tasks[[#This Row],[_Pred2UID]])=0,0,IFERROR(MATCH(Tasks[[#This Row],[_Pred2UID]],Tasks[UID],0),-1))</f>
        <v>0</v>
      </c>
      <c r="CD162" s="42" t="n">
        <f aca="false">IF(N(Tasks[[#This Row],[_Pred3UID]])=0,0,IFERROR(MATCH(Tasks[[#This Row],[_Pred3UID]],Tasks[UID],0),-1))</f>
        <v>0</v>
      </c>
      <c r="CE162" s="42" t="n">
        <f aca="false">IF(N(Tasks[[#This Row],[_Pred4UID]])=0,0,IFERROR(MATCH(Tasks[[#This Row],[_Pred4UID]],Tasks[UID],0),-1))</f>
        <v>0</v>
      </c>
      <c r="CF16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2" s="89" t="n">
        <f aca="false">IF(OR(Tasks[[#This Row],[_ConstraintCode]]=2,Tasks[[#This Row],[_ConstraintCode]]=3,Tasks[[#This Row],[_ConstraintCode]]=4,Tasks[[#This Row],[_ConstraintCode]]=6),Tasks[[#This Row],[_ConstraintStart]],0)</f>
        <v>0</v>
      </c>
      <c r="CI162" s="89" t="n">
        <f aca="false">IF(OR(Tasks[[#This Row],[_ConstraintCode]]=2,Tasks[[#This Row],[_ConstraintCode]]=3,Tasks[[#This Row],[_ConstraintCode]]=5,Tasks[[#This Row],[_ConstraintCode]]=7),Tasks[[#This Row],[_ConstraintStart]],2958465)</f>
        <v>2958465</v>
      </c>
      <c r="CJ16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2" s="89" t="str">
        <f aca="false">IF(NOT(Tasks[[#This Row],[_IsLeaf]]=1),"",IF(N(Tasks[[#This Row],[_Days]])&lt;=0,Tasks[[#This Row],[_LeafCalcStart]],WORKDAY.INTL(Tasks[[#This Row],[_LeafCalcStart]],Tasks[[#This Row],[_Days]]-1,WorkWeek,Holidays)))</f>
        <v/>
      </c>
      <c r="CL16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2" s="42" t="str">
        <f aca="false">IF(Tasks[[#This Row],[_Predecessors]]="","",TRIM(MID(SUBSTITUTE(SUBSTITUTE(SUBSTITUTE(UPPER(Tasks[[#This Row],[_Predecessors]]),";",",")," ",""),",",REPT(" ",99)),1,99)))</f>
        <v/>
      </c>
      <c r="CO162" s="42" t="str">
        <f aca="false">IF(Tasks[[#This Row],[_Pred1Text]]="","",IFERROR(VALUE(LEFT(Tasks[[#This Row],[_Pred1Text]],MIN(FIND("F",Tasks[[#This Row],[_Pred1Text]]&amp;"F"),FIND("S",Tasks[[#This Row],[_Pred1Text]]&amp;"S"),FIND("+",Tasks[[#This Row],[_Pred1Text]]&amp;"+"),FIND("-",Tasks[[#This Row],[_Pred1Text]]&amp;"-"))-1)),""))</f>
        <v/>
      </c>
      <c r="CP16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2" s="42" t="str">
        <f aca="false">IF(Tasks[[#This Row],[_Pred1Text]]="","",TRIM(MID(SUBSTITUTE(SUBSTITUTE(SUBSTITUTE(UPPER(Tasks[[#This Row],[_Predecessors]]),";",",")," ",""),",",REPT(" ",99)),100,99)))</f>
        <v/>
      </c>
      <c r="CS162" s="42" t="str">
        <f aca="false">IF(Tasks[[#This Row],[_Pred2Text]]="","",IFERROR(VALUE(LEFT(Tasks[[#This Row],[_Pred2Text]],MIN(FIND("F",Tasks[[#This Row],[_Pred2Text]]&amp;"F"),FIND("S",Tasks[[#This Row],[_Pred2Text]]&amp;"S"),FIND("+",Tasks[[#This Row],[_Pred2Text]]&amp;"+"),FIND("-",Tasks[[#This Row],[_Pred2Text]]&amp;"-"))-1)),""))</f>
        <v/>
      </c>
      <c r="CT16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2" s="42" t="str">
        <f aca="false">IF(Tasks[[#This Row],[_Pred2Text]]="","",TRIM(MID(SUBSTITUTE(SUBSTITUTE(SUBSTITUTE(UPPER(Tasks[[#This Row],[_Predecessors]]),";",",")," ",""),",",REPT(" ",99)),199,99)))</f>
        <v/>
      </c>
      <c r="CW162" s="42" t="str">
        <f aca="false">IF(Tasks[[#This Row],[_Pred3Text]]="","",IFERROR(VALUE(LEFT(Tasks[[#This Row],[_Pred3Text]],MIN(FIND("F",Tasks[[#This Row],[_Pred3Text]]&amp;"F"),FIND("S",Tasks[[#This Row],[_Pred3Text]]&amp;"S"),FIND("+",Tasks[[#This Row],[_Pred3Text]]&amp;"+"),FIND("-",Tasks[[#This Row],[_Pred3Text]]&amp;"-"))-1)),""))</f>
        <v/>
      </c>
      <c r="CX16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2" s="42" t="str">
        <f aca="false">IF(Tasks[[#This Row],[_Pred3Text]]="","",TRIM(MID(SUBSTITUTE(SUBSTITUTE(SUBSTITUTE(UPPER(Tasks[[#This Row],[_Predecessors]]),";",",")," ",""),",",REPT(" ",99)),298,99)))</f>
        <v/>
      </c>
      <c r="DA162" s="42" t="str">
        <f aca="false">IF(Tasks[[#This Row],[_Pred4Text]]="","",IFERROR(VALUE(LEFT(Tasks[[#This Row],[_Pred4Text]],MIN(FIND("F",Tasks[[#This Row],[_Pred4Text]]&amp;"F"),FIND("S",Tasks[[#This Row],[_Pred4Text]]&amp;"S"),FIND("+",Tasks[[#This Row],[_Pred4Text]]&amp;"+"),FIND("-",Tasks[[#This Row],[_Pred4Text]]&amp;"-"))-1)),""))</f>
        <v/>
      </c>
      <c r="DB16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2" s="42" t="str">
        <f aca="false">IF(OR(Tasks[[#This Row],[Task Name]]="",Tasks[[#This Row],[_Resources]]=""),"",TRIM(MID(SUBSTITUTE(Tasks[[#This Row],[_Resources]],",",REPT(" ",99)),1,99)))</f>
        <v/>
      </c>
      <c r="DE162" s="42" t="str">
        <f aca="false">IF(Tasks[[#This Row],[_Res1Text]]="","",TRIM(MID(SUBSTITUTE(Tasks[[#This Row],[_Resources]],",",REPT(" ",99)),100,99)))</f>
        <v/>
      </c>
      <c r="DF162" s="42" t="str">
        <f aca="false">IF(Tasks[[#This Row],[_Res2Text]]="","",TRIM(MID(SUBSTITUTE(Tasks[[#This Row],[_Resources]],",",REPT(" ",99)),199,99)))</f>
        <v/>
      </c>
      <c r="DG162" s="42" t="str">
        <f aca="false">IF(Tasks[[#This Row],[_Res3Text]]="","",TRIM(MID(SUBSTITUTE(Tasks[[#This Row],[_Resources]],",",REPT(" ",99)),298,99)))</f>
        <v/>
      </c>
      <c r="DH162" s="42" t="n">
        <f aca="false">IF(Tasks[[#This Row],[_Res1Text]]="",0,IFERROR(MATCH(TRIM(LEFT(Tasks[[#This Row],[_Res1Text]],FIND("[",Tasks[[#This Row],[_Res1Text]]&amp;"[")-1)),res_Name,0),IFERROR(MATCH(TRIM(LEFT(Tasks[[#This Row],[_Res1Text]],FIND("[",Tasks[[#This Row],[_Res1Text]]&amp;"[")-1)),res_Initials,0),0)))</f>
        <v>0</v>
      </c>
      <c r="DI162" s="42" t="n">
        <f aca="false">IF(Tasks[[#This Row],[_Res2Text]]="",0,IFERROR(MATCH(TRIM(LEFT(Tasks[[#This Row],[_Res2Text]],FIND("[",Tasks[[#This Row],[_Res2Text]]&amp;"[")-1)),res_Name,0),IFERROR(MATCH(TRIM(LEFT(Tasks[[#This Row],[_Res2Text]],FIND("[",Tasks[[#This Row],[_Res2Text]]&amp;"[")-1)),res_Initials,0),0)))</f>
        <v>0</v>
      </c>
      <c r="DJ162" s="42" t="n">
        <f aca="false">IF(Tasks[[#This Row],[_Res3Text]]="",0,IFERROR(MATCH(TRIM(LEFT(Tasks[[#This Row],[_Res3Text]],FIND("[",Tasks[[#This Row],[_Res3Text]]&amp;"[")-1)),res_Name,0),IFERROR(MATCH(TRIM(LEFT(Tasks[[#This Row],[_Res3Text]],FIND("[",Tasks[[#This Row],[_Res3Text]]&amp;"[")-1)),res_Initials,0),0)))</f>
        <v>0</v>
      </c>
      <c r="DK162" s="42" t="n">
        <f aca="false">IF(Tasks[[#This Row],[_Res4Text]]="",0,IFERROR(MATCH(TRIM(LEFT(Tasks[[#This Row],[_Res4Text]],FIND("[",Tasks[[#This Row],[_Res4Text]]&amp;"[")-1)),res_Name,0),IFERROR(MATCH(TRIM(LEFT(Tasks[[#This Row],[_Res4Text]],FIND("[",Tasks[[#This Row],[_Res4Text]]&amp;"[")-1)),res_Initials,0),0)))</f>
        <v>0</v>
      </c>
      <c r="DL162" s="42" t="str">
        <f aca="false">IF(Tasks[[#This Row],[_Res1Text]]="","",IF(Tasks[[#This Row],[_Res1Row]]&gt;0,INDEX(res_Name,Tasks[[#This Row],[_Res1Row]]),TRIM(LEFT(Tasks[[#This Row],[_Res1Text]],FIND("[",Tasks[[#This Row],[_Res1Text]]&amp;"[")-1))))</f>
        <v/>
      </c>
      <c r="DM16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2" s="42" t="n">
        <f aca="false">IF(NOT(Tasks[[#This Row],[_IsLeaf]]=1),0,(Tasks[[#This Row],[_Resource1]]&lt;&gt;"")+(Tasks[[#This Row],[_Res2]]&lt;&gt;"")+(Tasks[[#This Row],[_Res3]]&lt;&gt;"")+(Tasks[[#This Row],[_Res4]]&lt;&gt;""))</f>
        <v>0</v>
      </c>
      <c r="DO162" s="42" t="str">
        <f aca="false">IF(Tasks[[#This Row],[_Res2Text]]="","",IF(Tasks[[#This Row],[_Res2Row]]&gt;0,INDEX(res_Name,Tasks[[#This Row],[_Res2Row]]),TRIM(LEFT(Tasks[[#This Row],[_Res2Text]],FIND("[",Tasks[[#This Row],[_Res2Text]]&amp;"[")-1))))</f>
        <v/>
      </c>
      <c r="DP16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2" s="42" t="n">
        <f aca="false">IF(OR(NOT(Tasks[[#This Row],[_IsLeaf]]=1),Tasks[[#This Row],[_Res2Row]]=0),0,N(Tasks[[#This Row],[_Days]])*HoursPerDay*IF(Tasks[[#This Row],[_Res2Units]]="",DefaultUnits,Tasks[[#This Row],[_Res2Units]]))</f>
        <v>0</v>
      </c>
      <c r="DR162" s="42" t="n">
        <f aca="false">IF(AND(AND(Tasks[[#This Row],[_IsLeaf]]=1,Tasks[[#This Row],[_LeafTotalWork]]&gt;0),Tasks[[#This Row],[_Res2Work]]&gt;0),Tasks[[#This Row],[_Res2Work]]/(Tasks[[#This Row],[_FinishWorkday]]-Tasks[[#This Row],[_StartWorkday]]+1),0)</f>
        <v>0</v>
      </c>
      <c r="DS162" s="42" t="n">
        <f aca="false">Tasks[[#This Row],[_Res2WorkPerWD]]*MAX(0,Tasks[[#This Row],[_StartWorkday]]-1)</f>
        <v>0</v>
      </c>
      <c r="DT162" s="42" t="n">
        <f aca="false">Tasks[[#This Row],[_Res2Work]]*Tasks[[#This Row],[_LeafProgress]]</f>
        <v>0</v>
      </c>
      <c r="DU162" s="42" t="str">
        <f aca="false">IF(Tasks[[#This Row],[_Res3Text]]="","",IF(Tasks[[#This Row],[_Res3Row]]&gt;0,INDEX(res_Name,Tasks[[#This Row],[_Res3Row]]),TRIM(LEFT(Tasks[[#This Row],[_Res3Text]],FIND("[",Tasks[[#This Row],[_Res3Text]]&amp;"[")-1))))</f>
        <v/>
      </c>
      <c r="DV16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2" s="42" t="n">
        <f aca="false">IF(OR(NOT(Tasks[[#This Row],[_IsLeaf]]=1),Tasks[[#This Row],[_Res3Row]]=0),0,N(Tasks[[#This Row],[_Days]])*HoursPerDay*IF(Tasks[[#This Row],[_Res3Units]]="",DefaultUnits,Tasks[[#This Row],[_Res3Units]]))</f>
        <v>0</v>
      </c>
      <c r="DX162" s="42" t="n">
        <f aca="false">IF(AND(AND(Tasks[[#This Row],[_IsLeaf]]=1,Tasks[[#This Row],[_LeafTotalWork]]&gt;0),Tasks[[#This Row],[_Res3Work]]&gt;0),Tasks[[#This Row],[_Res3Work]]/(Tasks[[#This Row],[_FinishWorkday]]-Tasks[[#This Row],[_StartWorkday]]+1),0)</f>
        <v>0</v>
      </c>
      <c r="DY162" s="42" t="n">
        <f aca="false">Tasks[[#This Row],[_Res3WorkPerWD]]*MAX(0,Tasks[[#This Row],[_StartWorkday]]-1)</f>
        <v>0</v>
      </c>
      <c r="DZ162" s="42" t="n">
        <f aca="false">Tasks[[#This Row],[_Res3Work]]*Tasks[[#This Row],[_LeafProgress]]</f>
        <v>0</v>
      </c>
      <c r="EA162" s="42" t="str">
        <f aca="false">IF(Tasks[[#This Row],[_Res4Text]]="","",IF(Tasks[[#This Row],[_Res4Row]]&gt;0,INDEX(res_Name,Tasks[[#This Row],[_Res4Row]]),TRIM(LEFT(Tasks[[#This Row],[_Res4Text]],FIND("[",Tasks[[#This Row],[_Res4Text]]&amp;"[")-1))))</f>
        <v/>
      </c>
      <c r="EB16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2" s="42" t="n">
        <f aca="false">IF(OR(NOT(Tasks[[#This Row],[_IsLeaf]]=1),Tasks[[#This Row],[_Res4Row]]=0),0,N(Tasks[[#This Row],[_Days]])*HoursPerDay*IF(Tasks[[#This Row],[_Res4Units]]="",DefaultUnits,Tasks[[#This Row],[_Res4Units]]))</f>
        <v>0</v>
      </c>
      <c r="ED162" s="42" t="n">
        <f aca="false">IF(AND(AND(Tasks[[#This Row],[_IsLeaf]]=1,Tasks[[#This Row],[_LeafTotalWork]]&gt;0),Tasks[[#This Row],[_Res4Work]]&gt;0),Tasks[[#This Row],[_Res4Work]]/(Tasks[[#This Row],[_FinishWorkday]]-Tasks[[#This Row],[_StartWorkday]]+1),0)</f>
        <v>0</v>
      </c>
      <c r="EE162" s="42" t="n">
        <f aca="false">Tasks[[#This Row],[_Res4WorkPerWD]]*MAX(0,Tasks[[#This Row],[_StartWorkday]]-1)</f>
        <v>0</v>
      </c>
      <c r="EF162" s="42" t="n">
        <f aca="false">Tasks[[#This Row],[_Res4Work]]*Tasks[[#This Row],[_LeafProgress]]</f>
        <v>0</v>
      </c>
      <c r="EG162" s="42" t="n">
        <f aca="false">IF(ISNUMBER(Tasks[[#This Row],[% Complete]]),Tasks[[#This Row],[% Complete]],IF(Tasks[[#This Row],[Stage]]="",0,IFERROR(INDEX(stg_Pct,MATCH(Tasks[[#This Row],[Stage]],stg_Name,0)),0)))</f>
        <v>0</v>
      </c>
      <c r="EH162" s="42" t="n">
        <f aca="false">IF(NOT(Tasks[[#This Row],[_IsLeaf]]=1),0,IF(N(Tasks[[#This Row],[Actual Finish]])&gt;0,1,MIN(1,Tasks[[#This Row],[_Pct]])))</f>
        <v>0</v>
      </c>
      <c r="EI162" s="42" t="n">
        <f aca="false">IF(OR(NOT(Tasks[[#This Row],[_IsLeaf]]=1),Tasks[[#This Row],[_Res1Row]]=0),0,N(Tasks[[#This Row],[_Days]])*HoursPerDay*IF(Tasks[[#This Row],[_Units1]]="",DefaultUnits,Tasks[[#This Row],[_Units1]]))</f>
        <v>0</v>
      </c>
      <c r="EJ162" s="42" t="n">
        <f aca="false">Tasks[[#This Row],[_LeafWork]]+Tasks[[#This Row],[_Res2Work]]+Tasks[[#This Row],[_Res3Work]]+Tasks[[#This Row],[_Res4Work]]</f>
        <v>0</v>
      </c>
      <c r="EK16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2" s="42" t="n">
        <f aca="false">IF(NOT(Tasks[[#This Row],[_IsLeaf]]=1),0,MAX(_xlfn.MAXIFS(Tasks[_Row],Tasks[_Pred1UID],Tasks[[#This Row],[UID]]),_xlfn.MAXIFS(Tasks[_Row],Tasks[_Pred2UID],Tasks[[#This Row],[UID]]),_xlfn.MAXIFS(Tasks[_Row],Tasks[_Pred3UID],Tasks[[#This Row],[UID]]),_xlfn.MAXIFS(Tasks[_Row],Tasks[_Pred4UID],Tasks[[#This Row],[UID]])))</f>
        <v>0</v>
      </c>
      <c r="ET16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2" s="89" t="str">
        <f aca="false">IF(NOT(Tasks[[#This Row],[_IsLeaf]]=1),"",IF(N(Tasks[[#This Row],[_Days]])&lt;=0,Tasks[[#This Row],[_LeafLateFinish]],WORKDAY.INTL(Tasks[[#This Row],[_LeafLateFinish]],-(Tasks[[#This Row],[_Days]]-1),WorkWeek,Holidays)))</f>
        <v/>
      </c>
      <c r="EW16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2" s="88" t="b">
        <f aca="false">AND(Tasks[[#This Row],[_IsLeaf]]=1,Tasks[[#This Row],[_LeafProgress]]&lt;1,N(Tasks[[#This Row],[_LeafTotalSlack]])&lt;=CriticalSlackDays)</f>
        <v>0</v>
      </c>
      <c r="EY162" s="42" t="n">
        <f aca="false">IF(AND(Tasks[[#This Row],[_IsLeaf]]=1,Tasks[[#This Row],[_ConstraintCode]]=1,Tasks[[#This Row],[Mode]]&lt;&gt;"Manual",N(Tasks[[#This Row],[Actual Start]])=0),MAX(0,N(Tasks[[#This Row],[Free Slack]])),0)</f>
        <v>0</v>
      </c>
      <c r="EZ162" s="89" t="str">
        <f aca="false">IF(NOT(Tasks[[#This Row],[_IsLeaf]]=1),"",IF(Tasks[[#This Row],[_AlapShift]]=0,Tasks[[#This Row],[_LeafCalcStart]],WORKDAY.INTL(Tasks[[#This Row],[_LeafCalcStart]],Tasks[[#This Row],[_AlapShift]],WorkWeek,Holidays)))</f>
        <v/>
      </c>
      <c r="FA162" s="89" t="str">
        <f aca="false">IF(NOT(Tasks[[#This Row],[_IsLeaf]]=1),"",IF(Tasks[[#This Row],[_AlapShift]]=0,Tasks[[#This Row],[_LeafCalcFinish]],WORKDAY.INTL(Tasks[[#This Row],[_LeafCalcFinish]],Tasks[[#This Row],[_AlapShift]],WorkWeek,Holidays)))</f>
        <v/>
      </c>
      <c r="FB162" s="89" t="str">
        <f aca="false">IF(NOT(Tasks[[#This Row],[_IsLeaf]]=1),"",IF(Tasks[[#This Row],[_AlapShift]]=0,Tasks[[#This Row],[_LeafFcstStart]],WORKDAY.INTL(Tasks[[#This Row],[_LeafFcstStart]],Tasks[[#This Row],[_AlapShift]],WorkWeek,Holidays)))</f>
        <v/>
      </c>
      <c r="FC162" s="89" t="str">
        <f aca="false">IF(NOT(Tasks[[#This Row],[_IsLeaf]]=1),"",IF(Tasks[[#This Row],[_AlapShift]]=0,Tasks[[#This Row],[_LeafFcstFinish]],WORKDAY.INTL(Tasks[[#This Row],[_LeafFcstFinish]],Tasks[[#This Row],[_AlapShift]],WorkWeek,Holidays)))</f>
        <v/>
      </c>
      <c r="FD162" s="89" t="str">
        <f aca="false">IF(Tasks[[#This Row],[Task Name]]="","",IF(Tasks[[#This Row],[_IsSummary]],MIN(INDEX(Tasks[_ShownCalcStart],Tasks[[#This Row],[_Row]]+1):INDEX(Tasks[_ShownCalcStart],Tasks[[#This Row],[_Row]]+Tasks[[#This Row],[_Descendants]])),Tasks[[#This Row],[_ShownCalcStart]]))</f>
        <v/>
      </c>
      <c r="FE162" s="89" t="str">
        <f aca="false">IF(Tasks[[#This Row],[Task Name]]="","",IF(Tasks[[#This Row],[_IsSummary]],MAX(INDEX(Tasks[_ShownCalcFinish],Tasks[[#This Row],[_Row]]+1):INDEX(Tasks[_ShownCalcFinish],Tasks[[#This Row],[_Row]]+Tasks[[#This Row],[_Descendants]])),Tasks[[#This Row],[_ShownCalcFinish]]))</f>
        <v/>
      </c>
      <c r="FF16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2" s="42" t="n">
        <f aca="false">IF(AND(Tasks[[#This Row],[_IsLeaf]]=1,Tasks[[#This Row],[_LeafTotalWork]]&gt;0),NETWORKDAYS.INTL(ProjectStart,Tasks[[#This Row],[_ShownFcstStart]],WorkWeek,Holidays),0)</f>
        <v>0</v>
      </c>
      <c r="FS162" s="42" t="n">
        <f aca="false">IF(AND(Tasks[[#This Row],[_IsLeaf]]=1,Tasks[[#This Row],[_LeafTotalWork]]&gt;0),MAX(Tasks[[#This Row],[_StartWorkday]],NETWORKDAYS.INTL(ProjectStart,Tasks[[#This Row],[_ShownFcstFinish]],WorkWeek,Holidays)),0)</f>
        <v>0</v>
      </c>
      <c r="FT162" s="42" t="n">
        <f aca="false">IF(AND(Tasks[[#This Row],[_IsLeaf]]=1,Tasks[[#This Row],[_LeafTotalWork]]&gt;0),Tasks[[#This Row],[_LeafWork]]/(Tasks[[#This Row],[_FinishWorkday]]-Tasks[[#This Row],[_StartWorkday]]+1),0)</f>
        <v>0</v>
      </c>
      <c r="FU162" s="42" t="n">
        <f aca="false">Tasks[[#This Row],[_WorkPerWorkday]]*(Tasks[[#This Row],[_StartWorkday]]-1)</f>
        <v>-0</v>
      </c>
      <c r="FV162" s="42" t="n">
        <f aca="false">IF(Tasks[[#This Row],[_IsLeaf]]=1,MAX(N(Tasks[[#This Row],[_Days]]),0.1),0)</f>
        <v>0</v>
      </c>
      <c r="FW162" s="42" t="n">
        <f aca="false">Tasks[[#This Row],[_WeightDur]]*Tasks[[#This Row],[_LeafProgress]]</f>
        <v>0</v>
      </c>
      <c r="FX162" s="42" t="n">
        <f aca="false">Tasks[[#This Row],[_WeightDur]]*Tasks[[#This Row],[_PlannedPct]]</f>
        <v>0</v>
      </c>
      <c r="FY16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2" s="42" t="str">
        <f aca="false">IF(AND(Tasks[[#This Row],[_IsLeaf]]=1,N(Tasks[[#This Row],[_Days]])=0,Tasks[[#This Row],[_LeafProgress]]&lt;1),Tasks[[#This Row],[_ShownFcstFinish]]+Tasks[[#This Row],[_Row]]/100000,"")</f>
        <v/>
      </c>
      <c r="GA16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2" s="42" t="str">
        <f aca="false">IF(Tasks[[#This Row],[Task Name]]="","",LEFT(Tasks[[#This Row],[WBS]],FIND(".",Tasks[[#This Row],[WBS]]&amp;".")-1))</f>
        <v/>
      </c>
      <c r="GC162" s="42" t="str">
        <f aca="false">IF(AND(Tasks[[#This Row],[Task Name]]&lt;&gt;"",Tasks[[#This Row],[_Level]]=1),Tasks[[#This Row],[_Row]],"")</f>
        <v/>
      </c>
      <c r="GD162" s="42" t="str">
        <f aca="false">IF(AND(Tasks[[#This Row],[_IsLeaf]]=1,N(Tasks[[#This Row],[_Days]])=0),Tasks[[#This Row],[Planned Finish]]+Tasks[[#This Row],[_Row]]/100000,"")</f>
        <v/>
      </c>
      <c r="GE162" s="42" t="str">
        <f aca="false">IF(AND(Tasks[[#This Row],[_IsLeaf]]=1,Tasks[[#This Row],[_LeafProgress]]&lt;1,OR(N(Tasks[[#This Row],[Finish Var]])&gt;0,Tasks[[#This Row],[Status]]="Late Start")),MAX(0,Tasks[[#This Row],[Finish Var]])+1-Tasks[[#This Row],[_Row]]/1000000,"")</f>
        <v/>
      </c>
      <c r="GF162" s="42" t="str">
        <f aca="false">IF(AND(Tasks[[#This Row],[_IsLeaf]]=1,N(Tasks[[#This Row],[Actual Start]])=0,Tasks[[#This Row],[_ShownFcstStart]]&gt;=StatusDate,Tasks[[#This Row],[_ShownFcstStart]]&lt;=LookaheadEnd),Tasks[[#This Row],[_ShownFcstStart]]+Tasks[[#This Row],[_Row]]/100000,"")</f>
        <v/>
      </c>
      <c r="GG162" s="42" t="str">
        <f aca="false">IF(AND(Tasks[[#This Row],[_IsLeaf]]=1,Tasks[[#This Row],[_LeafProgress]]&lt;1,Tasks[[#This Row],[_ShownFcstFinish]]&gt;=StatusDate,Tasks[[#This Row],[_ShownFcstFinish]]&lt;=LookaheadEnd),Tasks[[#This Row],[_ShownFcstFinish]]+Tasks[[#This Row],[_Row]]/100000,"")</f>
        <v/>
      </c>
      <c r="GH162" s="42" t="str">
        <f aca="false">IF(Tasks[[#This Row],[_LeafCritical]],Tasks[[#This Row],[_ShownFcstStart]]+Tasks[[#This Row],[_Row]]/100000,"")</f>
        <v/>
      </c>
      <c r="GI162" s="42" t="n">
        <f aca="false">Tasks[[#This Row],[_LeafWork]]*Tasks[[#This Row],[_LeafProgress]]</f>
        <v>0</v>
      </c>
      <c r="GJ162" s="89" t="str">
        <f aca="false">IF(AND(Tasks[[#This Row],[_IsLeaf]]=1,Tasks[[#This Row],[_LeafProgress]]&gt;=1),IF(N(Tasks[[#This Row],[Actual Finish]])&gt;0,Tasks[[#This Row],[Actual Finish]],Tasks[[#This Row],[_ShownFcstFinish]]),"")</f>
        <v/>
      </c>
      <c r="GK162" s="42" t="n">
        <f aca="false">IF(Tasks[[#This Row],[_IsLeaf]]=1,N(Tasks[[#This Row],[Story Points]]),0)</f>
        <v>0</v>
      </c>
      <c r="GL162" s="42" t="str">
        <f aca="false">""</f>
        <v/>
      </c>
      <c r="GM162" s="88" t="b">
        <f aca="false">IF(Tasks[[#This Row],[Task Name]]="",FALSE(),AND(Tasks[[#This Row],[_IsLeaf]]=1,N(Tasks[[#This Row],[_Days]])=0))</f>
        <v>0</v>
      </c>
      <c r="GN162" s="89" t="n">
        <f aca="false">IF(Tasks[[#This Row],[Task Name]]="",0,IF(AND(Tasks[[#This Row],[_IsLeaf]]=1,NOT(Tasks[[#This Row],[_IsMilestone]]),N(Tasks[[#This Row],[Progress]])&gt;0),Tasks[[#This Row],[Start]],0))</f>
        <v>0</v>
      </c>
      <c r="GO162" s="89" t="n">
        <f aca="false">IF(Tasks[[#This Row],[_DoneFrom]]=0,0,IF(Tasks[[#This Row],[Progress]]&gt;=1,Tasks[[#This Row],[Finish]],MAX(Tasks[[#This Row],[_DoneFrom]],Tasks[[#This Row],[Start]]+ROUND((Tasks[[#This Row],[Finish]]-Tasks[[#This Row],[Start]]+1)*Tasks[[#This Row],[Progress]],0)-1)))</f>
        <v>0</v>
      </c>
      <c r="GP162" s="89" t="n">
        <f aca="false">IF(Tasks[[#This Row],[Task Name]]="",0,IF(OR(NOT(Tasks[[#This Row],[_IsLeaf]]=1),Tasks[[#This Row],[_IsMilestone]],N(Tasks[[#This Row],[Progress]])&gt;=1),0,IF(Tasks[[#This Row],[_DoneTo]]&gt;0,Tasks[[#This Row],[_DoneTo]]+1,Tasks[[#This Row],[Start]])))</f>
        <v>0</v>
      </c>
      <c r="GQ162" s="89" t="n">
        <f aca="false">IF(Tasks[[#This Row],[_RemFrom]]=0,0,Tasks[[#This Row],[Finish]])</f>
        <v>0</v>
      </c>
      <c r="GR162" s="88" t="b">
        <f aca="false">IF(Tasks[[#This Row],[Task Name]]="",FALSE(),OR(NOT(BaselineSet),N(Tasks[[#This Row],[Baseline Start]])&gt;0))</f>
        <v>0</v>
      </c>
      <c r="GS16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2" s="90" t="str">
        <f aca="false">IF(Tasks[[#This Row],[_IsLeaf]]=1,Tasks[[#This Row],[_Row]],"")</f>
        <v/>
      </c>
      <c r="GW162" s="90" t="str">
        <f aca="false">IFERROR(INDEX(Tasks[UID],SMALL(Tasks[_PickKey],Tasks[[#This Row],[_Row]]))&amp;" "&amp;INDEX(Tasks[Task Name],SMALL(Tasks[_PickKey],Tasks[[#This Row],[_Row]])),"")</f>
        <v/>
      </c>
      <c r="GX162" s="42" t="str">
        <f aca="false">IF(Tasks[[#This Row],[Task Name]]="","",IF(Tasks[[#This Row],[_IsSummary]],NETWORKDAYS.INTL(Tasks[[#This Row],[Start]],Tasks[[#This Row],[Finish]],WorkWeek,Holidays),N(Tasks[[#This Row],[_Days]])))</f>
        <v/>
      </c>
    </row>
    <row r="163" customFormat="false" ht="15" hidden="false" customHeight="false" outlineLevel="0" collapsed="false">
      <c r="A163" s="21" t="str">
        <f aca="false">IF(Tasks[[#This Row],[Task Name]]="","",COUNTA(Tasks[[#Headers],[Task Name]]:Tasks[[#This Row],[Task Name]])-1)</f>
        <v/>
      </c>
      <c r="B163" s="22" t="n">
        <v>171</v>
      </c>
      <c r="C163" s="22"/>
      <c r="D163" s="23"/>
      <c r="E163" s="22"/>
      <c r="F163" s="23"/>
      <c r="G163" s="22"/>
      <c r="H163" s="22"/>
      <c r="I163" s="23"/>
      <c r="J163" s="22"/>
      <c r="K163" s="22"/>
      <c r="L163" s="23"/>
      <c r="M163" s="22"/>
      <c r="N163" s="22"/>
      <c r="O163" s="23"/>
      <c r="P163" s="22"/>
      <c r="Q163" s="22"/>
      <c r="R163" s="23"/>
      <c r="S163" s="23"/>
      <c r="T163" s="83"/>
      <c r="U163" s="23"/>
      <c r="V163" s="83"/>
      <c r="W163" s="23"/>
      <c r="X163" s="83"/>
      <c r="Y163" s="23"/>
      <c r="Z163" s="83"/>
      <c r="AA163" s="23"/>
      <c r="AB163" s="23"/>
      <c r="AC163" s="7"/>
      <c r="AD163" s="7"/>
      <c r="AE163" s="62" t="str">
        <f aca="false">IF(Tasks[[#This Row],[Task Name]]="","",IF(Tasks[[#This Row],[_IsSummary]],MIN(INDEX(Tasks[_ShownFcstStart],Tasks[[#This Row],[_Row]]+1):INDEX(Tasks[_ShownFcstStart],Tasks[[#This Row],[_Row]]+Tasks[[#This Row],[_Descendants]])),Tasks[[#This Row],[_ShownFcstStart]]))</f>
        <v/>
      </c>
      <c r="AF163" s="62" t="str">
        <f aca="false">IF(Tasks[[#This Row],[Task Name]]="","",IF(Tasks[[#This Row],[_IsSummary]],MAX(INDEX(Tasks[_ShownFcstFinish],Tasks[[#This Row],[_Row]]+1):INDEX(Tasks[_ShownFcstFinish],Tasks[[#This Row],[_Row]]+Tasks[[#This Row],[_Descendants]])),Tasks[[#This Row],[_ShownFcstFinish]]))</f>
        <v/>
      </c>
      <c r="AG163" s="21" t="str">
        <f aca="false">""</f>
        <v/>
      </c>
      <c r="AH163" s="23"/>
      <c r="AI16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3" s="7"/>
      <c r="AK163" s="22"/>
      <c r="AL163" s="23"/>
      <c r="AM163" s="7"/>
      <c r="AN163" s="46" t="str">
        <f aca="false">IF(Tasks[[#This Row],[Task Name]]="","",IF(Tasks[[#This Row],[Finish]]&gt;=Tasks[[#This Row],[Planned Finish]],NETWORKDAYS.INTL(Tasks[[#This Row],[Planned Finish]],Tasks[[#This Row],[Finish]],WorkWeek,Holidays)-1,1-NETWORKDAYS.INTL(Tasks[[#This Row],[Finish]],Tasks[[#This Row],[Planned Finish]],WorkWeek,Holidays)))</f>
        <v/>
      </c>
      <c r="AO163" s="21" t="str">
        <f aca="false">IF(Tasks[[#This Row],[Task Name]]="","",IF(Tasks[[#This Row],[Progress]]&gt;=1,"Complete",IF(OR(N(Tasks[[#This Row],[Actual Start]])&gt;0,Tasks[[#This Row],[Progress]]&gt;0),IF(Tasks[[#This Row],[Finish Var]]&gt;0,"Behind","In Progress"),IF(Tasks[[#This Row],[Planned Start]]&lt;StatusDate,"Late Start","Not Started"))))</f>
        <v/>
      </c>
      <c r="AP163" s="21" t="str">
        <f aca="false">IF(Tasks[[#This Row],[Task Name]]="","",IF(IF(Tasks[[#This Row],[_IsSummary]],COUNTIF(INDEX(Tasks[_LeafCritical],Tasks[[#This Row],[_Row]]+1):INDEX(Tasks[_LeafCritical],Tasks[[#This Row],[_Row]]+Tasks[[#This Row],[_Descendants]]),TRUE())&gt;0,Tasks[[#This Row],[_LeafCritical]]),"Yes",""))</f>
        <v/>
      </c>
      <c r="AQ163" s="62" t="str">
        <f aca="false">IF(Tasks[[#This Row],[Task Name]]="","",IF(N(Tasks[[#This Row],[Baseline Start]])&gt;0,Tasks[[#This Row],[Baseline Start]],Tasks[[#This Row],[_CalcStart]]))</f>
        <v/>
      </c>
      <c r="AR163" s="62" t="str">
        <f aca="false">IF(Tasks[[#This Row],[Task Name]]="","",IF(N(Tasks[[#This Row],[Baseline Finish]])&gt;0,Tasks[[#This Row],[Baseline Finish]],Tasks[[#This Row],[_CalcFinish]]))</f>
        <v/>
      </c>
      <c r="AS163" s="46" t="str">
        <f aca="false">IF(Tasks[[#This Row],[Task Name]]="","",IF(Tasks[[#This Row],[Start]]&gt;=Tasks[[#This Row],[Planned Start]],NETWORKDAYS.INTL(Tasks[[#This Row],[Planned Start]],Tasks[[#This Row],[Start]],WorkWeek,Holidays)-1,1-NETWORKDAYS.INTL(Tasks[[#This Row],[Start]],Tasks[[#This Row],[Planned Start]],WorkWeek,Holidays)))</f>
        <v/>
      </c>
      <c r="AT163" s="62" t="str">
        <f aca="false">IF(Tasks[[#This Row],[Task Name]]="","",IF(Tasks[[#This Row],[_IsSummary]],MIN(INDEX(Tasks[_LeafLateStart],Tasks[[#This Row],[_Row]]+1):INDEX(Tasks[_LeafLateStart],Tasks[[#This Row],[_Row]]+Tasks[[#This Row],[_Descendants]])),Tasks[[#This Row],[_LeafLateStart]]))</f>
        <v/>
      </c>
      <c r="AU163" s="62" t="str">
        <f aca="false">IF(Tasks[[#This Row],[Task Name]]="","",IF(Tasks[[#This Row],[_IsSummary]],MAX(INDEX(Tasks[_LeafLateFinish],Tasks[[#This Row],[_Row]]+1):INDEX(Tasks[_LeafLateFinish],Tasks[[#This Row],[_Row]]+Tasks[[#This Row],[_Descendants]])),Tasks[[#This Row],[_LeafLateFinish]]))</f>
        <v/>
      </c>
      <c r="AV163" s="46" t="str">
        <f aca="false">IF(Tasks[[#This Row],[Task Name]]="","",IF(Tasks[[#This Row],[_IsSummary]],MIN(INDEX(Tasks[_LeafTotalSlack],Tasks[[#This Row],[_Row]]+1):INDEX(Tasks[_LeafTotalSlack],Tasks[[#This Row],[_Row]]+Tasks[[#This Row],[_Descendants]])),Tasks[[#This Row],[_LeafTotalSlack]]))</f>
        <v/>
      </c>
      <c r="AW16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4"/>
      <c r="BA16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t="str">
        <f aca="false">IF(Tasks[[#This Row],[Task Name]]="","",IF(Tasks[[#This Row],[_Level]]&lt;=OutlineShowLevel,"Yes","No"))</f>
        <v/>
      </c>
      <c r="BE163" s="85" t="str">
        <f aca="false">IF(Tasks[[#This Row],[Task Name]]="","",IF(Tasks[[#This Row],[_IsSummary]],SUM(INDEX(Tasks[_LeafTotalWork],Tasks[[#This Row],[_Row]]+1):INDEX(Tasks[_LeafTotalWork],Tasks[[#This Row],[_Row]]+Tasks[[#This Row],[_Descendants]])),Tasks[[#This Row],[_LeafTotalWork]]))</f>
        <v/>
      </c>
      <c r="BF163" s="23"/>
      <c r="BG16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t="str">
        <f aca="false">""</f>
        <v/>
      </c>
      <c r="BI163" s="86"/>
      <c r="BJ163" s="22"/>
      <c r="BK163" s="46" t="str">
        <f aca="false">IF(OR(Tasks[[#This Row],[Task Name]]="",Tasks[[#This Row],[Baseline Duration]]=""),"",Tasks[[#This Row],[_SpanDays]]-N(Tasks[[#This Row],[Baseline Duration]]))</f>
        <v/>
      </c>
      <c r="BL163" s="85" t="str">
        <f aca="false">IF(OR(Tasks[[#This Row],[Task Name]]="",Tasks[[#This Row],[Baseline Work]]=""),"",Tasks[[#This Row],[Work]]-N(Tasks[[#This Row],[Baseline Work]]))</f>
        <v/>
      </c>
      <c r="BM163" s="62" t="str">
        <f aca="false">IF(Tasks[[#This Row],[Task Name]]="","",IF(OR(TakeBaseline="Yes",N(Tasks[[#This Row],[Baseline Start]])=0),Tasks[[#This Row],[Start]],Tasks[[#This Row],[Baseline Start]]))</f>
        <v/>
      </c>
      <c r="BN163" s="62" t="str">
        <f aca="false">IF(Tasks[[#This Row],[Task Name]]="","",IF(OR(TakeBaseline="Yes",N(Tasks[[#This Row],[Baseline Finish]])=0),Tasks[[#This Row],[Finish]],Tasks[[#This Row],[Baseline Finish]]))</f>
        <v/>
      </c>
      <c r="BO163" s="21" t="str">
        <f aca="false">IF(Tasks[[#This Row],[Task Name]]="","",IF(OR(TakeBaseline="Yes",N(Tasks[[#This Row],[Baseline Duration]])=0),Tasks[[#This Row],[_SpanDays]],Tasks[[#This Row],[Baseline Duration]]))</f>
        <v/>
      </c>
      <c r="BP163" s="85" t="str">
        <f aca="false">IF(Tasks[[#This Row],[Task Name]]="","",IF(OR(TakeBaseline="Yes",N(Tasks[[#This Row],[Baseline Work]])=0),Tasks[[#This Row],[Work]],Tasks[[#This Row],[Baseline Work]]))</f>
        <v/>
      </c>
      <c r="BQ163" s="7"/>
      <c r="BR163" s="7"/>
      <c r="BS163" s="22"/>
      <c r="BT163" s="87"/>
      <c r="BU163" s="42" t="str">
        <f aca="false">IF(Tasks[[#This Row],[Task Name]]="","",MAX(1,N(Tasks[[#This Row],[Level]])))</f>
        <v/>
      </c>
      <c r="BV163" s="42" t="n">
        <f aca="false">ROW()-ROW(Tasks[[#Headers],[ID]])</f>
        <v>158</v>
      </c>
      <c r="BW163" s="42" t="n">
        <f aca="false">IF(OR(Tasks[[#This Row],[Task Name]]="",Tasks[[#This Row],[_Level]]&lt;=1),0,IFERROR(LOOKUP(2,1/(Tasks[[#Headers],[_Level]]:Tasks[[#This Row],[_Level]]=Tasks[[#This Row],[_Level]]-1),ROW(Tasks[[#Headers],[_Level]]:Tasks[[#This Row],[_Level]])),0))</f>
        <v>0</v>
      </c>
      <c r="BX163" s="42" t="n">
        <f aca="false">IFERROR(N(INDEX(Tasks[_Level],Tasks[[#This Row],[_Row]]+1)),0)</f>
        <v>0</v>
      </c>
      <c r="BY163" s="88" t="b">
        <f aca="false">AND(Tasks[[#This Row],[Task Name]]&lt;&gt;"",Tasks[[#This Row],[_NextLevel]]&gt;Tasks[[#This Row],[_Level]])</f>
        <v>0</v>
      </c>
      <c r="BZ163" s="42" t="n">
        <f aca="false">IF(Tasks[[#This Row],[_IsSummary]],COUNTIF(Tasks[WBS],Tasks[[#This Row],[WBS]]&amp;".*"),0)</f>
        <v>0</v>
      </c>
      <c r="CA163" s="42" t="n">
        <f aca="false">IF(AND(Tasks[[#This Row],[Task Name]]&lt;&gt;"",NOT(Tasks[[#This Row],[_IsSummary]])),1,0)</f>
        <v>0</v>
      </c>
      <c r="CB163" s="42" t="n">
        <f aca="false">IF(N(Tasks[[#This Row],[_Pred1UID]])=0,0,IFERROR(MATCH(Tasks[[#This Row],[_Pred1UID]],Tasks[UID],0),-1))</f>
        <v>0</v>
      </c>
      <c r="CC163" s="42" t="n">
        <f aca="false">IF(N(Tasks[[#This Row],[_Pred2UID]])=0,0,IFERROR(MATCH(Tasks[[#This Row],[_Pred2UID]],Tasks[UID],0),-1))</f>
        <v>0</v>
      </c>
      <c r="CD163" s="42" t="n">
        <f aca="false">IF(N(Tasks[[#This Row],[_Pred3UID]])=0,0,IFERROR(MATCH(Tasks[[#This Row],[_Pred3UID]],Tasks[UID],0),-1))</f>
        <v>0</v>
      </c>
      <c r="CE163" s="42" t="n">
        <f aca="false">IF(N(Tasks[[#This Row],[_Pred4UID]])=0,0,IFERROR(MATCH(Tasks[[#This Row],[_Pred4UID]],Tasks[UID],0),-1))</f>
        <v>0</v>
      </c>
      <c r="CF16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3" s="89" t="n">
        <f aca="false">IF(OR(Tasks[[#This Row],[_ConstraintCode]]=2,Tasks[[#This Row],[_ConstraintCode]]=3,Tasks[[#This Row],[_ConstraintCode]]=4,Tasks[[#This Row],[_ConstraintCode]]=6),Tasks[[#This Row],[_ConstraintStart]],0)</f>
        <v>0</v>
      </c>
      <c r="CI163" s="89" t="n">
        <f aca="false">IF(OR(Tasks[[#This Row],[_ConstraintCode]]=2,Tasks[[#This Row],[_ConstraintCode]]=3,Tasks[[#This Row],[_ConstraintCode]]=5,Tasks[[#This Row],[_ConstraintCode]]=7),Tasks[[#This Row],[_ConstraintStart]],2958465)</f>
        <v>2958465</v>
      </c>
      <c r="CJ16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3" s="89" t="str">
        <f aca="false">IF(NOT(Tasks[[#This Row],[_IsLeaf]]=1),"",IF(N(Tasks[[#This Row],[_Days]])&lt;=0,Tasks[[#This Row],[_LeafCalcStart]],WORKDAY.INTL(Tasks[[#This Row],[_LeafCalcStart]],Tasks[[#This Row],[_Days]]-1,WorkWeek,Holidays)))</f>
        <v/>
      </c>
      <c r="CL16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3" s="42" t="str">
        <f aca="false">IF(Tasks[[#This Row],[_Predecessors]]="","",TRIM(MID(SUBSTITUTE(SUBSTITUTE(SUBSTITUTE(UPPER(Tasks[[#This Row],[_Predecessors]]),";",",")," ",""),",",REPT(" ",99)),1,99)))</f>
        <v/>
      </c>
      <c r="CO163" s="42" t="str">
        <f aca="false">IF(Tasks[[#This Row],[_Pred1Text]]="","",IFERROR(VALUE(LEFT(Tasks[[#This Row],[_Pred1Text]],MIN(FIND("F",Tasks[[#This Row],[_Pred1Text]]&amp;"F"),FIND("S",Tasks[[#This Row],[_Pred1Text]]&amp;"S"),FIND("+",Tasks[[#This Row],[_Pred1Text]]&amp;"+"),FIND("-",Tasks[[#This Row],[_Pred1Text]]&amp;"-"))-1)),""))</f>
        <v/>
      </c>
      <c r="CP16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3" s="42" t="str">
        <f aca="false">IF(Tasks[[#This Row],[_Pred1Text]]="","",TRIM(MID(SUBSTITUTE(SUBSTITUTE(SUBSTITUTE(UPPER(Tasks[[#This Row],[_Predecessors]]),";",",")," ",""),",",REPT(" ",99)),100,99)))</f>
        <v/>
      </c>
      <c r="CS163" s="42" t="str">
        <f aca="false">IF(Tasks[[#This Row],[_Pred2Text]]="","",IFERROR(VALUE(LEFT(Tasks[[#This Row],[_Pred2Text]],MIN(FIND("F",Tasks[[#This Row],[_Pred2Text]]&amp;"F"),FIND("S",Tasks[[#This Row],[_Pred2Text]]&amp;"S"),FIND("+",Tasks[[#This Row],[_Pred2Text]]&amp;"+"),FIND("-",Tasks[[#This Row],[_Pred2Text]]&amp;"-"))-1)),""))</f>
        <v/>
      </c>
      <c r="CT16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3" s="42" t="str">
        <f aca="false">IF(Tasks[[#This Row],[_Pred2Text]]="","",TRIM(MID(SUBSTITUTE(SUBSTITUTE(SUBSTITUTE(UPPER(Tasks[[#This Row],[_Predecessors]]),";",",")," ",""),",",REPT(" ",99)),199,99)))</f>
        <v/>
      </c>
      <c r="CW163" s="42" t="str">
        <f aca="false">IF(Tasks[[#This Row],[_Pred3Text]]="","",IFERROR(VALUE(LEFT(Tasks[[#This Row],[_Pred3Text]],MIN(FIND("F",Tasks[[#This Row],[_Pred3Text]]&amp;"F"),FIND("S",Tasks[[#This Row],[_Pred3Text]]&amp;"S"),FIND("+",Tasks[[#This Row],[_Pred3Text]]&amp;"+"),FIND("-",Tasks[[#This Row],[_Pred3Text]]&amp;"-"))-1)),""))</f>
        <v/>
      </c>
      <c r="CX16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3" s="42" t="str">
        <f aca="false">IF(Tasks[[#This Row],[_Pred3Text]]="","",TRIM(MID(SUBSTITUTE(SUBSTITUTE(SUBSTITUTE(UPPER(Tasks[[#This Row],[_Predecessors]]),";",",")," ",""),",",REPT(" ",99)),298,99)))</f>
        <v/>
      </c>
      <c r="DA163" s="42" t="str">
        <f aca="false">IF(Tasks[[#This Row],[_Pred4Text]]="","",IFERROR(VALUE(LEFT(Tasks[[#This Row],[_Pred4Text]],MIN(FIND("F",Tasks[[#This Row],[_Pred4Text]]&amp;"F"),FIND("S",Tasks[[#This Row],[_Pred4Text]]&amp;"S"),FIND("+",Tasks[[#This Row],[_Pred4Text]]&amp;"+"),FIND("-",Tasks[[#This Row],[_Pred4Text]]&amp;"-"))-1)),""))</f>
        <v/>
      </c>
      <c r="DB16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3" s="42" t="str">
        <f aca="false">IF(OR(Tasks[[#This Row],[Task Name]]="",Tasks[[#This Row],[_Resources]]=""),"",TRIM(MID(SUBSTITUTE(Tasks[[#This Row],[_Resources]],",",REPT(" ",99)),1,99)))</f>
        <v/>
      </c>
      <c r="DE163" s="42" t="str">
        <f aca="false">IF(Tasks[[#This Row],[_Res1Text]]="","",TRIM(MID(SUBSTITUTE(Tasks[[#This Row],[_Resources]],",",REPT(" ",99)),100,99)))</f>
        <v/>
      </c>
      <c r="DF163" s="42" t="str">
        <f aca="false">IF(Tasks[[#This Row],[_Res2Text]]="","",TRIM(MID(SUBSTITUTE(Tasks[[#This Row],[_Resources]],",",REPT(" ",99)),199,99)))</f>
        <v/>
      </c>
      <c r="DG163" s="42" t="str">
        <f aca="false">IF(Tasks[[#This Row],[_Res3Text]]="","",TRIM(MID(SUBSTITUTE(Tasks[[#This Row],[_Resources]],",",REPT(" ",99)),298,99)))</f>
        <v/>
      </c>
      <c r="DH163" s="42" t="n">
        <f aca="false">IF(Tasks[[#This Row],[_Res1Text]]="",0,IFERROR(MATCH(TRIM(LEFT(Tasks[[#This Row],[_Res1Text]],FIND("[",Tasks[[#This Row],[_Res1Text]]&amp;"[")-1)),res_Name,0),IFERROR(MATCH(TRIM(LEFT(Tasks[[#This Row],[_Res1Text]],FIND("[",Tasks[[#This Row],[_Res1Text]]&amp;"[")-1)),res_Initials,0),0)))</f>
        <v>0</v>
      </c>
      <c r="DI163" s="42" t="n">
        <f aca="false">IF(Tasks[[#This Row],[_Res2Text]]="",0,IFERROR(MATCH(TRIM(LEFT(Tasks[[#This Row],[_Res2Text]],FIND("[",Tasks[[#This Row],[_Res2Text]]&amp;"[")-1)),res_Name,0),IFERROR(MATCH(TRIM(LEFT(Tasks[[#This Row],[_Res2Text]],FIND("[",Tasks[[#This Row],[_Res2Text]]&amp;"[")-1)),res_Initials,0),0)))</f>
        <v>0</v>
      </c>
      <c r="DJ163" s="42" t="n">
        <f aca="false">IF(Tasks[[#This Row],[_Res3Text]]="",0,IFERROR(MATCH(TRIM(LEFT(Tasks[[#This Row],[_Res3Text]],FIND("[",Tasks[[#This Row],[_Res3Text]]&amp;"[")-1)),res_Name,0),IFERROR(MATCH(TRIM(LEFT(Tasks[[#This Row],[_Res3Text]],FIND("[",Tasks[[#This Row],[_Res3Text]]&amp;"[")-1)),res_Initials,0),0)))</f>
        <v>0</v>
      </c>
      <c r="DK163" s="42" t="n">
        <f aca="false">IF(Tasks[[#This Row],[_Res4Text]]="",0,IFERROR(MATCH(TRIM(LEFT(Tasks[[#This Row],[_Res4Text]],FIND("[",Tasks[[#This Row],[_Res4Text]]&amp;"[")-1)),res_Name,0),IFERROR(MATCH(TRIM(LEFT(Tasks[[#This Row],[_Res4Text]],FIND("[",Tasks[[#This Row],[_Res4Text]]&amp;"[")-1)),res_Initials,0),0)))</f>
        <v>0</v>
      </c>
      <c r="DL163" s="42" t="str">
        <f aca="false">IF(Tasks[[#This Row],[_Res1Text]]="","",IF(Tasks[[#This Row],[_Res1Row]]&gt;0,INDEX(res_Name,Tasks[[#This Row],[_Res1Row]]),TRIM(LEFT(Tasks[[#This Row],[_Res1Text]],FIND("[",Tasks[[#This Row],[_Res1Text]]&amp;"[")-1))))</f>
        <v/>
      </c>
      <c r="DM16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3" s="42" t="n">
        <f aca="false">IF(NOT(Tasks[[#This Row],[_IsLeaf]]=1),0,(Tasks[[#This Row],[_Resource1]]&lt;&gt;"")+(Tasks[[#This Row],[_Res2]]&lt;&gt;"")+(Tasks[[#This Row],[_Res3]]&lt;&gt;"")+(Tasks[[#This Row],[_Res4]]&lt;&gt;""))</f>
        <v>0</v>
      </c>
      <c r="DO163" s="42" t="str">
        <f aca="false">IF(Tasks[[#This Row],[_Res2Text]]="","",IF(Tasks[[#This Row],[_Res2Row]]&gt;0,INDEX(res_Name,Tasks[[#This Row],[_Res2Row]]),TRIM(LEFT(Tasks[[#This Row],[_Res2Text]],FIND("[",Tasks[[#This Row],[_Res2Text]]&amp;"[")-1))))</f>
        <v/>
      </c>
      <c r="DP16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3" s="42" t="n">
        <f aca="false">IF(OR(NOT(Tasks[[#This Row],[_IsLeaf]]=1),Tasks[[#This Row],[_Res2Row]]=0),0,N(Tasks[[#This Row],[_Days]])*HoursPerDay*IF(Tasks[[#This Row],[_Res2Units]]="",DefaultUnits,Tasks[[#This Row],[_Res2Units]]))</f>
        <v>0</v>
      </c>
      <c r="DR163" s="42" t="n">
        <f aca="false">IF(AND(AND(Tasks[[#This Row],[_IsLeaf]]=1,Tasks[[#This Row],[_LeafTotalWork]]&gt;0),Tasks[[#This Row],[_Res2Work]]&gt;0),Tasks[[#This Row],[_Res2Work]]/(Tasks[[#This Row],[_FinishWorkday]]-Tasks[[#This Row],[_StartWorkday]]+1),0)</f>
        <v>0</v>
      </c>
      <c r="DS163" s="42" t="n">
        <f aca="false">Tasks[[#This Row],[_Res2WorkPerWD]]*MAX(0,Tasks[[#This Row],[_StartWorkday]]-1)</f>
        <v>0</v>
      </c>
      <c r="DT163" s="42" t="n">
        <f aca="false">Tasks[[#This Row],[_Res2Work]]*Tasks[[#This Row],[_LeafProgress]]</f>
        <v>0</v>
      </c>
      <c r="DU163" s="42" t="str">
        <f aca="false">IF(Tasks[[#This Row],[_Res3Text]]="","",IF(Tasks[[#This Row],[_Res3Row]]&gt;0,INDEX(res_Name,Tasks[[#This Row],[_Res3Row]]),TRIM(LEFT(Tasks[[#This Row],[_Res3Text]],FIND("[",Tasks[[#This Row],[_Res3Text]]&amp;"[")-1))))</f>
        <v/>
      </c>
      <c r="DV16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3" s="42" t="n">
        <f aca="false">IF(OR(NOT(Tasks[[#This Row],[_IsLeaf]]=1),Tasks[[#This Row],[_Res3Row]]=0),0,N(Tasks[[#This Row],[_Days]])*HoursPerDay*IF(Tasks[[#This Row],[_Res3Units]]="",DefaultUnits,Tasks[[#This Row],[_Res3Units]]))</f>
        <v>0</v>
      </c>
      <c r="DX163" s="42" t="n">
        <f aca="false">IF(AND(AND(Tasks[[#This Row],[_IsLeaf]]=1,Tasks[[#This Row],[_LeafTotalWork]]&gt;0),Tasks[[#This Row],[_Res3Work]]&gt;0),Tasks[[#This Row],[_Res3Work]]/(Tasks[[#This Row],[_FinishWorkday]]-Tasks[[#This Row],[_StartWorkday]]+1),0)</f>
        <v>0</v>
      </c>
      <c r="DY163" s="42" t="n">
        <f aca="false">Tasks[[#This Row],[_Res3WorkPerWD]]*MAX(0,Tasks[[#This Row],[_StartWorkday]]-1)</f>
        <v>0</v>
      </c>
      <c r="DZ163" s="42" t="n">
        <f aca="false">Tasks[[#This Row],[_Res3Work]]*Tasks[[#This Row],[_LeafProgress]]</f>
        <v>0</v>
      </c>
      <c r="EA163" s="42" t="str">
        <f aca="false">IF(Tasks[[#This Row],[_Res4Text]]="","",IF(Tasks[[#This Row],[_Res4Row]]&gt;0,INDEX(res_Name,Tasks[[#This Row],[_Res4Row]]),TRIM(LEFT(Tasks[[#This Row],[_Res4Text]],FIND("[",Tasks[[#This Row],[_Res4Text]]&amp;"[")-1))))</f>
        <v/>
      </c>
      <c r="EB16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3" s="42" t="n">
        <f aca="false">IF(OR(NOT(Tasks[[#This Row],[_IsLeaf]]=1),Tasks[[#This Row],[_Res4Row]]=0),0,N(Tasks[[#This Row],[_Days]])*HoursPerDay*IF(Tasks[[#This Row],[_Res4Units]]="",DefaultUnits,Tasks[[#This Row],[_Res4Units]]))</f>
        <v>0</v>
      </c>
      <c r="ED163" s="42" t="n">
        <f aca="false">IF(AND(AND(Tasks[[#This Row],[_IsLeaf]]=1,Tasks[[#This Row],[_LeafTotalWork]]&gt;0),Tasks[[#This Row],[_Res4Work]]&gt;0),Tasks[[#This Row],[_Res4Work]]/(Tasks[[#This Row],[_FinishWorkday]]-Tasks[[#This Row],[_StartWorkday]]+1),0)</f>
        <v>0</v>
      </c>
      <c r="EE163" s="42" t="n">
        <f aca="false">Tasks[[#This Row],[_Res4WorkPerWD]]*MAX(0,Tasks[[#This Row],[_StartWorkday]]-1)</f>
        <v>0</v>
      </c>
      <c r="EF163" s="42" t="n">
        <f aca="false">Tasks[[#This Row],[_Res4Work]]*Tasks[[#This Row],[_LeafProgress]]</f>
        <v>0</v>
      </c>
      <c r="EG163" s="42" t="n">
        <f aca="false">IF(ISNUMBER(Tasks[[#This Row],[% Complete]]),Tasks[[#This Row],[% Complete]],IF(Tasks[[#This Row],[Stage]]="",0,IFERROR(INDEX(stg_Pct,MATCH(Tasks[[#This Row],[Stage]],stg_Name,0)),0)))</f>
        <v>0</v>
      </c>
      <c r="EH163" s="42" t="n">
        <f aca="false">IF(NOT(Tasks[[#This Row],[_IsLeaf]]=1),0,IF(N(Tasks[[#This Row],[Actual Finish]])&gt;0,1,MIN(1,Tasks[[#This Row],[_Pct]])))</f>
        <v>0</v>
      </c>
      <c r="EI163" s="42" t="n">
        <f aca="false">IF(OR(NOT(Tasks[[#This Row],[_IsLeaf]]=1),Tasks[[#This Row],[_Res1Row]]=0),0,N(Tasks[[#This Row],[_Days]])*HoursPerDay*IF(Tasks[[#This Row],[_Units1]]="",DefaultUnits,Tasks[[#This Row],[_Units1]]))</f>
        <v>0</v>
      </c>
      <c r="EJ163" s="42" t="n">
        <f aca="false">Tasks[[#This Row],[_LeafWork]]+Tasks[[#This Row],[_Res2Work]]+Tasks[[#This Row],[_Res3Work]]+Tasks[[#This Row],[_Res4Work]]</f>
        <v>0</v>
      </c>
      <c r="EK16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3" s="42" t="n">
        <f aca="false">IF(NOT(Tasks[[#This Row],[_IsLeaf]]=1),0,MAX(_xlfn.MAXIFS(Tasks[_Row],Tasks[_Pred1UID],Tasks[[#This Row],[UID]]),_xlfn.MAXIFS(Tasks[_Row],Tasks[_Pred2UID],Tasks[[#This Row],[UID]]),_xlfn.MAXIFS(Tasks[_Row],Tasks[_Pred3UID],Tasks[[#This Row],[UID]]),_xlfn.MAXIFS(Tasks[_Row],Tasks[_Pred4UID],Tasks[[#This Row],[UID]])))</f>
        <v>0</v>
      </c>
      <c r="ET16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3" s="89" t="str">
        <f aca="false">IF(NOT(Tasks[[#This Row],[_IsLeaf]]=1),"",IF(N(Tasks[[#This Row],[_Days]])&lt;=0,Tasks[[#This Row],[_LeafLateFinish]],WORKDAY.INTL(Tasks[[#This Row],[_LeafLateFinish]],-(Tasks[[#This Row],[_Days]]-1),WorkWeek,Holidays)))</f>
        <v/>
      </c>
      <c r="EW16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3" s="88" t="b">
        <f aca="false">AND(Tasks[[#This Row],[_IsLeaf]]=1,Tasks[[#This Row],[_LeafProgress]]&lt;1,N(Tasks[[#This Row],[_LeafTotalSlack]])&lt;=CriticalSlackDays)</f>
        <v>0</v>
      </c>
      <c r="EY163" s="42" t="n">
        <f aca="false">IF(AND(Tasks[[#This Row],[_IsLeaf]]=1,Tasks[[#This Row],[_ConstraintCode]]=1,Tasks[[#This Row],[Mode]]&lt;&gt;"Manual",N(Tasks[[#This Row],[Actual Start]])=0),MAX(0,N(Tasks[[#This Row],[Free Slack]])),0)</f>
        <v>0</v>
      </c>
      <c r="EZ163" s="89" t="str">
        <f aca="false">IF(NOT(Tasks[[#This Row],[_IsLeaf]]=1),"",IF(Tasks[[#This Row],[_AlapShift]]=0,Tasks[[#This Row],[_LeafCalcStart]],WORKDAY.INTL(Tasks[[#This Row],[_LeafCalcStart]],Tasks[[#This Row],[_AlapShift]],WorkWeek,Holidays)))</f>
        <v/>
      </c>
      <c r="FA163" s="89" t="str">
        <f aca="false">IF(NOT(Tasks[[#This Row],[_IsLeaf]]=1),"",IF(Tasks[[#This Row],[_AlapShift]]=0,Tasks[[#This Row],[_LeafCalcFinish]],WORKDAY.INTL(Tasks[[#This Row],[_LeafCalcFinish]],Tasks[[#This Row],[_AlapShift]],WorkWeek,Holidays)))</f>
        <v/>
      </c>
      <c r="FB163" s="89" t="str">
        <f aca="false">IF(NOT(Tasks[[#This Row],[_IsLeaf]]=1),"",IF(Tasks[[#This Row],[_AlapShift]]=0,Tasks[[#This Row],[_LeafFcstStart]],WORKDAY.INTL(Tasks[[#This Row],[_LeafFcstStart]],Tasks[[#This Row],[_AlapShift]],WorkWeek,Holidays)))</f>
        <v/>
      </c>
      <c r="FC163" s="89" t="str">
        <f aca="false">IF(NOT(Tasks[[#This Row],[_IsLeaf]]=1),"",IF(Tasks[[#This Row],[_AlapShift]]=0,Tasks[[#This Row],[_LeafFcstFinish]],WORKDAY.INTL(Tasks[[#This Row],[_LeafFcstFinish]],Tasks[[#This Row],[_AlapShift]],WorkWeek,Holidays)))</f>
        <v/>
      </c>
      <c r="FD163" s="89" t="str">
        <f aca="false">IF(Tasks[[#This Row],[Task Name]]="","",IF(Tasks[[#This Row],[_IsSummary]],MIN(INDEX(Tasks[_ShownCalcStart],Tasks[[#This Row],[_Row]]+1):INDEX(Tasks[_ShownCalcStart],Tasks[[#This Row],[_Row]]+Tasks[[#This Row],[_Descendants]])),Tasks[[#This Row],[_ShownCalcStart]]))</f>
        <v/>
      </c>
      <c r="FE163" s="89" t="str">
        <f aca="false">IF(Tasks[[#This Row],[Task Name]]="","",IF(Tasks[[#This Row],[_IsSummary]],MAX(INDEX(Tasks[_ShownCalcFinish],Tasks[[#This Row],[_Row]]+1):INDEX(Tasks[_ShownCalcFinish],Tasks[[#This Row],[_Row]]+Tasks[[#This Row],[_Descendants]])),Tasks[[#This Row],[_ShownCalcFinish]]))</f>
        <v/>
      </c>
      <c r="FF16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3" s="42" t="n">
        <f aca="false">IF(AND(Tasks[[#This Row],[_IsLeaf]]=1,Tasks[[#This Row],[_LeafTotalWork]]&gt;0),NETWORKDAYS.INTL(ProjectStart,Tasks[[#This Row],[_ShownFcstStart]],WorkWeek,Holidays),0)</f>
        <v>0</v>
      </c>
      <c r="FS163" s="42" t="n">
        <f aca="false">IF(AND(Tasks[[#This Row],[_IsLeaf]]=1,Tasks[[#This Row],[_LeafTotalWork]]&gt;0),MAX(Tasks[[#This Row],[_StartWorkday]],NETWORKDAYS.INTL(ProjectStart,Tasks[[#This Row],[_ShownFcstFinish]],WorkWeek,Holidays)),0)</f>
        <v>0</v>
      </c>
      <c r="FT163" s="42" t="n">
        <f aca="false">IF(AND(Tasks[[#This Row],[_IsLeaf]]=1,Tasks[[#This Row],[_LeafTotalWork]]&gt;0),Tasks[[#This Row],[_LeafWork]]/(Tasks[[#This Row],[_FinishWorkday]]-Tasks[[#This Row],[_StartWorkday]]+1),0)</f>
        <v>0</v>
      </c>
      <c r="FU163" s="42" t="n">
        <f aca="false">Tasks[[#This Row],[_WorkPerWorkday]]*(Tasks[[#This Row],[_StartWorkday]]-1)</f>
        <v>-0</v>
      </c>
      <c r="FV163" s="42" t="n">
        <f aca="false">IF(Tasks[[#This Row],[_IsLeaf]]=1,MAX(N(Tasks[[#This Row],[_Days]]),0.1),0)</f>
        <v>0</v>
      </c>
      <c r="FW163" s="42" t="n">
        <f aca="false">Tasks[[#This Row],[_WeightDur]]*Tasks[[#This Row],[_LeafProgress]]</f>
        <v>0</v>
      </c>
      <c r="FX163" s="42" t="n">
        <f aca="false">Tasks[[#This Row],[_WeightDur]]*Tasks[[#This Row],[_PlannedPct]]</f>
        <v>0</v>
      </c>
      <c r="FY16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3" s="42" t="str">
        <f aca="false">IF(AND(Tasks[[#This Row],[_IsLeaf]]=1,N(Tasks[[#This Row],[_Days]])=0,Tasks[[#This Row],[_LeafProgress]]&lt;1),Tasks[[#This Row],[_ShownFcstFinish]]+Tasks[[#This Row],[_Row]]/100000,"")</f>
        <v/>
      </c>
      <c r="GA16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3" s="42" t="str">
        <f aca="false">IF(Tasks[[#This Row],[Task Name]]="","",LEFT(Tasks[[#This Row],[WBS]],FIND(".",Tasks[[#This Row],[WBS]]&amp;".")-1))</f>
        <v/>
      </c>
      <c r="GC163" s="42" t="str">
        <f aca="false">IF(AND(Tasks[[#This Row],[Task Name]]&lt;&gt;"",Tasks[[#This Row],[_Level]]=1),Tasks[[#This Row],[_Row]],"")</f>
        <v/>
      </c>
      <c r="GD163" s="42" t="str">
        <f aca="false">IF(AND(Tasks[[#This Row],[_IsLeaf]]=1,N(Tasks[[#This Row],[_Days]])=0),Tasks[[#This Row],[Planned Finish]]+Tasks[[#This Row],[_Row]]/100000,"")</f>
        <v/>
      </c>
      <c r="GE163" s="42" t="str">
        <f aca="false">IF(AND(Tasks[[#This Row],[_IsLeaf]]=1,Tasks[[#This Row],[_LeafProgress]]&lt;1,OR(N(Tasks[[#This Row],[Finish Var]])&gt;0,Tasks[[#This Row],[Status]]="Late Start")),MAX(0,Tasks[[#This Row],[Finish Var]])+1-Tasks[[#This Row],[_Row]]/1000000,"")</f>
        <v/>
      </c>
      <c r="GF163" s="42" t="str">
        <f aca="false">IF(AND(Tasks[[#This Row],[_IsLeaf]]=1,N(Tasks[[#This Row],[Actual Start]])=0,Tasks[[#This Row],[_ShownFcstStart]]&gt;=StatusDate,Tasks[[#This Row],[_ShownFcstStart]]&lt;=LookaheadEnd),Tasks[[#This Row],[_ShownFcstStart]]+Tasks[[#This Row],[_Row]]/100000,"")</f>
        <v/>
      </c>
      <c r="GG163" s="42" t="str">
        <f aca="false">IF(AND(Tasks[[#This Row],[_IsLeaf]]=1,Tasks[[#This Row],[_LeafProgress]]&lt;1,Tasks[[#This Row],[_ShownFcstFinish]]&gt;=StatusDate,Tasks[[#This Row],[_ShownFcstFinish]]&lt;=LookaheadEnd),Tasks[[#This Row],[_ShownFcstFinish]]+Tasks[[#This Row],[_Row]]/100000,"")</f>
        <v/>
      </c>
      <c r="GH163" s="42" t="str">
        <f aca="false">IF(Tasks[[#This Row],[_LeafCritical]],Tasks[[#This Row],[_ShownFcstStart]]+Tasks[[#This Row],[_Row]]/100000,"")</f>
        <v/>
      </c>
      <c r="GI163" s="42" t="n">
        <f aca="false">Tasks[[#This Row],[_LeafWork]]*Tasks[[#This Row],[_LeafProgress]]</f>
        <v>0</v>
      </c>
      <c r="GJ163" s="89" t="str">
        <f aca="false">IF(AND(Tasks[[#This Row],[_IsLeaf]]=1,Tasks[[#This Row],[_LeafProgress]]&gt;=1),IF(N(Tasks[[#This Row],[Actual Finish]])&gt;0,Tasks[[#This Row],[Actual Finish]],Tasks[[#This Row],[_ShownFcstFinish]]),"")</f>
        <v/>
      </c>
      <c r="GK163" s="42" t="n">
        <f aca="false">IF(Tasks[[#This Row],[_IsLeaf]]=1,N(Tasks[[#This Row],[Story Points]]),0)</f>
        <v>0</v>
      </c>
      <c r="GL163" s="42" t="str">
        <f aca="false">""</f>
        <v/>
      </c>
      <c r="GM163" s="88" t="b">
        <f aca="false">IF(Tasks[[#This Row],[Task Name]]="",FALSE(),AND(Tasks[[#This Row],[_IsLeaf]]=1,N(Tasks[[#This Row],[_Days]])=0))</f>
        <v>0</v>
      </c>
      <c r="GN163" s="89" t="n">
        <f aca="false">IF(Tasks[[#This Row],[Task Name]]="",0,IF(AND(Tasks[[#This Row],[_IsLeaf]]=1,NOT(Tasks[[#This Row],[_IsMilestone]]),N(Tasks[[#This Row],[Progress]])&gt;0),Tasks[[#This Row],[Start]],0))</f>
        <v>0</v>
      </c>
      <c r="GO163" s="89" t="n">
        <f aca="false">IF(Tasks[[#This Row],[_DoneFrom]]=0,0,IF(Tasks[[#This Row],[Progress]]&gt;=1,Tasks[[#This Row],[Finish]],MAX(Tasks[[#This Row],[_DoneFrom]],Tasks[[#This Row],[Start]]+ROUND((Tasks[[#This Row],[Finish]]-Tasks[[#This Row],[Start]]+1)*Tasks[[#This Row],[Progress]],0)-1)))</f>
        <v>0</v>
      </c>
      <c r="GP163" s="89" t="n">
        <f aca="false">IF(Tasks[[#This Row],[Task Name]]="",0,IF(OR(NOT(Tasks[[#This Row],[_IsLeaf]]=1),Tasks[[#This Row],[_IsMilestone]],N(Tasks[[#This Row],[Progress]])&gt;=1),0,IF(Tasks[[#This Row],[_DoneTo]]&gt;0,Tasks[[#This Row],[_DoneTo]]+1,Tasks[[#This Row],[Start]])))</f>
        <v>0</v>
      </c>
      <c r="GQ163" s="89" t="n">
        <f aca="false">IF(Tasks[[#This Row],[_RemFrom]]=0,0,Tasks[[#This Row],[Finish]])</f>
        <v>0</v>
      </c>
      <c r="GR163" s="88" t="b">
        <f aca="false">IF(Tasks[[#This Row],[Task Name]]="",FALSE(),OR(NOT(BaselineSet),N(Tasks[[#This Row],[Baseline Start]])&gt;0))</f>
        <v>0</v>
      </c>
      <c r="GS16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3" s="90" t="str">
        <f aca="false">IF(Tasks[[#This Row],[_IsLeaf]]=1,Tasks[[#This Row],[_Row]],"")</f>
        <v/>
      </c>
      <c r="GW163" s="90" t="str">
        <f aca="false">IFERROR(INDEX(Tasks[UID],SMALL(Tasks[_PickKey],Tasks[[#This Row],[_Row]]))&amp;" "&amp;INDEX(Tasks[Task Name],SMALL(Tasks[_PickKey],Tasks[[#This Row],[_Row]])),"")</f>
        <v/>
      </c>
      <c r="GX163" s="42" t="str">
        <f aca="false">IF(Tasks[[#This Row],[Task Name]]="","",IF(Tasks[[#This Row],[_IsSummary]],NETWORKDAYS.INTL(Tasks[[#This Row],[Start]],Tasks[[#This Row],[Finish]],WorkWeek,Holidays),N(Tasks[[#This Row],[_Days]])))</f>
        <v/>
      </c>
    </row>
    <row r="164" customFormat="false" ht="15" hidden="false" customHeight="false" outlineLevel="0" collapsed="false">
      <c r="A164" s="21" t="str">
        <f aca="false">IF(Tasks[[#This Row],[Task Name]]="","",COUNTA(Tasks[[#Headers],[Task Name]]:Tasks[[#This Row],[Task Name]])-1)</f>
        <v/>
      </c>
      <c r="B164" s="22" t="n">
        <v>172</v>
      </c>
      <c r="C164" s="22"/>
      <c r="D164" s="23"/>
      <c r="E164" s="22"/>
      <c r="F164" s="23"/>
      <c r="G164" s="22"/>
      <c r="H164" s="22"/>
      <c r="I164" s="23"/>
      <c r="J164" s="22"/>
      <c r="K164" s="22"/>
      <c r="L164" s="23"/>
      <c r="M164" s="22"/>
      <c r="N164" s="22"/>
      <c r="O164" s="23"/>
      <c r="P164" s="22"/>
      <c r="Q164" s="22"/>
      <c r="R164" s="23"/>
      <c r="S164" s="23"/>
      <c r="T164" s="83"/>
      <c r="U164" s="23"/>
      <c r="V164" s="83"/>
      <c r="W164" s="23"/>
      <c r="X164" s="83"/>
      <c r="Y164" s="23"/>
      <c r="Z164" s="83"/>
      <c r="AA164" s="23"/>
      <c r="AB164" s="23"/>
      <c r="AC164" s="7"/>
      <c r="AD164" s="7"/>
      <c r="AE164" s="62" t="str">
        <f aca="false">IF(Tasks[[#This Row],[Task Name]]="","",IF(Tasks[[#This Row],[_IsSummary]],MIN(INDEX(Tasks[_ShownFcstStart],Tasks[[#This Row],[_Row]]+1):INDEX(Tasks[_ShownFcstStart],Tasks[[#This Row],[_Row]]+Tasks[[#This Row],[_Descendants]])),Tasks[[#This Row],[_ShownFcstStart]]))</f>
        <v/>
      </c>
      <c r="AF164" s="62" t="str">
        <f aca="false">IF(Tasks[[#This Row],[Task Name]]="","",IF(Tasks[[#This Row],[_IsSummary]],MAX(INDEX(Tasks[_ShownFcstFinish],Tasks[[#This Row],[_Row]]+1):INDEX(Tasks[_ShownFcstFinish],Tasks[[#This Row],[_Row]]+Tasks[[#This Row],[_Descendants]])),Tasks[[#This Row],[_ShownFcstFinish]]))</f>
        <v/>
      </c>
      <c r="AG164" s="21" t="str">
        <f aca="false">""</f>
        <v/>
      </c>
      <c r="AH164" s="23"/>
      <c r="AI16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4" s="7"/>
      <c r="AK164" s="22"/>
      <c r="AL164" s="23"/>
      <c r="AM164" s="7"/>
      <c r="AN164" s="46" t="str">
        <f aca="false">IF(Tasks[[#This Row],[Task Name]]="","",IF(Tasks[[#This Row],[Finish]]&gt;=Tasks[[#This Row],[Planned Finish]],NETWORKDAYS.INTL(Tasks[[#This Row],[Planned Finish]],Tasks[[#This Row],[Finish]],WorkWeek,Holidays)-1,1-NETWORKDAYS.INTL(Tasks[[#This Row],[Finish]],Tasks[[#This Row],[Planned Finish]],WorkWeek,Holidays)))</f>
        <v/>
      </c>
      <c r="AO164" s="21" t="str">
        <f aca="false">IF(Tasks[[#This Row],[Task Name]]="","",IF(Tasks[[#This Row],[Progress]]&gt;=1,"Complete",IF(OR(N(Tasks[[#This Row],[Actual Start]])&gt;0,Tasks[[#This Row],[Progress]]&gt;0),IF(Tasks[[#This Row],[Finish Var]]&gt;0,"Behind","In Progress"),IF(Tasks[[#This Row],[Planned Start]]&lt;StatusDate,"Late Start","Not Started"))))</f>
        <v/>
      </c>
      <c r="AP164" s="21" t="str">
        <f aca="false">IF(Tasks[[#This Row],[Task Name]]="","",IF(IF(Tasks[[#This Row],[_IsSummary]],COUNTIF(INDEX(Tasks[_LeafCritical],Tasks[[#This Row],[_Row]]+1):INDEX(Tasks[_LeafCritical],Tasks[[#This Row],[_Row]]+Tasks[[#This Row],[_Descendants]]),TRUE())&gt;0,Tasks[[#This Row],[_LeafCritical]]),"Yes",""))</f>
        <v/>
      </c>
      <c r="AQ164" s="62" t="str">
        <f aca="false">IF(Tasks[[#This Row],[Task Name]]="","",IF(N(Tasks[[#This Row],[Baseline Start]])&gt;0,Tasks[[#This Row],[Baseline Start]],Tasks[[#This Row],[_CalcStart]]))</f>
        <v/>
      </c>
      <c r="AR164" s="62" t="str">
        <f aca="false">IF(Tasks[[#This Row],[Task Name]]="","",IF(N(Tasks[[#This Row],[Baseline Finish]])&gt;0,Tasks[[#This Row],[Baseline Finish]],Tasks[[#This Row],[_CalcFinish]]))</f>
        <v/>
      </c>
      <c r="AS164" s="46" t="str">
        <f aca="false">IF(Tasks[[#This Row],[Task Name]]="","",IF(Tasks[[#This Row],[Start]]&gt;=Tasks[[#This Row],[Planned Start]],NETWORKDAYS.INTL(Tasks[[#This Row],[Planned Start]],Tasks[[#This Row],[Start]],WorkWeek,Holidays)-1,1-NETWORKDAYS.INTL(Tasks[[#This Row],[Start]],Tasks[[#This Row],[Planned Start]],WorkWeek,Holidays)))</f>
        <v/>
      </c>
      <c r="AT164" s="62" t="str">
        <f aca="false">IF(Tasks[[#This Row],[Task Name]]="","",IF(Tasks[[#This Row],[_IsSummary]],MIN(INDEX(Tasks[_LeafLateStart],Tasks[[#This Row],[_Row]]+1):INDEX(Tasks[_LeafLateStart],Tasks[[#This Row],[_Row]]+Tasks[[#This Row],[_Descendants]])),Tasks[[#This Row],[_LeafLateStart]]))</f>
        <v/>
      </c>
      <c r="AU164" s="62" t="str">
        <f aca="false">IF(Tasks[[#This Row],[Task Name]]="","",IF(Tasks[[#This Row],[_IsSummary]],MAX(INDEX(Tasks[_LeafLateFinish],Tasks[[#This Row],[_Row]]+1):INDEX(Tasks[_LeafLateFinish],Tasks[[#This Row],[_Row]]+Tasks[[#This Row],[_Descendants]])),Tasks[[#This Row],[_LeafLateFinish]]))</f>
        <v/>
      </c>
      <c r="AV164" s="46" t="str">
        <f aca="false">IF(Tasks[[#This Row],[Task Name]]="","",IF(Tasks[[#This Row],[_IsSummary]],MIN(INDEX(Tasks[_LeafTotalSlack],Tasks[[#This Row],[_Row]]+1):INDEX(Tasks[_LeafTotalSlack],Tasks[[#This Row],[_Row]]+Tasks[[#This Row],[_Descendants]])),Tasks[[#This Row],[_LeafTotalSlack]]))</f>
        <v/>
      </c>
      <c r="AW16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4"/>
      <c r="BA16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t="str">
        <f aca="false">IF(Tasks[[#This Row],[Task Name]]="","",IF(Tasks[[#This Row],[_Level]]&lt;=OutlineShowLevel,"Yes","No"))</f>
        <v/>
      </c>
      <c r="BE164" s="85" t="str">
        <f aca="false">IF(Tasks[[#This Row],[Task Name]]="","",IF(Tasks[[#This Row],[_IsSummary]],SUM(INDEX(Tasks[_LeafTotalWork],Tasks[[#This Row],[_Row]]+1):INDEX(Tasks[_LeafTotalWork],Tasks[[#This Row],[_Row]]+Tasks[[#This Row],[_Descendants]])),Tasks[[#This Row],[_LeafTotalWork]]))</f>
        <v/>
      </c>
      <c r="BF164" s="23"/>
      <c r="BG16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t="str">
        <f aca="false">""</f>
        <v/>
      </c>
      <c r="BI164" s="86"/>
      <c r="BJ164" s="22"/>
      <c r="BK164" s="46" t="str">
        <f aca="false">IF(OR(Tasks[[#This Row],[Task Name]]="",Tasks[[#This Row],[Baseline Duration]]=""),"",Tasks[[#This Row],[_SpanDays]]-N(Tasks[[#This Row],[Baseline Duration]]))</f>
        <v/>
      </c>
      <c r="BL164" s="85" t="str">
        <f aca="false">IF(OR(Tasks[[#This Row],[Task Name]]="",Tasks[[#This Row],[Baseline Work]]=""),"",Tasks[[#This Row],[Work]]-N(Tasks[[#This Row],[Baseline Work]]))</f>
        <v/>
      </c>
      <c r="BM164" s="62" t="str">
        <f aca="false">IF(Tasks[[#This Row],[Task Name]]="","",IF(OR(TakeBaseline="Yes",N(Tasks[[#This Row],[Baseline Start]])=0),Tasks[[#This Row],[Start]],Tasks[[#This Row],[Baseline Start]]))</f>
        <v/>
      </c>
      <c r="BN164" s="62" t="str">
        <f aca="false">IF(Tasks[[#This Row],[Task Name]]="","",IF(OR(TakeBaseline="Yes",N(Tasks[[#This Row],[Baseline Finish]])=0),Tasks[[#This Row],[Finish]],Tasks[[#This Row],[Baseline Finish]]))</f>
        <v/>
      </c>
      <c r="BO164" s="21" t="str">
        <f aca="false">IF(Tasks[[#This Row],[Task Name]]="","",IF(OR(TakeBaseline="Yes",N(Tasks[[#This Row],[Baseline Duration]])=0),Tasks[[#This Row],[_SpanDays]],Tasks[[#This Row],[Baseline Duration]]))</f>
        <v/>
      </c>
      <c r="BP164" s="85" t="str">
        <f aca="false">IF(Tasks[[#This Row],[Task Name]]="","",IF(OR(TakeBaseline="Yes",N(Tasks[[#This Row],[Baseline Work]])=0),Tasks[[#This Row],[Work]],Tasks[[#This Row],[Baseline Work]]))</f>
        <v/>
      </c>
      <c r="BQ164" s="7"/>
      <c r="BR164" s="7"/>
      <c r="BS164" s="22"/>
      <c r="BT164" s="87"/>
      <c r="BU164" s="42" t="str">
        <f aca="false">IF(Tasks[[#This Row],[Task Name]]="","",MAX(1,N(Tasks[[#This Row],[Level]])))</f>
        <v/>
      </c>
      <c r="BV164" s="42" t="n">
        <f aca="false">ROW()-ROW(Tasks[[#Headers],[ID]])</f>
        <v>159</v>
      </c>
      <c r="BW164" s="42" t="n">
        <f aca="false">IF(OR(Tasks[[#This Row],[Task Name]]="",Tasks[[#This Row],[_Level]]&lt;=1),0,IFERROR(LOOKUP(2,1/(Tasks[[#Headers],[_Level]]:Tasks[[#This Row],[_Level]]=Tasks[[#This Row],[_Level]]-1),ROW(Tasks[[#Headers],[_Level]]:Tasks[[#This Row],[_Level]])),0))</f>
        <v>0</v>
      </c>
      <c r="BX164" s="42" t="n">
        <f aca="false">IFERROR(N(INDEX(Tasks[_Level],Tasks[[#This Row],[_Row]]+1)),0)</f>
        <v>0</v>
      </c>
      <c r="BY164" s="88" t="b">
        <f aca="false">AND(Tasks[[#This Row],[Task Name]]&lt;&gt;"",Tasks[[#This Row],[_NextLevel]]&gt;Tasks[[#This Row],[_Level]])</f>
        <v>0</v>
      </c>
      <c r="BZ164" s="42" t="n">
        <f aca="false">IF(Tasks[[#This Row],[_IsSummary]],COUNTIF(Tasks[WBS],Tasks[[#This Row],[WBS]]&amp;".*"),0)</f>
        <v>0</v>
      </c>
      <c r="CA164" s="42" t="n">
        <f aca="false">IF(AND(Tasks[[#This Row],[Task Name]]&lt;&gt;"",NOT(Tasks[[#This Row],[_IsSummary]])),1,0)</f>
        <v>0</v>
      </c>
      <c r="CB164" s="42" t="n">
        <f aca="false">IF(N(Tasks[[#This Row],[_Pred1UID]])=0,0,IFERROR(MATCH(Tasks[[#This Row],[_Pred1UID]],Tasks[UID],0),-1))</f>
        <v>0</v>
      </c>
      <c r="CC164" s="42" t="n">
        <f aca="false">IF(N(Tasks[[#This Row],[_Pred2UID]])=0,0,IFERROR(MATCH(Tasks[[#This Row],[_Pred2UID]],Tasks[UID],0),-1))</f>
        <v>0</v>
      </c>
      <c r="CD164" s="42" t="n">
        <f aca="false">IF(N(Tasks[[#This Row],[_Pred3UID]])=0,0,IFERROR(MATCH(Tasks[[#This Row],[_Pred3UID]],Tasks[UID],0),-1))</f>
        <v>0</v>
      </c>
      <c r="CE164" s="42" t="n">
        <f aca="false">IF(N(Tasks[[#This Row],[_Pred4UID]])=0,0,IFERROR(MATCH(Tasks[[#This Row],[_Pred4UID]],Tasks[UID],0),-1))</f>
        <v>0</v>
      </c>
      <c r="CF16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4" s="89" t="n">
        <f aca="false">IF(OR(Tasks[[#This Row],[_ConstraintCode]]=2,Tasks[[#This Row],[_ConstraintCode]]=3,Tasks[[#This Row],[_ConstraintCode]]=4,Tasks[[#This Row],[_ConstraintCode]]=6),Tasks[[#This Row],[_ConstraintStart]],0)</f>
        <v>0</v>
      </c>
      <c r="CI164" s="89" t="n">
        <f aca="false">IF(OR(Tasks[[#This Row],[_ConstraintCode]]=2,Tasks[[#This Row],[_ConstraintCode]]=3,Tasks[[#This Row],[_ConstraintCode]]=5,Tasks[[#This Row],[_ConstraintCode]]=7),Tasks[[#This Row],[_ConstraintStart]],2958465)</f>
        <v>2958465</v>
      </c>
      <c r="CJ16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4" s="89" t="str">
        <f aca="false">IF(NOT(Tasks[[#This Row],[_IsLeaf]]=1),"",IF(N(Tasks[[#This Row],[_Days]])&lt;=0,Tasks[[#This Row],[_LeafCalcStart]],WORKDAY.INTL(Tasks[[#This Row],[_LeafCalcStart]],Tasks[[#This Row],[_Days]]-1,WorkWeek,Holidays)))</f>
        <v/>
      </c>
      <c r="CL16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4" s="42" t="str">
        <f aca="false">IF(Tasks[[#This Row],[_Predecessors]]="","",TRIM(MID(SUBSTITUTE(SUBSTITUTE(SUBSTITUTE(UPPER(Tasks[[#This Row],[_Predecessors]]),";",",")," ",""),",",REPT(" ",99)),1,99)))</f>
        <v/>
      </c>
      <c r="CO164" s="42" t="str">
        <f aca="false">IF(Tasks[[#This Row],[_Pred1Text]]="","",IFERROR(VALUE(LEFT(Tasks[[#This Row],[_Pred1Text]],MIN(FIND("F",Tasks[[#This Row],[_Pred1Text]]&amp;"F"),FIND("S",Tasks[[#This Row],[_Pred1Text]]&amp;"S"),FIND("+",Tasks[[#This Row],[_Pred1Text]]&amp;"+"),FIND("-",Tasks[[#This Row],[_Pred1Text]]&amp;"-"))-1)),""))</f>
        <v/>
      </c>
      <c r="CP16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4" s="42" t="str">
        <f aca="false">IF(Tasks[[#This Row],[_Pred1Text]]="","",TRIM(MID(SUBSTITUTE(SUBSTITUTE(SUBSTITUTE(UPPER(Tasks[[#This Row],[_Predecessors]]),";",",")," ",""),",",REPT(" ",99)),100,99)))</f>
        <v/>
      </c>
      <c r="CS164" s="42" t="str">
        <f aca="false">IF(Tasks[[#This Row],[_Pred2Text]]="","",IFERROR(VALUE(LEFT(Tasks[[#This Row],[_Pred2Text]],MIN(FIND("F",Tasks[[#This Row],[_Pred2Text]]&amp;"F"),FIND("S",Tasks[[#This Row],[_Pred2Text]]&amp;"S"),FIND("+",Tasks[[#This Row],[_Pred2Text]]&amp;"+"),FIND("-",Tasks[[#This Row],[_Pred2Text]]&amp;"-"))-1)),""))</f>
        <v/>
      </c>
      <c r="CT16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4" s="42" t="str">
        <f aca="false">IF(Tasks[[#This Row],[_Pred2Text]]="","",TRIM(MID(SUBSTITUTE(SUBSTITUTE(SUBSTITUTE(UPPER(Tasks[[#This Row],[_Predecessors]]),";",",")," ",""),",",REPT(" ",99)),199,99)))</f>
        <v/>
      </c>
      <c r="CW164" s="42" t="str">
        <f aca="false">IF(Tasks[[#This Row],[_Pred3Text]]="","",IFERROR(VALUE(LEFT(Tasks[[#This Row],[_Pred3Text]],MIN(FIND("F",Tasks[[#This Row],[_Pred3Text]]&amp;"F"),FIND("S",Tasks[[#This Row],[_Pred3Text]]&amp;"S"),FIND("+",Tasks[[#This Row],[_Pred3Text]]&amp;"+"),FIND("-",Tasks[[#This Row],[_Pred3Text]]&amp;"-"))-1)),""))</f>
        <v/>
      </c>
      <c r="CX16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4" s="42" t="str">
        <f aca="false">IF(Tasks[[#This Row],[_Pred3Text]]="","",TRIM(MID(SUBSTITUTE(SUBSTITUTE(SUBSTITUTE(UPPER(Tasks[[#This Row],[_Predecessors]]),";",",")," ",""),",",REPT(" ",99)),298,99)))</f>
        <v/>
      </c>
      <c r="DA164" s="42" t="str">
        <f aca="false">IF(Tasks[[#This Row],[_Pred4Text]]="","",IFERROR(VALUE(LEFT(Tasks[[#This Row],[_Pred4Text]],MIN(FIND("F",Tasks[[#This Row],[_Pred4Text]]&amp;"F"),FIND("S",Tasks[[#This Row],[_Pred4Text]]&amp;"S"),FIND("+",Tasks[[#This Row],[_Pred4Text]]&amp;"+"),FIND("-",Tasks[[#This Row],[_Pred4Text]]&amp;"-"))-1)),""))</f>
        <v/>
      </c>
      <c r="DB16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4" s="42" t="str">
        <f aca="false">IF(OR(Tasks[[#This Row],[Task Name]]="",Tasks[[#This Row],[_Resources]]=""),"",TRIM(MID(SUBSTITUTE(Tasks[[#This Row],[_Resources]],",",REPT(" ",99)),1,99)))</f>
        <v/>
      </c>
      <c r="DE164" s="42" t="str">
        <f aca="false">IF(Tasks[[#This Row],[_Res1Text]]="","",TRIM(MID(SUBSTITUTE(Tasks[[#This Row],[_Resources]],",",REPT(" ",99)),100,99)))</f>
        <v/>
      </c>
      <c r="DF164" s="42" t="str">
        <f aca="false">IF(Tasks[[#This Row],[_Res2Text]]="","",TRIM(MID(SUBSTITUTE(Tasks[[#This Row],[_Resources]],",",REPT(" ",99)),199,99)))</f>
        <v/>
      </c>
      <c r="DG164" s="42" t="str">
        <f aca="false">IF(Tasks[[#This Row],[_Res3Text]]="","",TRIM(MID(SUBSTITUTE(Tasks[[#This Row],[_Resources]],",",REPT(" ",99)),298,99)))</f>
        <v/>
      </c>
      <c r="DH164" s="42" t="n">
        <f aca="false">IF(Tasks[[#This Row],[_Res1Text]]="",0,IFERROR(MATCH(TRIM(LEFT(Tasks[[#This Row],[_Res1Text]],FIND("[",Tasks[[#This Row],[_Res1Text]]&amp;"[")-1)),res_Name,0),IFERROR(MATCH(TRIM(LEFT(Tasks[[#This Row],[_Res1Text]],FIND("[",Tasks[[#This Row],[_Res1Text]]&amp;"[")-1)),res_Initials,0),0)))</f>
        <v>0</v>
      </c>
      <c r="DI164" s="42" t="n">
        <f aca="false">IF(Tasks[[#This Row],[_Res2Text]]="",0,IFERROR(MATCH(TRIM(LEFT(Tasks[[#This Row],[_Res2Text]],FIND("[",Tasks[[#This Row],[_Res2Text]]&amp;"[")-1)),res_Name,0),IFERROR(MATCH(TRIM(LEFT(Tasks[[#This Row],[_Res2Text]],FIND("[",Tasks[[#This Row],[_Res2Text]]&amp;"[")-1)),res_Initials,0),0)))</f>
        <v>0</v>
      </c>
      <c r="DJ164" s="42" t="n">
        <f aca="false">IF(Tasks[[#This Row],[_Res3Text]]="",0,IFERROR(MATCH(TRIM(LEFT(Tasks[[#This Row],[_Res3Text]],FIND("[",Tasks[[#This Row],[_Res3Text]]&amp;"[")-1)),res_Name,0),IFERROR(MATCH(TRIM(LEFT(Tasks[[#This Row],[_Res3Text]],FIND("[",Tasks[[#This Row],[_Res3Text]]&amp;"[")-1)),res_Initials,0),0)))</f>
        <v>0</v>
      </c>
      <c r="DK164" s="42" t="n">
        <f aca="false">IF(Tasks[[#This Row],[_Res4Text]]="",0,IFERROR(MATCH(TRIM(LEFT(Tasks[[#This Row],[_Res4Text]],FIND("[",Tasks[[#This Row],[_Res4Text]]&amp;"[")-1)),res_Name,0),IFERROR(MATCH(TRIM(LEFT(Tasks[[#This Row],[_Res4Text]],FIND("[",Tasks[[#This Row],[_Res4Text]]&amp;"[")-1)),res_Initials,0),0)))</f>
        <v>0</v>
      </c>
      <c r="DL164" s="42" t="str">
        <f aca="false">IF(Tasks[[#This Row],[_Res1Text]]="","",IF(Tasks[[#This Row],[_Res1Row]]&gt;0,INDEX(res_Name,Tasks[[#This Row],[_Res1Row]]),TRIM(LEFT(Tasks[[#This Row],[_Res1Text]],FIND("[",Tasks[[#This Row],[_Res1Text]]&amp;"[")-1))))</f>
        <v/>
      </c>
      <c r="DM16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4" s="42" t="n">
        <f aca="false">IF(NOT(Tasks[[#This Row],[_IsLeaf]]=1),0,(Tasks[[#This Row],[_Resource1]]&lt;&gt;"")+(Tasks[[#This Row],[_Res2]]&lt;&gt;"")+(Tasks[[#This Row],[_Res3]]&lt;&gt;"")+(Tasks[[#This Row],[_Res4]]&lt;&gt;""))</f>
        <v>0</v>
      </c>
      <c r="DO164" s="42" t="str">
        <f aca="false">IF(Tasks[[#This Row],[_Res2Text]]="","",IF(Tasks[[#This Row],[_Res2Row]]&gt;0,INDEX(res_Name,Tasks[[#This Row],[_Res2Row]]),TRIM(LEFT(Tasks[[#This Row],[_Res2Text]],FIND("[",Tasks[[#This Row],[_Res2Text]]&amp;"[")-1))))</f>
        <v/>
      </c>
      <c r="DP16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4" s="42" t="n">
        <f aca="false">IF(OR(NOT(Tasks[[#This Row],[_IsLeaf]]=1),Tasks[[#This Row],[_Res2Row]]=0),0,N(Tasks[[#This Row],[_Days]])*HoursPerDay*IF(Tasks[[#This Row],[_Res2Units]]="",DefaultUnits,Tasks[[#This Row],[_Res2Units]]))</f>
        <v>0</v>
      </c>
      <c r="DR164" s="42" t="n">
        <f aca="false">IF(AND(AND(Tasks[[#This Row],[_IsLeaf]]=1,Tasks[[#This Row],[_LeafTotalWork]]&gt;0),Tasks[[#This Row],[_Res2Work]]&gt;0),Tasks[[#This Row],[_Res2Work]]/(Tasks[[#This Row],[_FinishWorkday]]-Tasks[[#This Row],[_StartWorkday]]+1),0)</f>
        <v>0</v>
      </c>
      <c r="DS164" s="42" t="n">
        <f aca="false">Tasks[[#This Row],[_Res2WorkPerWD]]*MAX(0,Tasks[[#This Row],[_StartWorkday]]-1)</f>
        <v>0</v>
      </c>
      <c r="DT164" s="42" t="n">
        <f aca="false">Tasks[[#This Row],[_Res2Work]]*Tasks[[#This Row],[_LeafProgress]]</f>
        <v>0</v>
      </c>
      <c r="DU164" s="42" t="str">
        <f aca="false">IF(Tasks[[#This Row],[_Res3Text]]="","",IF(Tasks[[#This Row],[_Res3Row]]&gt;0,INDEX(res_Name,Tasks[[#This Row],[_Res3Row]]),TRIM(LEFT(Tasks[[#This Row],[_Res3Text]],FIND("[",Tasks[[#This Row],[_Res3Text]]&amp;"[")-1))))</f>
        <v/>
      </c>
      <c r="DV16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4" s="42" t="n">
        <f aca="false">IF(OR(NOT(Tasks[[#This Row],[_IsLeaf]]=1),Tasks[[#This Row],[_Res3Row]]=0),0,N(Tasks[[#This Row],[_Days]])*HoursPerDay*IF(Tasks[[#This Row],[_Res3Units]]="",DefaultUnits,Tasks[[#This Row],[_Res3Units]]))</f>
        <v>0</v>
      </c>
      <c r="DX164" s="42" t="n">
        <f aca="false">IF(AND(AND(Tasks[[#This Row],[_IsLeaf]]=1,Tasks[[#This Row],[_LeafTotalWork]]&gt;0),Tasks[[#This Row],[_Res3Work]]&gt;0),Tasks[[#This Row],[_Res3Work]]/(Tasks[[#This Row],[_FinishWorkday]]-Tasks[[#This Row],[_StartWorkday]]+1),0)</f>
        <v>0</v>
      </c>
      <c r="DY164" s="42" t="n">
        <f aca="false">Tasks[[#This Row],[_Res3WorkPerWD]]*MAX(0,Tasks[[#This Row],[_StartWorkday]]-1)</f>
        <v>0</v>
      </c>
      <c r="DZ164" s="42" t="n">
        <f aca="false">Tasks[[#This Row],[_Res3Work]]*Tasks[[#This Row],[_LeafProgress]]</f>
        <v>0</v>
      </c>
      <c r="EA164" s="42" t="str">
        <f aca="false">IF(Tasks[[#This Row],[_Res4Text]]="","",IF(Tasks[[#This Row],[_Res4Row]]&gt;0,INDEX(res_Name,Tasks[[#This Row],[_Res4Row]]),TRIM(LEFT(Tasks[[#This Row],[_Res4Text]],FIND("[",Tasks[[#This Row],[_Res4Text]]&amp;"[")-1))))</f>
        <v/>
      </c>
      <c r="EB16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4" s="42" t="n">
        <f aca="false">IF(OR(NOT(Tasks[[#This Row],[_IsLeaf]]=1),Tasks[[#This Row],[_Res4Row]]=0),0,N(Tasks[[#This Row],[_Days]])*HoursPerDay*IF(Tasks[[#This Row],[_Res4Units]]="",DefaultUnits,Tasks[[#This Row],[_Res4Units]]))</f>
        <v>0</v>
      </c>
      <c r="ED164" s="42" t="n">
        <f aca="false">IF(AND(AND(Tasks[[#This Row],[_IsLeaf]]=1,Tasks[[#This Row],[_LeafTotalWork]]&gt;0),Tasks[[#This Row],[_Res4Work]]&gt;0),Tasks[[#This Row],[_Res4Work]]/(Tasks[[#This Row],[_FinishWorkday]]-Tasks[[#This Row],[_StartWorkday]]+1),0)</f>
        <v>0</v>
      </c>
      <c r="EE164" s="42" t="n">
        <f aca="false">Tasks[[#This Row],[_Res4WorkPerWD]]*MAX(0,Tasks[[#This Row],[_StartWorkday]]-1)</f>
        <v>0</v>
      </c>
      <c r="EF164" s="42" t="n">
        <f aca="false">Tasks[[#This Row],[_Res4Work]]*Tasks[[#This Row],[_LeafProgress]]</f>
        <v>0</v>
      </c>
      <c r="EG164" s="42" t="n">
        <f aca="false">IF(ISNUMBER(Tasks[[#This Row],[% Complete]]),Tasks[[#This Row],[% Complete]],IF(Tasks[[#This Row],[Stage]]="",0,IFERROR(INDEX(stg_Pct,MATCH(Tasks[[#This Row],[Stage]],stg_Name,0)),0)))</f>
        <v>0</v>
      </c>
      <c r="EH164" s="42" t="n">
        <f aca="false">IF(NOT(Tasks[[#This Row],[_IsLeaf]]=1),0,IF(N(Tasks[[#This Row],[Actual Finish]])&gt;0,1,MIN(1,Tasks[[#This Row],[_Pct]])))</f>
        <v>0</v>
      </c>
      <c r="EI164" s="42" t="n">
        <f aca="false">IF(OR(NOT(Tasks[[#This Row],[_IsLeaf]]=1),Tasks[[#This Row],[_Res1Row]]=0),0,N(Tasks[[#This Row],[_Days]])*HoursPerDay*IF(Tasks[[#This Row],[_Units1]]="",DefaultUnits,Tasks[[#This Row],[_Units1]]))</f>
        <v>0</v>
      </c>
      <c r="EJ164" s="42" t="n">
        <f aca="false">Tasks[[#This Row],[_LeafWork]]+Tasks[[#This Row],[_Res2Work]]+Tasks[[#This Row],[_Res3Work]]+Tasks[[#This Row],[_Res4Work]]</f>
        <v>0</v>
      </c>
      <c r="EK16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4" s="42" t="n">
        <f aca="false">IF(NOT(Tasks[[#This Row],[_IsLeaf]]=1),0,MAX(_xlfn.MAXIFS(Tasks[_Row],Tasks[_Pred1UID],Tasks[[#This Row],[UID]]),_xlfn.MAXIFS(Tasks[_Row],Tasks[_Pred2UID],Tasks[[#This Row],[UID]]),_xlfn.MAXIFS(Tasks[_Row],Tasks[_Pred3UID],Tasks[[#This Row],[UID]]),_xlfn.MAXIFS(Tasks[_Row],Tasks[_Pred4UID],Tasks[[#This Row],[UID]])))</f>
        <v>0</v>
      </c>
      <c r="ET16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4" s="89" t="str">
        <f aca="false">IF(NOT(Tasks[[#This Row],[_IsLeaf]]=1),"",IF(N(Tasks[[#This Row],[_Days]])&lt;=0,Tasks[[#This Row],[_LeafLateFinish]],WORKDAY.INTL(Tasks[[#This Row],[_LeafLateFinish]],-(Tasks[[#This Row],[_Days]]-1),WorkWeek,Holidays)))</f>
        <v/>
      </c>
      <c r="EW16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4" s="88" t="b">
        <f aca="false">AND(Tasks[[#This Row],[_IsLeaf]]=1,Tasks[[#This Row],[_LeafProgress]]&lt;1,N(Tasks[[#This Row],[_LeafTotalSlack]])&lt;=CriticalSlackDays)</f>
        <v>0</v>
      </c>
      <c r="EY164" s="42" t="n">
        <f aca="false">IF(AND(Tasks[[#This Row],[_IsLeaf]]=1,Tasks[[#This Row],[_ConstraintCode]]=1,Tasks[[#This Row],[Mode]]&lt;&gt;"Manual",N(Tasks[[#This Row],[Actual Start]])=0),MAX(0,N(Tasks[[#This Row],[Free Slack]])),0)</f>
        <v>0</v>
      </c>
      <c r="EZ164" s="89" t="str">
        <f aca="false">IF(NOT(Tasks[[#This Row],[_IsLeaf]]=1),"",IF(Tasks[[#This Row],[_AlapShift]]=0,Tasks[[#This Row],[_LeafCalcStart]],WORKDAY.INTL(Tasks[[#This Row],[_LeafCalcStart]],Tasks[[#This Row],[_AlapShift]],WorkWeek,Holidays)))</f>
        <v/>
      </c>
      <c r="FA164" s="89" t="str">
        <f aca="false">IF(NOT(Tasks[[#This Row],[_IsLeaf]]=1),"",IF(Tasks[[#This Row],[_AlapShift]]=0,Tasks[[#This Row],[_LeafCalcFinish]],WORKDAY.INTL(Tasks[[#This Row],[_LeafCalcFinish]],Tasks[[#This Row],[_AlapShift]],WorkWeek,Holidays)))</f>
        <v/>
      </c>
      <c r="FB164" s="89" t="str">
        <f aca="false">IF(NOT(Tasks[[#This Row],[_IsLeaf]]=1),"",IF(Tasks[[#This Row],[_AlapShift]]=0,Tasks[[#This Row],[_LeafFcstStart]],WORKDAY.INTL(Tasks[[#This Row],[_LeafFcstStart]],Tasks[[#This Row],[_AlapShift]],WorkWeek,Holidays)))</f>
        <v/>
      </c>
      <c r="FC164" s="89" t="str">
        <f aca="false">IF(NOT(Tasks[[#This Row],[_IsLeaf]]=1),"",IF(Tasks[[#This Row],[_AlapShift]]=0,Tasks[[#This Row],[_LeafFcstFinish]],WORKDAY.INTL(Tasks[[#This Row],[_LeafFcstFinish]],Tasks[[#This Row],[_AlapShift]],WorkWeek,Holidays)))</f>
        <v/>
      </c>
      <c r="FD164" s="89" t="str">
        <f aca="false">IF(Tasks[[#This Row],[Task Name]]="","",IF(Tasks[[#This Row],[_IsSummary]],MIN(INDEX(Tasks[_ShownCalcStart],Tasks[[#This Row],[_Row]]+1):INDEX(Tasks[_ShownCalcStart],Tasks[[#This Row],[_Row]]+Tasks[[#This Row],[_Descendants]])),Tasks[[#This Row],[_ShownCalcStart]]))</f>
        <v/>
      </c>
      <c r="FE164" s="89" t="str">
        <f aca="false">IF(Tasks[[#This Row],[Task Name]]="","",IF(Tasks[[#This Row],[_IsSummary]],MAX(INDEX(Tasks[_ShownCalcFinish],Tasks[[#This Row],[_Row]]+1):INDEX(Tasks[_ShownCalcFinish],Tasks[[#This Row],[_Row]]+Tasks[[#This Row],[_Descendants]])),Tasks[[#This Row],[_ShownCalcFinish]]))</f>
        <v/>
      </c>
      <c r="FF16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4" s="42" t="n">
        <f aca="false">IF(AND(Tasks[[#This Row],[_IsLeaf]]=1,Tasks[[#This Row],[_LeafTotalWork]]&gt;0),NETWORKDAYS.INTL(ProjectStart,Tasks[[#This Row],[_ShownFcstStart]],WorkWeek,Holidays),0)</f>
        <v>0</v>
      </c>
      <c r="FS164" s="42" t="n">
        <f aca="false">IF(AND(Tasks[[#This Row],[_IsLeaf]]=1,Tasks[[#This Row],[_LeafTotalWork]]&gt;0),MAX(Tasks[[#This Row],[_StartWorkday]],NETWORKDAYS.INTL(ProjectStart,Tasks[[#This Row],[_ShownFcstFinish]],WorkWeek,Holidays)),0)</f>
        <v>0</v>
      </c>
      <c r="FT164" s="42" t="n">
        <f aca="false">IF(AND(Tasks[[#This Row],[_IsLeaf]]=1,Tasks[[#This Row],[_LeafTotalWork]]&gt;0),Tasks[[#This Row],[_LeafWork]]/(Tasks[[#This Row],[_FinishWorkday]]-Tasks[[#This Row],[_StartWorkday]]+1),0)</f>
        <v>0</v>
      </c>
      <c r="FU164" s="42" t="n">
        <f aca="false">Tasks[[#This Row],[_WorkPerWorkday]]*(Tasks[[#This Row],[_StartWorkday]]-1)</f>
        <v>-0</v>
      </c>
      <c r="FV164" s="42" t="n">
        <f aca="false">IF(Tasks[[#This Row],[_IsLeaf]]=1,MAX(N(Tasks[[#This Row],[_Days]]),0.1),0)</f>
        <v>0</v>
      </c>
      <c r="FW164" s="42" t="n">
        <f aca="false">Tasks[[#This Row],[_WeightDur]]*Tasks[[#This Row],[_LeafProgress]]</f>
        <v>0</v>
      </c>
      <c r="FX164" s="42" t="n">
        <f aca="false">Tasks[[#This Row],[_WeightDur]]*Tasks[[#This Row],[_PlannedPct]]</f>
        <v>0</v>
      </c>
      <c r="FY16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4" s="42" t="str">
        <f aca="false">IF(AND(Tasks[[#This Row],[_IsLeaf]]=1,N(Tasks[[#This Row],[_Days]])=0,Tasks[[#This Row],[_LeafProgress]]&lt;1),Tasks[[#This Row],[_ShownFcstFinish]]+Tasks[[#This Row],[_Row]]/100000,"")</f>
        <v/>
      </c>
      <c r="GA16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4" s="42" t="str">
        <f aca="false">IF(Tasks[[#This Row],[Task Name]]="","",LEFT(Tasks[[#This Row],[WBS]],FIND(".",Tasks[[#This Row],[WBS]]&amp;".")-1))</f>
        <v/>
      </c>
      <c r="GC164" s="42" t="str">
        <f aca="false">IF(AND(Tasks[[#This Row],[Task Name]]&lt;&gt;"",Tasks[[#This Row],[_Level]]=1),Tasks[[#This Row],[_Row]],"")</f>
        <v/>
      </c>
      <c r="GD164" s="42" t="str">
        <f aca="false">IF(AND(Tasks[[#This Row],[_IsLeaf]]=1,N(Tasks[[#This Row],[_Days]])=0),Tasks[[#This Row],[Planned Finish]]+Tasks[[#This Row],[_Row]]/100000,"")</f>
        <v/>
      </c>
      <c r="GE164" s="42" t="str">
        <f aca="false">IF(AND(Tasks[[#This Row],[_IsLeaf]]=1,Tasks[[#This Row],[_LeafProgress]]&lt;1,OR(N(Tasks[[#This Row],[Finish Var]])&gt;0,Tasks[[#This Row],[Status]]="Late Start")),MAX(0,Tasks[[#This Row],[Finish Var]])+1-Tasks[[#This Row],[_Row]]/1000000,"")</f>
        <v/>
      </c>
      <c r="GF164" s="42" t="str">
        <f aca="false">IF(AND(Tasks[[#This Row],[_IsLeaf]]=1,N(Tasks[[#This Row],[Actual Start]])=0,Tasks[[#This Row],[_ShownFcstStart]]&gt;=StatusDate,Tasks[[#This Row],[_ShownFcstStart]]&lt;=LookaheadEnd),Tasks[[#This Row],[_ShownFcstStart]]+Tasks[[#This Row],[_Row]]/100000,"")</f>
        <v/>
      </c>
      <c r="GG164" s="42" t="str">
        <f aca="false">IF(AND(Tasks[[#This Row],[_IsLeaf]]=1,Tasks[[#This Row],[_LeafProgress]]&lt;1,Tasks[[#This Row],[_ShownFcstFinish]]&gt;=StatusDate,Tasks[[#This Row],[_ShownFcstFinish]]&lt;=LookaheadEnd),Tasks[[#This Row],[_ShownFcstFinish]]+Tasks[[#This Row],[_Row]]/100000,"")</f>
        <v/>
      </c>
      <c r="GH164" s="42" t="str">
        <f aca="false">IF(Tasks[[#This Row],[_LeafCritical]],Tasks[[#This Row],[_ShownFcstStart]]+Tasks[[#This Row],[_Row]]/100000,"")</f>
        <v/>
      </c>
      <c r="GI164" s="42" t="n">
        <f aca="false">Tasks[[#This Row],[_LeafWork]]*Tasks[[#This Row],[_LeafProgress]]</f>
        <v>0</v>
      </c>
      <c r="GJ164" s="89" t="str">
        <f aca="false">IF(AND(Tasks[[#This Row],[_IsLeaf]]=1,Tasks[[#This Row],[_LeafProgress]]&gt;=1),IF(N(Tasks[[#This Row],[Actual Finish]])&gt;0,Tasks[[#This Row],[Actual Finish]],Tasks[[#This Row],[_ShownFcstFinish]]),"")</f>
        <v/>
      </c>
      <c r="GK164" s="42" t="n">
        <f aca="false">IF(Tasks[[#This Row],[_IsLeaf]]=1,N(Tasks[[#This Row],[Story Points]]),0)</f>
        <v>0</v>
      </c>
      <c r="GL164" s="42" t="str">
        <f aca="false">""</f>
        <v/>
      </c>
      <c r="GM164" s="88" t="b">
        <f aca="false">IF(Tasks[[#This Row],[Task Name]]="",FALSE(),AND(Tasks[[#This Row],[_IsLeaf]]=1,N(Tasks[[#This Row],[_Days]])=0))</f>
        <v>0</v>
      </c>
      <c r="GN164" s="89" t="n">
        <f aca="false">IF(Tasks[[#This Row],[Task Name]]="",0,IF(AND(Tasks[[#This Row],[_IsLeaf]]=1,NOT(Tasks[[#This Row],[_IsMilestone]]),N(Tasks[[#This Row],[Progress]])&gt;0),Tasks[[#This Row],[Start]],0))</f>
        <v>0</v>
      </c>
      <c r="GO164" s="89" t="n">
        <f aca="false">IF(Tasks[[#This Row],[_DoneFrom]]=0,0,IF(Tasks[[#This Row],[Progress]]&gt;=1,Tasks[[#This Row],[Finish]],MAX(Tasks[[#This Row],[_DoneFrom]],Tasks[[#This Row],[Start]]+ROUND((Tasks[[#This Row],[Finish]]-Tasks[[#This Row],[Start]]+1)*Tasks[[#This Row],[Progress]],0)-1)))</f>
        <v>0</v>
      </c>
      <c r="GP164" s="89" t="n">
        <f aca="false">IF(Tasks[[#This Row],[Task Name]]="",0,IF(OR(NOT(Tasks[[#This Row],[_IsLeaf]]=1),Tasks[[#This Row],[_IsMilestone]],N(Tasks[[#This Row],[Progress]])&gt;=1),0,IF(Tasks[[#This Row],[_DoneTo]]&gt;0,Tasks[[#This Row],[_DoneTo]]+1,Tasks[[#This Row],[Start]])))</f>
        <v>0</v>
      </c>
      <c r="GQ164" s="89" t="n">
        <f aca="false">IF(Tasks[[#This Row],[_RemFrom]]=0,0,Tasks[[#This Row],[Finish]])</f>
        <v>0</v>
      </c>
      <c r="GR164" s="88" t="b">
        <f aca="false">IF(Tasks[[#This Row],[Task Name]]="",FALSE(),OR(NOT(BaselineSet),N(Tasks[[#This Row],[Baseline Start]])&gt;0))</f>
        <v>0</v>
      </c>
      <c r="GS16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4" s="90" t="str">
        <f aca="false">IF(Tasks[[#This Row],[_IsLeaf]]=1,Tasks[[#This Row],[_Row]],"")</f>
        <v/>
      </c>
      <c r="GW164" s="90" t="str">
        <f aca="false">IFERROR(INDEX(Tasks[UID],SMALL(Tasks[_PickKey],Tasks[[#This Row],[_Row]]))&amp;" "&amp;INDEX(Tasks[Task Name],SMALL(Tasks[_PickKey],Tasks[[#This Row],[_Row]])),"")</f>
        <v/>
      </c>
      <c r="GX164" s="42" t="str">
        <f aca="false">IF(Tasks[[#This Row],[Task Name]]="","",IF(Tasks[[#This Row],[_IsSummary]],NETWORKDAYS.INTL(Tasks[[#This Row],[Start]],Tasks[[#This Row],[Finish]],WorkWeek,Holidays),N(Tasks[[#This Row],[_Days]])))</f>
        <v/>
      </c>
    </row>
    <row r="165" customFormat="false" ht="15" hidden="false" customHeight="false" outlineLevel="0" collapsed="false">
      <c r="A165" s="21" t="str">
        <f aca="false">IF(Tasks[[#This Row],[Task Name]]="","",COUNTA(Tasks[[#Headers],[Task Name]]:Tasks[[#This Row],[Task Name]])-1)</f>
        <v/>
      </c>
      <c r="B165" s="22" t="n">
        <v>173</v>
      </c>
      <c r="C165" s="22"/>
      <c r="D165" s="23"/>
      <c r="E165" s="22"/>
      <c r="F165" s="23"/>
      <c r="G165" s="22"/>
      <c r="H165" s="22"/>
      <c r="I165" s="23"/>
      <c r="J165" s="22"/>
      <c r="K165" s="22"/>
      <c r="L165" s="23"/>
      <c r="M165" s="22"/>
      <c r="N165" s="22"/>
      <c r="O165" s="23"/>
      <c r="P165" s="22"/>
      <c r="Q165" s="22"/>
      <c r="R165" s="23"/>
      <c r="S165" s="23"/>
      <c r="T165" s="83"/>
      <c r="U165" s="23"/>
      <c r="V165" s="83"/>
      <c r="W165" s="23"/>
      <c r="X165" s="83"/>
      <c r="Y165" s="23"/>
      <c r="Z165" s="83"/>
      <c r="AA165" s="23"/>
      <c r="AB165" s="23"/>
      <c r="AC165" s="7"/>
      <c r="AD165" s="7"/>
      <c r="AE165" s="62" t="str">
        <f aca="false">IF(Tasks[[#This Row],[Task Name]]="","",IF(Tasks[[#This Row],[_IsSummary]],MIN(INDEX(Tasks[_ShownFcstStart],Tasks[[#This Row],[_Row]]+1):INDEX(Tasks[_ShownFcstStart],Tasks[[#This Row],[_Row]]+Tasks[[#This Row],[_Descendants]])),Tasks[[#This Row],[_ShownFcstStart]]))</f>
        <v/>
      </c>
      <c r="AF165" s="62" t="str">
        <f aca="false">IF(Tasks[[#This Row],[Task Name]]="","",IF(Tasks[[#This Row],[_IsSummary]],MAX(INDEX(Tasks[_ShownFcstFinish],Tasks[[#This Row],[_Row]]+1):INDEX(Tasks[_ShownFcstFinish],Tasks[[#This Row],[_Row]]+Tasks[[#This Row],[_Descendants]])),Tasks[[#This Row],[_ShownFcstFinish]]))</f>
        <v/>
      </c>
      <c r="AG165" s="21" t="str">
        <f aca="false">""</f>
        <v/>
      </c>
      <c r="AH165" s="23"/>
      <c r="AI16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5" s="7"/>
      <c r="AK165" s="22"/>
      <c r="AL165" s="23"/>
      <c r="AM165" s="7"/>
      <c r="AN165" s="46" t="str">
        <f aca="false">IF(Tasks[[#This Row],[Task Name]]="","",IF(Tasks[[#This Row],[Finish]]&gt;=Tasks[[#This Row],[Planned Finish]],NETWORKDAYS.INTL(Tasks[[#This Row],[Planned Finish]],Tasks[[#This Row],[Finish]],WorkWeek,Holidays)-1,1-NETWORKDAYS.INTL(Tasks[[#This Row],[Finish]],Tasks[[#This Row],[Planned Finish]],WorkWeek,Holidays)))</f>
        <v/>
      </c>
      <c r="AO165" s="21" t="str">
        <f aca="false">IF(Tasks[[#This Row],[Task Name]]="","",IF(Tasks[[#This Row],[Progress]]&gt;=1,"Complete",IF(OR(N(Tasks[[#This Row],[Actual Start]])&gt;0,Tasks[[#This Row],[Progress]]&gt;0),IF(Tasks[[#This Row],[Finish Var]]&gt;0,"Behind","In Progress"),IF(Tasks[[#This Row],[Planned Start]]&lt;StatusDate,"Late Start","Not Started"))))</f>
        <v/>
      </c>
      <c r="AP165" s="21" t="str">
        <f aca="false">IF(Tasks[[#This Row],[Task Name]]="","",IF(IF(Tasks[[#This Row],[_IsSummary]],COUNTIF(INDEX(Tasks[_LeafCritical],Tasks[[#This Row],[_Row]]+1):INDEX(Tasks[_LeafCritical],Tasks[[#This Row],[_Row]]+Tasks[[#This Row],[_Descendants]]),TRUE())&gt;0,Tasks[[#This Row],[_LeafCritical]]),"Yes",""))</f>
        <v/>
      </c>
      <c r="AQ165" s="62" t="str">
        <f aca="false">IF(Tasks[[#This Row],[Task Name]]="","",IF(N(Tasks[[#This Row],[Baseline Start]])&gt;0,Tasks[[#This Row],[Baseline Start]],Tasks[[#This Row],[_CalcStart]]))</f>
        <v/>
      </c>
      <c r="AR165" s="62" t="str">
        <f aca="false">IF(Tasks[[#This Row],[Task Name]]="","",IF(N(Tasks[[#This Row],[Baseline Finish]])&gt;0,Tasks[[#This Row],[Baseline Finish]],Tasks[[#This Row],[_CalcFinish]]))</f>
        <v/>
      </c>
      <c r="AS165" s="46" t="str">
        <f aca="false">IF(Tasks[[#This Row],[Task Name]]="","",IF(Tasks[[#This Row],[Start]]&gt;=Tasks[[#This Row],[Planned Start]],NETWORKDAYS.INTL(Tasks[[#This Row],[Planned Start]],Tasks[[#This Row],[Start]],WorkWeek,Holidays)-1,1-NETWORKDAYS.INTL(Tasks[[#This Row],[Start]],Tasks[[#This Row],[Planned Start]],WorkWeek,Holidays)))</f>
        <v/>
      </c>
      <c r="AT165" s="62" t="str">
        <f aca="false">IF(Tasks[[#This Row],[Task Name]]="","",IF(Tasks[[#This Row],[_IsSummary]],MIN(INDEX(Tasks[_LeafLateStart],Tasks[[#This Row],[_Row]]+1):INDEX(Tasks[_LeafLateStart],Tasks[[#This Row],[_Row]]+Tasks[[#This Row],[_Descendants]])),Tasks[[#This Row],[_LeafLateStart]]))</f>
        <v/>
      </c>
      <c r="AU165" s="62" t="str">
        <f aca="false">IF(Tasks[[#This Row],[Task Name]]="","",IF(Tasks[[#This Row],[_IsSummary]],MAX(INDEX(Tasks[_LeafLateFinish],Tasks[[#This Row],[_Row]]+1):INDEX(Tasks[_LeafLateFinish],Tasks[[#This Row],[_Row]]+Tasks[[#This Row],[_Descendants]])),Tasks[[#This Row],[_LeafLateFinish]]))</f>
        <v/>
      </c>
      <c r="AV165" s="46" t="str">
        <f aca="false">IF(Tasks[[#This Row],[Task Name]]="","",IF(Tasks[[#This Row],[_IsSummary]],MIN(INDEX(Tasks[_LeafTotalSlack],Tasks[[#This Row],[_Row]]+1):INDEX(Tasks[_LeafTotalSlack],Tasks[[#This Row],[_Row]]+Tasks[[#This Row],[_Descendants]])),Tasks[[#This Row],[_LeafTotalSlack]]))</f>
        <v/>
      </c>
      <c r="AW16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4"/>
      <c r="BA16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t="str">
        <f aca="false">IF(Tasks[[#This Row],[Task Name]]="","",IF(Tasks[[#This Row],[_Level]]&lt;=OutlineShowLevel,"Yes","No"))</f>
        <v/>
      </c>
      <c r="BE165" s="85" t="str">
        <f aca="false">IF(Tasks[[#This Row],[Task Name]]="","",IF(Tasks[[#This Row],[_IsSummary]],SUM(INDEX(Tasks[_LeafTotalWork],Tasks[[#This Row],[_Row]]+1):INDEX(Tasks[_LeafTotalWork],Tasks[[#This Row],[_Row]]+Tasks[[#This Row],[_Descendants]])),Tasks[[#This Row],[_LeafTotalWork]]))</f>
        <v/>
      </c>
      <c r="BF165" s="23"/>
      <c r="BG16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t="str">
        <f aca="false">""</f>
        <v/>
      </c>
      <c r="BI165" s="86"/>
      <c r="BJ165" s="22"/>
      <c r="BK165" s="46" t="str">
        <f aca="false">IF(OR(Tasks[[#This Row],[Task Name]]="",Tasks[[#This Row],[Baseline Duration]]=""),"",Tasks[[#This Row],[_SpanDays]]-N(Tasks[[#This Row],[Baseline Duration]]))</f>
        <v/>
      </c>
      <c r="BL165" s="85" t="str">
        <f aca="false">IF(OR(Tasks[[#This Row],[Task Name]]="",Tasks[[#This Row],[Baseline Work]]=""),"",Tasks[[#This Row],[Work]]-N(Tasks[[#This Row],[Baseline Work]]))</f>
        <v/>
      </c>
      <c r="BM165" s="62" t="str">
        <f aca="false">IF(Tasks[[#This Row],[Task Name]]="","",IF(OR(TakeBaseline="Yes",N(Tasks[[#This Row],[Baseline Start]])=0),Tasks[[#This Row],[Start]],Tasks[[#This Row],[Baseline Start]]))</f>
        <v/>
      </c>
      <c r="BN165" s="62" t="str">
        <f aca="false">IF(Tasks[[#This Row],[Task Name]]="","",IF(OR(TakeBaseline="Yes",N(Tasks[[#This Row],[Baseline Finish]])=0),Tasks[[#This Row],[Finish]],Tasks[[#This Row],[Baseline Finish]]))</f>
        <v/>
      </c>
      <c r="BO165" s="21" t="str">
        <f aca="false">IF(Tasks[[#This Row],[Task Name]]="","",IF(OR(TakeBaseline="Yes",N(Tasks[[#This Row],[Baseline Duration]])=0),Tasks[[#This Row],[_SpanDays]],Tasks[[#This Row],[Baseline Duration]]))</f>
        <v/>
      </c>
      <c r="BP165" s="85" t="str">
        <f aca="false">IF(Tasks[[#This Row],[Task Name]]="","",IF(OR(TakeBaseline="Yes",N(Tasks[[#This Row],[Baseline Work]])=0),Tasks[[#This Row],[Work]],Tasks[[#This Row],[Baseline Work]]))</f>
        <v/>
      </c>
      <c r="BQ165" s="7"/>
      <c r="BR165" s="7"/>
      <c r="BS165" s="22"/>
      <c r="BT165" s="87"/>
      <c r="BU165" s="42" t="str">
        <f aca="false">IF(Tasks[[#This Row],[Task Name]]="","",MAX(1,N(Tasks[[#This Row],[Level]])))</f>
        <v/>
      </c>
      <c r="BV165" s="42" t="n">
        <f aca="false">ROW()-ROW(Tasks[[#Headers],[ID]])</f>
        <v>160</v>
      </c>
      <c r="BW165" s="42" t="n">
        <f aca="false">IF(OR(Tasks[[#This Row],[Task Name]]="",Tasks[[#This Row],[_Level]]&lt;=1),0,IFERROR(LOOKUP(2,1/(Tasks[[#Headers],[_Level]]:Tasks[[#This Row],[_Level]]=Tasks[[#This Row],[_Level]]-1),ROW(Tasks[[#Headers],[_Level]]:Tasks[[#This Row],[_Level]])),0))</f>
        <v>0</v>
      </c>
      <c r="BX165" s="42" t="n">
        <f aca="false">IFERROR(N(INDEX(Tasks[_Level],Tasks[[#This Row],[_Row]]+1)),0)</f>
        <v>0</v>
      </c>
      <c r="BY165" s="88" t="b">
        <f aca="false">AND(Tasks[[#This Row],[Task Name]]&lt;&gt;"",Tasks[[#This Row],[_NextLevel]]&gt;Tasks[[#This Row],[_Level]])</f>
        <v>0</v>
      </c>
      <c r="BZ165" s="42" t="n">
        <f aca="false">IF(Tasks[[#This Row],[_IsSummary]],COUNTIF(Tasks[WBS],Tasks[[#This Row],[WBS]]&amp;".*"),0)</f>
        <v>0</v>
      </c>
      <c r="CA165" s="42" t="n">
        <f aca="false">IF(AND(Tasks[[#This Row],[Task Name]]&lt;&gt;"",NOT(Tasks[[#This Row],[_IsSummary]])),1,0)</f>
        <v>0</v>
      </c>
      <c r="CB165" s="42" t="n">
        <f aca="false">IF(N(Tasks[[#This Row],[_Pred1UID]])=0,0,IFERROR(MATCH(Tasks[[#This Row],[_Pred1UID]],Tasks[UID],0),-1))</f>
        <v>0</v>
      </c>
      <c r="CC165" s="42" t="n">
        <f aca="false">IF(N(Tasks[[#This Row],[_Pred2UID]])=0,0,IFERROR(MATCH(Tasks[[#This Row],[_Pred2UID]],Tasks[UID],0),-1))</f>
        <v>0</v>
      </c>
      <c r="CD165" s="42" t="n">
        <f aca="false">IF(N(Tasks[[#This Row],[_Pred3UID]])=0,0,IFERROR(MATCH(Tasks[[#This Row],[_Pred3UID]],Tasks[UID],0),-1))</f>
        <v>0</v>
      </c>
      <c r="CE165" s="42" t="n">
        <f aca="false">IF(N(Tasks[[#This Row],[_Pred4UID]])=0,0,IFERROR(MATCH(Tasks[[#This Row],[_Pred4UID]],Tasks[UID],0),-1))</f>
        <v>0</v>
      </c>
      <c r="CF16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5" s="89" t="n">
        <f aca="false">IF(OR(Tasks[[#This Row],[_ConstraintCode]]=2,Tasks[[#This Row],[_ConstraintCode]]=3,Tasks[[#This Row],[_ConstraintCode]]=4,Tasks[[#This Row],[_ConstraintCode]]=6),Tasks[[#This Row],[_ConstraintStart]],0)</f>
        <v>0</v>
      </c>
      <c r="CI165" s="89" t="n">
        <f aca="false">IF(OR(Tasks[[#This Row],[_ConstraintCode]]=2,Tasks[[#This Row],[_ConstraintCode]]=3,Tasks[[#This Row],[_ConstraintCode]]=5,Tasks[[#This Row],[_ConstraintCode]]=7),Tasks[[#This Row],[_ConstraintStart]],2958465)</f>
        <v>2958465</v>
      </c>
      <c r="CJ16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5" s="89" t="str">
        <f aca="false">IF(NOT(Tasks[[#This Row],[_IsLeaf]]=1),"",IF(N(Tasks[[#This Row],[_Days]])&lt;=0,Tasks[[#This Row],[_LeafCalcStart]],WORKDAY.INTL(Tasks[[#This Row],[_LeafCalcStart]],Tasks[[#This Row],[_Days]]-1,WorkWeek,Holidays)))</f>
        <v/>
      </c>
      <c r="CL16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5" s="42" t="str">
        <f aca="false">IF(Tasks[[#This Row],[_Predecessors]]="","",TRIM(MID(SUBSTITUTE(SUBSTITUTE(SUBSTITUTE(UPPER(Tasks[[#This Row],[_Predecessors]]),";",",")," ",""),",",REPT(" ",99)),1,99)))</f>
        <v/>
      </c>
      <c r="CO165" s="42" t="str">
        <f aca="false">IF(Tasks[[#This Row],[_Pred1Text]]="","",IFERROR(VALUE(LEFT(Tasks[[#This Row],[_Pred1Text]],MIN(FIND("F",Tasks[[#This Row],[_Pred1Text]]&amp;"F"),FIND("S",Tasks[[#This Row],[_Pred1Text]]&amp;"S"),FIND("+",Tasks[[#This Row],[_Pred1Text]]&amp;"+"),FIND("-",Tasks[[#This Row],[_Pred1Text]]&amp;"-"))-1)),""))</f>
        <v/>
      </c>
      <c r="CP16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5" s="42" t="str">
        <f aca="false">IF(Tasks[[#This Row],[_Pred1Text]]="","",TRIM(MID(SUBSTITUTE(SUBSTITUTE(SUBSTITUTE(UPPER(Tasks[[#This Row],[_Predecessors]]),";",",")," ",""),",",REPT(" ",99)),100,99)))</f>
        <v/>
      </c>
      <c r="CS165" s="42" t="str">
        <f aca="false">IF(Tasks[[#This Row],[_Pred2Text]]="","",IFERROR(VALUE(LEFT(Tasks[[#This Row],[_Pred2Text]],MIN(FIND("F",Tasks[[#This Row],[_Pred2Text]]&amp;"F"),FIND("S",Tasks[[#This Row],[_Pred2Text]]&amp;"S"),FIND("+",Tasks[[#This Row],[_Pred2Text]]&amp;"+"),FIND("-",Tasks[[#This Row],[_Pred2Text]]&amp;"-"))-1)),""))</f>
        <v/>
      </c>
      <c r="CT16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5" s="42" t="str">
        <f aca="false">IF(Tasks[[#This Row],[_Pred2Text]]="","",TRIM(MID(SUBSTITUTE(SUBSTITUTE(SUBSTITUTE(UPPER(Tasks[[#This Row],[_Predecessors]]),";",",")," ",""),",",REPT(" ",99)),199,99)))</f>
        <v/>
      </c>
      <c r="CW165" s="42" t="str">
        <f aca="false">IF(Tasks[[#This Row],[_Pred3Text]]="","",IFERROR(VALUE(LEFT(Tasks[[#This Row],[_Pred3Text]],MIN(FIND("F",Tasks[[#This Row],[_Pred3Text]]&amp;"F"),FIND("S",Tasks[[#This Row],[_Pred3Text]]&amp;"S"),FIND("+",Tasks[[#This Row],[_Pred3Text]]&amp;"+"),FIND("-",Tasks[[#This Row],[_Pred3Text]]&amp;"-"))-1)),""))</f>
        <v/>
      </c>
      <c r="CX16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5" s="42" t="str">
        <f aca="false">IF(Tasks[[#This Row],[_Pred3Text]]="","",TRIM(MID(SUBSTITUTE(SUBSTITUTE(SUBSTITUTE(UPPER(Tasks[[#This Row],[_Predecessors]]),";",",")," ",""),",",REPT(" ",99)),298,99)))</f>
        <v/>
      </c>
      <c r="DA165" s="42" t="str">
        <f aca="false">IF(Tasks[[#This Row],[_Pred4Text]]="","",IFERROR(VALUE(LEFT(Tasks[[#This Row],[_Pred4Text]],MIN(FIND("F",Tasks[[#This Row],[_Pred4Text]]&amp;"F"),FIND("S",Tasks[[#This Row],[_Pred4Text]]&amp;"S"),FIND("+",Tasks[[#This Row],[_Pred4Text]]&amp;"+"),FIND("-",Tasks[[#This Row],[_Pred4Text]]&amp;"-"))-1)),""))</f>
        <v/>
      </c>
      <c r="DB16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5" s="42" t="str">
        <f aca="false">IF(OR(Tasks[[#This Row],[Task Name]]="",Tasks[[#This Row],[_Resources]]=""),"",TRIM(MID(SUBSTITUTE(Tasks[[#This Row],[_Resources]],",",REPT(" ",99)),1,99)))</f>
        <v/>
      </c>
      <c r="DE165" s="42" t="str">
        <f aca="false">IF(Tasks[[#This Row],[_Res1Text]]="","",TRIM(MID(SUBSTITUTE(Tasks[[#This Row],[_Resources]],",",REPT(" ",99)),100,99)))</f>
        <v/>
      </c>
      <c r="DF165" s="42" t="str">
        <f aca="false">IF(Tasks[[#This Row],[_Res2Text]]="","",TRIM(MID(SUBSTITUTE(Tasks[[#This Row],[_Resources]],",",REPT(" ",99)),199,99)))</f>
        <v/>
      </c>
      <c r="DG165" s="42" t="str">
        <f aca="false">IF(Tasks[[#This Row],[_Res3Text]]="","",TRIM(MID(SUBSTITUTE(Tasks[[#This Row],[_Resources]],",",REPT(" ",99)),298,99)))</f>
        <v/>
      </c>
      <c r="DH165" s="42" t="n">
        <f aca="false">IF(Tasks[[#This Row],[_Res1Text]]="",0,IFERROR(MATCH(TRIM(LEFT(Tasks[[#This Row],[_Res1Text]],FIND("[",Tasks[[#This Row],[_Res1Text]]&amp;"[")-1)),res_Name,0),IFERROR(MATCH(TRIM(LEFT(Tasks[[#This Row],[_Res1Text]],FIND("[",Tasks[[#This Row],[_Res1Text]]&amp;"[")-1)),res_Initials,0),0)))</f>
        <v>0</v>
      </c>
      <c r="DI165" s="42" t="n">
        <f aca="false">IF(Tasks[[#This Row],[_Res2Text]]="",0,IFERROR(MATCH(TRIM(LEFT(Tasks[[#This Row],[_Res2Text]],FIND("[",Tasks[[#This Row],[_Res2Text]]&amp;"[")-1)),res_Name,0),IFERROR(MATCH(TRIM(LEFT(Tasks[[#This Row],[_Res2Text]],FIND("[",Tasks[[#This Row],[_Res2Text]]&amp;"[")-1)),res_Initials,0),0)))</f>
        <v>0</v>
      </c>
      <c r="DJ165" s="42" t="n">
        <f aca="false">IF(Tasks[[#This Row],[_Res3Text]]="",0,IFERROR(MATCH(TRIM(LEFT(Tasks[[#This Row],[_Res3Text]],FIND("[",Tasks[[#This Row],[_Res3Text]]&amp;"[")-1)),res_Name,0),IFERROR(MATCH(TRIM(LEFT(Tasks[[#This Row],[_Res3Text]],FIND("[",Tasks[[#This Row],[_Res3Text]]&amp;"[")-1)),res_Initials,0),0)))</f>
        <v>0</v>
      </c>
      <c r="DK165" s="42" t="n">
        <f aca="false">IF(Tasks[[#This Row],[_Res4Text]]="",0,IFERROR(MATCH(TRIM(LEFT(Tasks[[#This Row],[_Res4Text]],FIND("[",Tasks[[#This Row],[_Res4Text]]&amp;"[")-1)),res_Name,0),IFERROR(MATCH(TRIM(LEFT(Tasks[[#This Row],[_Res4Text]],FIND("[",Tasks[[#This Row],[_Res4Text]]&amp;"[")-1)),res_Initials,0),0)))</f>
        <v>0</v>
      </c>
      <c r="DL165" s="42" t="str">
        <f aca="false">IF(Tasks[[#This Row],[_Res1Text]]="","",IF(Tasks[[#This Row],[_Res1Row]]&gt;0,INDEX(res_Name,Tasks[[#This Row],[_Res1Row]]),TRIM(LEFT(Tasks[[#This Row],[_Res1Text]],FIND("[",Tasks[[#This Row],[_Res1Text]]&amp;"[")-1))))</f>
        <v/>
      </c>
      <c r="DM16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5" s="42" t="n">
        <f aca="false">IF(NOT(Tasks[[#This Row],[_IsLeaf]]=1),0,(Tasks[[#This Row],[_Resource1]]&lt;&gt;"")+(Tasks[[#This Row],[_Res2]]&lt;&gt;"")+(Tasks[[#This Row],[_Res3]]&lt;&gt;"")+(Tasks[[#This Row],[_Res4]]&lt;&gt;""))</f>
        <v>0</v>
      </c>
      <c r="DO165" s="42" t="str">
        <f aca="false">IF(Tasks[[#This Row],[_Res2Text]]="","",IF(Tasks[[#This Row],[_Res2Row]]&gt;0,INDEX(res_Name,Tasks[[#This Row],[_Res2Row]]),TRIM(LEFT(Tasks[[#This Row],[_Res2Text]],FIND("[",Tasks[[#This Row],[_Res2Text]]&amp;"[")-1))))</f>
        <v/>
      </c>
      <c r="DP16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5" s="42" t="n">
        <f aca="false">IF(OR(NOT(Tasks[[#This Row],[_IsLeaf]]=1),Tasks[[#This Row],[_Res2Row]]=0),0,N(Tasks[[#This Row],[_Days]])*HoursPerDay*IF(Tasks[[#This Row],[_Res2Units]]="",DefaultUnits,Tasks[[#This Row],[_Res2Units]]))</f>
        <v>0</v>
      </c>
      <c r="DR165" s="42" t="n">
        <f aca="false">IF(AND(AND(Tasks[[#This Row],[_IsLeaf]]=1,Tasks[[#This Row],[_LeafTotalWork]]&gt;0),Tasks[[#This Row],[_Res2Work]]&gt;0),Tasks[[#This Row],[_Res2Work]]/(Tasks[[#This Row],[_FinishWorkday]]-Tasks[[#This Row],[_StartWorkday]]+1),0)</f>
        <v>0</v>
      </c>
      <c r="DS165" s="42" t="n">
        <f aca="false">Tasks[[#This Row],[_Res2WorkPerWD]]*MAX(0,Tasks[[#This Row],[_StartWorkday]]-1)</f>
        <v>0</v>
      </c>
      <c r="DT165" s="42" t="n">
        <f aca="false">Tasks[[#This Row],[_Res2Work]]*Tasks[[#This Row],[_LeafProgress]]</f>
        <v>0</v>
      </c>
      <c r="DU165" s="42" t="str">
        <f aca="false">IF(Tasks[[#This Row],[_Res3Text]]="","",IF(Tasks[[#This Row],[_Res3Row]]&gt;0,INDEX(res_Name,Tasks[[#This Row],[_Res3Row]]),TRIM(LEFT(Tasks[[#This Row],[_Res3Text]],FIND("[",Tasks[[#This Row],[_Res3Text]]&amp;"[")-1))))</f>
        <v/>
      </c>
      <c r="DV16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5" s="42" t="n">
        <f aca="false">IF(OR(NOT(Tasks[[#This Row],[_IsLeaf]]=1),Tasks[[#This Row],[_Res3Row]]=0),0,N(Tasks[[#This Row],[_Days]])*HoursPerDay*IF(Tasks[[#This Row],[_Res3Units]]="",DefaultUnits,Tasks[[#This Row],[_Res3Units]]))</f>
        <v>0</v>
      </c>
      <c r="DX165" s="42" t="n">
        <f aca="false">IF(AND(AND(Tasks[[#This Row],[_IsLeaf]]=1,Tasks[[#This Row],[_LeafTotalWork]]&gt;0),Tasks[[#This Row],[_Res3Work]]&gt;0),Tasks[[#This Row],[_Res3Work]]/(Tasks[[#This Row],[_FinishWorkday]]-Tasks[[#This Row],[_StartWorkday]]+1),0)</f>
        <v>0</v>
      </c>
      <c r="DY165" s="42" t="n">
        <f aca="false">Tasks[[#This Row],[_Res3WorkPerWD]]*MAX(0,Tasks[[#This Row],[_StartWorkday]]-1)</f>
        <v>0</v>
      </c>
      <c r="DZ165" s="42" t="n">
        <f aca="false">Tasks[[#This Row],[_Res3Work]]*Tasks[[#This Row],[_LeafProgress]]</f>
        <v>0</v>
      </c>
      <c r="EA165" s="42" t="str">
        <f aca="false">IF(Tasks[[#This Row],[_Res4Text]]="","",IF(Tasks[[#This Row],[_Res4Row]]&gt;0,INDEX(res_Name,Tasks[[#This Row],[_Res4Row]]),TRIM(LEFT(Tasks[[#This Row],[_Res4Text]],FIND("[",Tasks[[#This Row],[_Res4Text]]&amp;"[")-1))))</f>
        <v/>
      </c>
      <c r="EB16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5" s="42" t="n">
        <f aca="false">IF(OR(NOT(Tasks[[#This Row],[_IsLeaf]]=1),Tasks[[#This Row],[_Res4Row]]=0),0,N(Tasks[[#This Row],[_Days]])*HoursPerDay*IF(Tasks[[#This Row],[_Res4Units]]="",DefaultUnits,Tasks[[#This Row],[_Res4Units]]))</f>
        <v>0</v>
      </c>
      <c r="ED165" s="42" t="n">
        <f aca="false">IF(AND(AND(Tasks[[#This Row],[_IsLeaf]]=1,Tasks[[#This Row],[_LeafTotalWork]]&gt;0),Tasks[[#This Row],[_Res4Work]]&gt;0),Tasks[[#This Row],[_Res4Work]]/(Tasks[[#This Row],[_FinishWorkday]]-Tasks[[#This Row],[_StartWorkday]]+1),0)</f>
        <v>0</v>
      </c>
      <c r="EE165" s="42" t="n">
        <f aca="false">Tasks[[#This Row],[_Res4WorkPerWD]]*MAX(0,Tasks[[#This Row],[_StartWorkday]]-1)</f>
        <v>0</v>
      </c>
      <c r="EF165" s="42" t="n">
        <f aca="false">Tasks[[#This Row],[_Res4Work]]*Tasks[[#This Row],[_LeafProgress]]</f>
        <v>0</v>
      </c>
      <c r="EG165" s="42" t="n">
        <f aca="false">IF(ISNUMBER(Tasks[[#This Row],[% Complete]]),Tasks[[#This Row],[% Complete]],IF(Tasks[[#This Row],[Stage]]="",0,IFERROR(INDEX(stg_Pct,MATCH(Tasks[[#This Row],[Stage]],stg_Name,0)),0)))</f>
        <v>0</v>
      </c>
      <c r="EH165" s="42" t="n">
        <f aca="false">IF(NOT(Tasks[[#This Row],[_IsLeaf]]=1),0,IF(N(Tasks[[#This Row],[Actual Finish]])&gt;0,1,MIN(1,Tasks[[#This Row],[_Pct]])))</f>
        <v>0</v>
      </c>
      <c r="EI165" s="42" t="n">
        <f aca="false">IF(OR(NOT(Tasks[[#This Row],[_IsLeaf]]=1),Tasks[[#This Row],[_Res1Row]]=0),0,N(Tasks[[#This Row],[_Days]])*HoursPerDay*IF(Tasks[[#This Row],[_Units1]]="",DefaultUnits,Tasks[[#This Row],[_Units1]]))</f>
        <v>0</v>
      </c>
      <c r="EJ165" s="42" t="n">
        <f aca="false">Tasks[[#This Row],[_LeafWork]]+Tasks[[#This Row],[_Res2Work]]+Tasks[[#This Row],[_Res3Work]]+Tasks[[#This Row],[_Res4Work]]</f>
        <v>0</v>
      </c>
      <c r="EK16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5" s="42" t="n">
        <f aca="false">IF(NOT(Tasks[[#This Row],[_IsLeaf]]=1),0,MAX(_xlfn.MAXIFS(Tasks[_Row],Tasks[_Pred1UID],Tasks[[#This Row],[UID]]),_xlfn.MAXIFS(Tasks[_Row],Tasks[_Pred2UID],Tasks[[#This Row],[UID]]),_xlfn.MAXIFS(Tasks[_Row],Tasks[_Pred3UID],Tasks[[#This Row],[UID]]),_xlfn.MAXIFS(Tasks[_Row],Tasks[_Pred4UID],Tasks[[#This Row],[UID]])))</f>
        <v>0</v>
      </c>
      <c r="ET16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5" s="89" t="str">
        <f aca="false">IF(NOT(Tasks[[#This Row],[_IsLeaf]]=1),"",IF(N(Tasks[[#This Row],[_Days]])&lt;=0,Tasks[[#This Row],[_LeafLateFinish]],WORKDAY.INTL(Tasks[[#This Row],[_LeafLateFinish]],-(Tasks[[#This Row],[_Days]]-1),WorkWeek,Holidays)))</f>
        <v/>
      </c>
      <c r="EW16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5" s="88" t="b">
        <f aca="false">AND(Tasks[[#This Row],[_IsLeaf]]=1,Tasks[[#This Row],[_LeafProgress]]&lt;1,N(Tasks[[#This Row],[_LeafTotalSlack]])&lt;=CriticalSlackDays)</f>
        <v>0</v>
      </c>
      <c r="EY165" s="42" t="n">
        <f aca="false">IF(AND(Tasks[[#This Row],[_IsLeaf]]=1,Tasks[[#This Row],[_ConstraintCode]]=1,Tasks[[#This Row],[Mode]]&lt;&gt;"Manual",N(Tasks[[#This Row],[Actual Start]])=0),MAX(0,N(Tasks[[#This Row],[Free Slack]])),0)</f>
        <v>0</v>
      </c>
      <c r="EZ165" s="89" t="str">
        <f aca="false">IF(NOT(Tasks[[#This Row],[_IsLeaf]]=1),"",IF(Tasks[[#This Row],[_AlapShift]]=0,Tasks[[#This Row],[_LeafCalcStart]],WORKDAY.INTL(Tasks[[#This Row],[_LeafCalcStart]],Tasks[[#This Row],[_AlapShift]],WorkWeek,Holidays)))</f>
        <v/>
      </c>
      <c r="FA165" s="89" t="str">
        <f aca="false">IF(NOT(Tasks[[#This Row],[_IsLeaf]]=1),"",IF(Tasks[[#This Row],[_AlapShift]]=0,Tasks[[#This Row],[_LeafCalcFinish]],WORKDAY.INTL(Tasks[[#This Row],[_LeafCalcFinish]],Tasks[[#This Row],[_AlapShift]],WorkWeek,Holidays)))</f>
        <v/>
      </c>
      <c r="FB165" s="89" t="str">
        <f aca="false">IF(NOT(Tasks[[#This Row],[_IsLeaf]]=1),"",IF(Tasks[[#This Row],[_AlapShift]]=0,Tasks[[#This Row],[_LeafFcstStart]],WORKDAY.INTL(Tasks[[#This Row],[_LeafFcstStart]],Tasks[[#This Row],[_AlapShift]],WorkWeek,Holidays)))</f>
        <v/>
      </c>
      <c r="FC165" s="89" t="str">
        <f aca="false">IF(NOT(Tasks[[#This Row],[_IsLeaf]]=1),"",IF(Tasks[[#This Row],[_AlapShift]]=0,Tasks[[#This Row],[_LeafFcstFinish]],WORKDAY.INTL(Tasks[[#This Row],[_LeafFcstFinish]],Tasks[[#This Row],[_AlapShift]],WorkWeek,Holidays)))</f>
        <v/>
      </c>
      <c r="FD165" s="89" t="str">
        <f aca="false">IF(Tasks[[#This Row],[Task Name]]="","",IF(Tasks[[#This Row],[_IsSummary]],MIN(INDEX(Tasks[_ShownCalcStart],Tasks[[#This Row],[_Row]]+1):INDEX(Tasks[_ShownCalcStart],Tasks[[#This Row],[_Row]]+Tasks[[#This Row],[_Descendants]])),Tasks[[#This Row],[_ShownCalcStart]]))</f>
        <v/>
      </c>
      <c r="FE165" s="89" t="str">
        <f aca="false">IF(Tasks[[#This Row],[Task Name]]="","",IF(Tasks[[#This Row],[_IsSummary]],MAX(INDEX(Tasks[_ShownCalcFinish],Tasks[[#This Row],[_Row]]+1):INDEX(Tasks[_ShownCalcFinish],Tasks[[#This Row],[_Row]]+Tasks[[#This Row],[_Descendants]])),Tasks[[#This Row],[_ShownCalcFinish]]))</f>
        <v/>
      </c>
      <c r="FF16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5" s="42" t="n">
        <f aca="false">IF(AND(Tasks[[#This Row],[_IsLeaf]]=1,Tasks[[#This Row],[_LeafTotalWork]]&gt;0),NETWORKDAYS.INTL(ProjectStart,Tasks[[#This Row],[_ShownFcstStart]],WorkWeek,Holidays),0)</f>
        <v>0</v>
      </c>
      <c r="FS165" s="42" t="n">
        <f aca="false">IF(AND(Tasks[[#This Row],[_IsLeaf]]=1,Tasks[[#This Row],[_LeafTotalWork]]&gt;0),MAX(Tasks[[#This Row],[_StartWorkday]],NETWORKDAYS.INTL(ProjectStart,Tasks[[#This Row],[_ShownFcstFinish]],WorkWeek,Holidays)),0)</f>
        <v>0</v>
      </c>
      <c r="FT165" s="42" t="n">
        <f aca="false">IF(AND(Tasks[[#This Row],[_IsLeaf]]=1,Tasks[[#This Row],[_LeafTotalWork]]&gt;0),Tasks[[#This Row],[_LeafWork]]/(Tasks[[#This Row],[_FinishWorkday]]-Tasks[[#This Row],[_StartWorkday]]+1),0)</f>
        <v>0</v>
      </c>
      <c r="FU165" s="42" t="n">
        <f aca="false">Tasks[[#This Row],[_WorkPerWorkday]]*(Tasks[[#This Row],[_StartWorkday]]-1)</f>
        <v>-0</v>
      </c>
      <c r="FV165" s="42" t="n">
        <f aca="false">IF(Tasks[[#This Row],[_IsLeaf]]=1,MAX(N(Tasks[[#This Row],[_Days]]),0.1),0)</f>
        <v>0</v>
      </c>
      <c r="FW165" s="42" t="n">
        <f aca="false">Tasks[[#This Row],[_WeightDur]]*Tasks[[#This Row],[_LeafProgress]]</f>
        <v>0</v>
      </c>
      <c r="FX165" s="42" t="n">
        <f aca="false">Tasks[[#This Row],[_WeightDur]]*Tasks[[#This Row],[_PlannedPct]]</f>
        <v>0</v>
      </c>
      <c r="FY16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5" s="42" t="str">
        <f aca="false">IF(AND(Tasks[[#This Row],[_IsLeaf]]=1,N(Tasks[[#This Row],[_Days]])=0,Tasks[[#This Row],[_LeafProgress]]&lt;1),Tasks[[#This Row],[_ShownFcstFinish]]+Tasks[[#This Row],[_Row]]/100000,"")</f>
        <v/>
      </c>
      <c r="GA16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5" s="42" t="str">
        <f aca="false">IF(Tasks[[#This Row],[Task Name]]="","",LEFT(Tasks[[#This Row],[WBS]],FIND(".",Tasks[[#This Row],[WBS]]&amp;".")-1))</f>
        <v/>
      </c>
      <c r="GC165" s="42" t="str">
        <f aca="false">IF(AND(Tasks[[#This Row],[Task Name]]&lt;&gt;"",Tasks[[#This Row],[_Level]]=1),Tasks[[#This Row],[_Row]],"")</f>
        <v/>
      </c>
      <c r="GD165" s="42" t="str">
        <f aca="false">IF(AND(Tasks[[#This Row],[_IsLeaf]]=1,N(Tasks[[#This Row],[_Days]])=0),Tasks[[#This Row],[Planned Finish]]+Tasks[[#This Row],[_Row]]/100000,"")</f>
        <v/>
      </c>
      <c r="GE165" s="42" t="str">
        <f aca="false">IF(AND(Tasks[[#This Row],[_IsLeaf]]=1,Tasks[[#This Row],[_LeafProgress]]&lt;1,OR(N(Tasks[[#This Row],[Finish Var]])&gt;0,Tasks[[#This Row],[Status]]="Late Start")),MAX(0,Tasks[[#This Row],[Finish Var]])+1-Tasks[[#This Row],[_Row]]/1000000,"")</f>
        <v/>
      </c>
      <c r="GF165" s="42" t="str">
        <f aca="false">IF(AND(Tasks[[#This Row],[_IsLeaf]]=1,N(Tasks[[#This Row],[Actual Start]])=0,Tasks[[#This Row],[_ShownFcstStart]]&gt;=StatusDate,Tasks[[#This Row],[_ShownFcstStart]]&lt;=LookaheadEnd),Tasks[[#This Row],[_ShownFcstStart]]+Tasks[[#This Row],[_Row]]/100000,"")</f>
        <v/>
      </c>
      <c r="GG165" s="42" t="str">
        <f aca="false">IF(AND(Tasks[[#This Row],[_IsLeaf]]=1,Tasks[[#This Row],[_LeafProgress]]&lt;1,Tasks[[#This Row],[_ShownFcstFinish]]&gt;=StatusDate,Tasks[[#This Row],[_ShownFcstFinish]]&lt;=LookaheadEnd),Tasks[[#This Row],[_ShownFcstFinish]]+Tasks[[#This Row],[_Row]]/100000,"")</f>
        <v/>
      </c>
      <c r="GH165" s="42" t="str">
        <f aca="false">IF(Tasks[[#This Row],[_LeafCritical]],Tasks[[#This Row],[_ShownFcstStart]]+Tasks[[#This Row],[_Row]]/100000,"")</f>
        <v/>
      </c>
      <c r="GI165" s="42" t="n">
        <f aca="false">Tasks[[#This Row],[_LeafWork]]*Tasks[[#This Row],[_LeafProgress]]</f>
        <v>0</v>
      </c>
      <c r="GJ165" s="89" t="str">
        <f aca="false">IF(AND(Tasks[[#This Row],[_IsLeaf]]=1,Tasks[[#This Row],[_LeafProgress]]&gt;=1),IF(N(Tasks[[#This Row],[Actual Finish]])&gt;0,Tasks[[#This Row],[Actual Finish]],Tasks[[#This Row],[_ShownFcstFinish]]),"")</f>
        <v/>
      </c>
      <c r="GK165" s="42" t="n">
        <f aca="false">IF(Tasks[[#This Row],[_IsLeaf]]=1,N(Tasks[[#This Row],[Story Points]]),0)</f>
        <v>0</v>
      </c>
      <c r="GL165" s="42" t="str">
        <f aca="false">""</f>
        <v/>
      </c>
      <c r="GM165" s="88" t="b">
        <f aca="false">IF(Tasks[[#This Row],[Task Name]]="",FALSE(),AND(Tasks[[#This Row],[_IsLeaf]]=1,N(Tasks[[#This Row],[_Days]])=0))</f>
        <v>0</v>
      </c>
      <c r="GN165" s="89" t="n">
        <f aca="false">IF(Tasks[[#This Row],[Task Name]]="",0,IF(AND(Tasks[[#This Row],[_IsLeaf]]=1,NOT(Tasks[[#This Row],[_IsMilestone]]),N(Tasks[[#This Row],[Progress]])&gt;0),Tasks[[#This Row],[Start]],0))</f>
        <v>0</v>
      </c>
      <c r="GO165" s="89" t="n">
        <f aca="false">IF(Tasks[[#This Row],[_DoneFrom]]=0,0,IF(Tasks[[#This Row],[Progress]]&gt;=1,Tasks[[#This Row],[Finish]],MAX(Tasks[[#This Row],[_DoneFrom]],Tasks[[#This Row],[Start]]+ROUND((Tasks[[#This Row],[Finish]]-Tasks[[#This Row],[Start]]+1)*Tasks[[#This Row],[Progress]],0)-1)))</f>
        <v>0</v>
      </c>
      <c r="GP165" s="89" t="n">
        <f aca="false">IF(Tasks[[#This Row],[Task Name]]="",0,IF(OR(NOT(Tasks[[#This Row],[_IsLeaf]]=1),Tasks[[#This Row],[_IsMilestone]],N(Tasks[[#This Row],[Progress]])&gt;=1),0,IF(Tasks[[#This Row],[_DoneTo]]&gt;0,Tasks[[#This Row],[_DoneTo]]+1,Tasks[[#This Row],[Start]])))</f>
        <v>0</v>
      </c>
      <c r="GQ165" s="89" t="n">
        <f aca="false">IF(Tasks[[#This Row],[_RemFrom]]=0,0,Tasks[[#This Row],[Finish]])</f>
        <v>0</v>
      </c>
      <c r="GR165" s="88" t="b">
        <f aca="false">IF(Tasks[[#This Row],[Task Name]]="",FALSE(),OR(NOT(BaselineSet),N(Tasks[[#This Row],[Baseline Start]])&gt;0))</f>
        <v>0</v>
      </c>
      <c r="GS16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5" s="90" t="str">
        <f aca="false">IF(Tasks[[#This Row],[_IsLeaf]]=1,Tasks[[#This Row],[_Row]],"")</f>
        <v/>
      </c>
      <c r="GW165" s="90" t="str">
        <f aca="false">IFERROR(INDEX(Tasks[UID],SMALL(Tasks[_PickKey],Tasks[[#This Row],[_Row]]))&amp;" "&amp;INDEX(Tasks[Task Name],SMALL(Tasks[_PickKey],Tasks[[#This Row],[_Row]])),"")</f>
        <v/>
      </c>
      <c r="GX165" s="42" t="str">
        <f aca="false">IF(Tasks[[#This Row],[Task Name]]="","",IF(Tasks[[#This Row],[_IsSummary]],NETWORKDAYS.INTL(Tasks[[#This Row],[Start]],Tasks[[#This Row],[Finish]],WorkWeek,Holidays),N(Tasks[[#This Row],[_Days]])))</f>
        <v/>
      </c>
    </row>
    <row r="166" customFormat="false" ht="15" hidden="false" customHeight="false" outlineLevel="0" collapsed="false">
      <c r="A166" s="21" t="str">
        <f aca="false">IF(Tasks[[#This Row],[Task Name]]="","",COUNTA(Tasks[[#Headers],[Task Name]]:Tasks[[#This Row],[Task Name]])-1)</f>
        <v/>
      </c>
      <c r="B166" s="22" t="n">
        <v>174</v>
      </c>
      <c r="C166" s="22"/>
      <c r="D166" s="23"/>
      <c r="E166" s="22"/>
      <c r="F166" s="23"/>
      <c r="G166" s="22"/>
      <c r="H166" s="22"/>
      <c r="I166" s="23"/>
      <c r="J166" s="22"/>
      <c r="K166" s="22"/>
      <c r="L166" s="23"/>
      <c r="M166" s="22"/>
      <c r="N166" s="22"/>
      <c r="O166" s="23"/>
      <c r="P166" s="22"/>
      <c r="Q166" s="22"/>
      <c r="R166" s="23"/>
      <c r="S166" s="23"/>
      <c r="T166" s="83"/>
      <c r="U166" s="23"/>
      <c r="V166" s="83"/>
      <c r="W166" s="23"/>
      <c r="X166" s="83"/>
      <c r="Y166" s="23"/>
      <c r="Z166" s="83"/>
      <c r="AA166" s="23"/>
      <c r="AB166" s="23"/>
      <c r="AC166" s="7"/>
      <c r="AD166" s="7"/>
      <c r="AE166" s="62" t="str">
        <f aca="false">IF(Tasks[[#This Row],[Task Name]]="","",IF(Tasks[[#This Row],[_IsSummary]],MIN(INDEX(Tasks[_ShownFcstStart],Tasks[[#This Row],[_Row]]+1):INDEX(Tasks[_ShownFcstStart],Tasks[[#This Row],[_Row]]+Tasks[[#This Row],[_Descendants]])),Tasks[[#This Row],[_ShownFcstStart]]))</f>
        <v/>
      </c>
      <c r="AF166" s="62" t="str">
        <f aca="false">IF(Tasks[[#This Row],[Task Name]]="","",IF(Tasks[[#This Row],[_IsSummary]],MAX(INDEX(Tasks[_ShownFcstFinish],Tasks[[#This Row],[_Row]]+1):INDEX(Tasks[_ShownFcstFinish],Tasks[[#This Row],[_Row]]+Tasks[[#This Row],[_Descendants]])),Tasks[[#This Row],[_ShownFcstFinish]]))</f>
        <v/>
      </c>
      <c r="AG166" s="21" t="str">
        <f aca="false">""</f>
        <v/>
      </c>
      <c r="AH166" s="23"/>
      <c r="AI16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6" s="7"/>
      <c r="AK166" s="22"/>
      <c r="AL166" s="23"/>
      <c r="AM166" s="7"/>
      <c r="AN166" s="46" t="str">
        <f aca="false">IF(Tasks[[#This Row],[Task Name]]="","",IF(Tasks[[#This Row],[Finish]]&gt;=Tasks[[#This Row],[Planned Finish]],NETWORKDAYS.INTL(Tasks[[#This Row],[Planned Finish]],Tasks[[#This Row],[Finish]],WorkWeek,Holidays)-1,1-NETWORKDAYS.INTL(Tasks[[#This Row],[Finish]],Tasks[[#This Row],[Planned Finish]],WorkWeek,Holidays)))</f>
        <v/>
      </c>
      <c r="AO166" s="21" t="str">
        <f aca="false">IF(Tasks[[#This Row],[Task Name]]="","",IF(Tasks[[#This Row],[Progress]]&gt;=1,"Complete",IF(OR(N(Tasks[[#This Row],[Actual Start]])&gt;0,Tasks[[#This Row],[Progress]]&gt;0),IF(Tasks[[#This Row],[Finish Var]]&gt;0,"Behind","In Progress"),IF(Tasks[[#This Row],[Planned Start]]&lt;StatusDate,"Late Start","Not Started"))))</f>
        <v/>
      </c>
      <c r="AP166" s="21" t="str">
        <f aca="false">IF(Tasks[[#This Row],[Task Name]]="","",IF(IF(Tasks[[#This Row],[_IsSummary]],COUNTIF(INDEX(Tasks[_LeafCritical],Tasks[[#This Row],[_Row]]+1):INDEX(Tasks[_LeafCritical],Tasks[[#This Row],[_Row]]+Tasks[[#This Row],[_Descendants]]),TRUE())&gt;0,Tasks[[#This Row],[_LeafCritical]]),"Yes",""))</f>
        <v/>
      </c>
      <c r="AQ166" s="62" t="str">
        <f aca="false">IF(Tasks[[#This Row],[Task Name]]="","",IF(N(Tasks[[#This Row],[Baseline Start]])&gt;0,Tasks[[#This Row],[Baseline Start]],Tasks[[#This Row],[_CalcStart]]))</f>
        <v/>
      </c>
      <c r="AR166" s="62" t="str">
        <f aca="false">IF(Tasks[[#This Row],[Task Name]]="","",IF(N(Tasks[[#This Row],[Baseline Finish]])&gt;0,Tasks[[#This Row],[Baseline Finish]],Tasks[[#This Row],[_CalcFinish]]))</f>
        <v/>
      </c>
      <c r="AS166" s="46" t="str">
        <f aca="false">IF(Tasks[[#This Row],[Task Name]]="","",IF(Tasks[[#This Row],[Start]]&gt;=Tasks[[#This Row],[Planned Start]],NETWORKDAYS.INTL(Tasks[[#This Row],[Planned Start]],Tasks[[#This Row],[Start]],WorkWeek,Holidays)-1,1-NETWORKDAYS.INTL(Tasks[[#This Row],[Start]],Tasks[[#This Row],[Planned Start]],WorkWeek,Holidays)))</f>
        <v/>
      </c>
      <c r="AT166" s="62" t="str">
        <f aca="false">IF(Tasks[[#This Row],[Task Name]]="","",IF(Tasks[[#This Row],[_IsSummary]],MIN(INDEX(Tasks[_LeafLateStart],Tasks[[#This Row],[_Row]]+1):INDEX(Tasks[_LeafLateStart],Tasks[[#This Row],[_Row]]+Tasks[[#This Row],[_Descendants]])),Tasks[[#This Row],[_LeafLateStart]]))</f>
        <v/>
      </c>
      <c r="AU166" s="62" t="str">
        <f aca="false">IF(Tasks[[#This Row],[Task Name]]="","",IF(Tasks[[#This Row],[_IsSummary]],MAX(INDEX(Tasks[_LeafLateFinish],Tasks[[#This Row],[_Row]]+1):INDEX(Tasks[_LeafLateFinish],Tasks[[#This Row],[_Row]]+Tasks[[#This Row],[_Descendants]])),Tasks[[#This Row],[_LeafLateFinish]]))</f>
        <v/>
      </c>
      <c r="AV166" s="46" t="str">
        <f aca="false">IF(Tasks[[#This Row],[Task Name]]="","",IF(Tasks[[#This Row],[_IsSummary]],MIN(INDEX(Tasks[_LeafTotalSlack],Tasks[[#This Row],[_Row]]+1):INDEX(Tasks[_LeafTotalSlack],Tasks[[#This Row],[_Row]]+Tasks[[#This Row],[_Descendants]])),Tasks[[#This Row],[_LeafTotalSlack]]))</f>
        <v/>
      </c>
      <c r="AW16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4"/>
      <c r="BA16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t="str">
        <f aca="false">IF(Tasks[[#This Row],[Task Name]]="","",IF(Tasks[[#This Row],[_Level]]&lt;=OutlineShowLevel,"Yes","No"))</f>
        <v/>
      </c>
      <c r="BE166" s="85" t="str">
        <f aca="false">IF(Tasks[[#This Row],[Task Name]]="","",IF(Tasks[[#This Row],[_IsSummary]],SUM(INDEX(Tasks[_LeafTotalWork],Tasks[[#This Row],[_Row]]+1):INDEX(Tasks[_LeafTotalWork],Tasks[[#This Row],[_Row]]+Tasks[[#This Row],[_Descendants]])),Tasks[[#This Row],[_LeafTotalWork]]))</f>
        <v/>
      </c>
      <c r="BF166" s="23"/>
      <c r="BG16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t="str">
        <f aca="false">""</f>
        <v/>
      </c>
      <c r="BI166" s="86"/>
      <c r="BJ166" s="22"/>
      <c r="BK166" s="46" t="str">
        <f aca="false">IF(OR(Tasks[[#This Row],[Task Name]]="",Tasks[[#This Row],[Baseline Duration]]=""),"",Tasks[[#This Row],[_SpanDays]]-N(Tasks[[#This Row],[Baseline Duration]]))</f>
        <v/>
      </c>
      <c r="BL166" s="85" t="str">
        <f aca="false">IF(OR(Tasks[[#This Row],[Task Name]]="",Tasks[[#This Row],[Baseline Work]]=""),"",Tasks[[#This Row],[Work]]-N(Tasks[[#This Row],[Baseline Work]]))</f>
        <v/>
      </c>
      <c r="BM166" s="62" t="str">
        <f aca="false">IF(Tasks[[#This Row],[Task Name]]="","",IF(OR(TakeBaseline="Yes",N(Tasks[[#This Row],[Baseline Start]])=0),Tasks[[#This Row],[Start]],Tasks[[#This Row],[Baseline Start]]))</f>
        <v/>
      </c>
      <c r="BN166" s="62" t="str">
        <f aca="false">IF(Tasks[[#This Row],[Task Name]]="","",IF(OR(TakeBaseline="Yes",N(Tasks[[#This Row],[Baseline Finish]])=0),Tasks[[#This Row],[Finish]],Tasks[[#This Row],[Baseline Finish]]))</f>
        <v/>
      </c>
      <c r="BO166" s="21" t="str">
        <f aca="false">IF(Tasks[[#This Row],[Task Name]]="","",IF(OR(TakeBaseline="Yes",N(Tasks[[#This Row],[Baseline Duration]])=0),Tasks[[#This Row],[_SpanDays]],Tasks[[#This Row],[Baseline Duration]]))</f>
        <v/>
      </c>
      <c r="BP166" s="85" t="str">
        <f aca="false">IF(Tasks[[#This Row],[Task Name]]="","",IF(OR(TakeBaseline="Yes",N(Tasks[[#This Row],[Baseline Work]])=0),Tasks[[#This Row],[Work]],Tasks[[#This Row],[Baseline Work]]))</f>
        <v/>
      </c>
      <c r="BQ166" s="7"/>
      <c r="BR166" s="7"/>
      <c r="BS166" s="22"/>
      <c r="BT166" s="87"/>
      <c r="BU166" s="42" t="str">
        <f aca="false">IF(Tasks[[#This Row],[Task Name]]="","",MAX(1,N(Tasks[[#This Row],[Level]])))</f>
        <v/>
      </c>
      <c r="BV166" s="42" t="n">
        <f aca="false">ROW()-ROW(Tasks[[#Headers],[ID]])</f>
        <v>161</v>
      </c>
      <c r="BW166" s="42" t="n">
        <f aca="false">IF(OR(Tasks[[#This Row],[Task Name]]="",Tasks[[#This Row],[_Level]]&lt;=1),0,IFERROR(LOOKUP(2,1/(Tasks[[#Headers],[_Level]]:Tasks[[#This Row],[_Level]]=Tasks[[#This Row],[_Level]]-1),ROW(Tasks[[#Headers],[_Level]]:Tasks[[#This Row],[_Level]])),0))</f>
        <v>0</v>
      </c>
      <c r="BX166" s="42" t="n">
        <f aca="false">IFERROR(N(INDEX(Tasks[_Level],Tasks[[#This Row],[_Row]]+1)),0)</f>
        <v>0</v>
      </c>
      <c r="BY166" s="88" t="b">
        <f aca="false">AND(Tasks[[#This Row],[Task Name]]&lt;&gt;"",Tasks[[#This Row],[_NextLevel]]&gt;Tasks[[#This Row],[_Level]])</f>
        <v>0</v>
      </c>
      <c r="BZ166" s="42" t="n">
        <f aca="false">IF(Tasks[[#This Row],[_IsSummary]],COUNTIF(Tasks[WBS],Tasks[[#This Row],[WBS]]&amp;".*"),0)</f>
        <v>0</v>
      </c>
      <c r="CA166" s="42" t="n">
        <f aca="false">IF(AND(Tasks[[#This Row],[Task Name]]&lt;&gt;"",NOT(Tasks[[#This Row],[_IsSummary]])),1,0)</f>
        <v>0</v>
      </c>
      <c r="CB166" s="42" t="n">
        <f aca="false">IF(N(Tasks[[#This Row],[_Pred1UID]])=0,0,IFERROR(MATCH(Tasks[[#This Row],[_Pred1UID]],Tasks[UID],0),-1))</f>
        <v>0</v>
      </c>
      <c r="CC166" s="42" t="n">
        <f aca="false">IF(N(Tasks[[#This Row],[_Pred2UID]])=0,0,IFERROR(MATCH(Tasks[[#This Row],[_Pred2UID]],Tasks[UID],0),-1))</f>
        <v>0</v>
      </c>
      <c r="CD166" s="42" t="n">
        <f aca="false">IF(N(Tasks[[#This Row],[_Pred3UID]])=0,0,IFERROR(MATCH(Tasks[[#This Row],[_Pred3UID]],Tasks[UID],0),-1))</f>
        <v>0</v>
      </c>
      <c r="CE166" s="42" t="n">
        <f aca="false">IF(N(Tasks[[#This Row],[_Pred4UID]])=0,0,IFERROR(MATCH(Tasks[[#This Row],[_Pred4UID]],Tasks[UID],0),-1))</f>
        <v>0</v>
      </c>
      <c r="CF16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6" s="89" t="n">
        <f aca="false">IF(OR(Tasks[[#This Row],[_ConstraintCode]]=2,Tasks[[#This Row],[_ConstraintCode]]=3,Tasks[[#This Row],[_ConstraintCode]]=4,Tasks[[#This Row],[_ConstraintCode]]=6),Tasks[[#This Row],[_ConstraintStart]],0)</f>
        <v>0</v>
      </c>
      <c r="CI166" s="89" t="n">
        <f aca="false">IF(OR(Tasks[[#This Row],[_ConstraintCode]]=2,Tasks[[#This Row],[_ConstraintCode]]=3,Tasks[[#This Row],[_ConstraintCode]]=5,Tasks[[#This Row],[_ConstraintCode]]=7),Tasks[[#This Row],[_ConstraintStart]],2958465)</f>
        <v>2958465</v>
      </c>
      <c r="CJ16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6" s="89" t="str">
        <f aca="false">IF(NOT(Tasks[[#This Row],[_IsLeaf]]=1),"",IF(N(Tasks[[#This Row],[_Days]])&lt;=0,Tasks[[#This Row],[_LeafCalcStart]],WORKDAY.INTL(Tasks[[#This Row],[_LeafCalcStart]],Tasks[[#This Row],[_Days]]-1,WorkWeek,Holidays)))</f>
        <v/>
      </c>
      <c r="CL16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6" s="42" t="str">
        <f aca="false">IF(Tasks[[#This Row],[_Predecessors]]="","",TRIM(MID(SUBSTITUTE(SUBSTITUTE(SUBSTITUTE(UPPER(Tasks[[#This Row],[_Predecessors]]),";",",")," ",""),",",REPT(" ",99)),1,99)))</f>
        <v/>
      </c>
      <c r="CO166" s="42" t="str">
        <f aca="false">IF(Tasks[[#This Row],[_Pred1Text]]="","",IFERROR(VALUE(LEFT(Tasks[[#This Row],[_Pred1Text]],MIN(FIND("F",Tasks[[#This Row],[_Pred1Text]]&amp;"F"),FIND("S",Tasks[[#This Row],[_Pred1Text]]&amp;"S"),FIND("+",Tasks[[#This Row],[_Pred1Text]]&amp;"+"),FIND("-",Tasks[[#This Row],[_Pred1Text]]&amp;"-"))-1)),""))</f>
        <v/>
      </c>
      <c r="CP16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6" s="42" t="str">
        <f aca="false">IF(Tasks[[#This Row],[_Pred1Text]]="","",TRIM(MID(SUBSTITUTE(SUBSTITUTE(SUBSTITUTE(UPPER(Tasks[[#This Row],[_Predecessors]]),";",",")," ",""),",",REPT(" ",99)),100,99)))</f>
        <v/>
      </c>
      <c r="CS166" s="42" t="str">
        <f aca="false">IF(Tasks[[#This Row],[_Pred2Text]]="","",IFERROR(VALUE(LEFT(Tasks[[#This Row],[_Pred2Text]],MIN(FIND("F",Tasks[[#This Row],[_Pred2Text]]&amp;"F"),FIND("S",Tasks[[#This Row],[_Pred2Text]]&amp;"S"),FIND("+",Tasks[[#This Row],[_Pred2Text]]&amp;"+"),FIND("-",Tasks[[#This Row],[_Pred2Text]]&amp;"-"))-1)),""))</f>
        <v/>
      </c>
      <c r="CT16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6" s="42" t="str">
        <f aca="false">IF(Tasks[[#This Row],[_Pred2Text]]="","",TRIM(MID(SUBSTITUTE(SUBSTITUTE(SUBSTITUTE(UPPER(Tasks[[#This Row],[_Predecessors]]),";",",")," ",""),",",REPT(" ",99)),199,99)))</f>
        <v/>
      </c>
      <c r="CW166" s="42" t="str">
        <f aca="false">IF(Tasks[[#This Row],[_Pred3Text]]="","",IFERROR(VALUE(LEFT(Tasks[[#This Row],[_Pred3Text]],MIN(FIND("F",Tasks[[#This Row],[_Pred3Text]]&amp;"F"),FIND("S",Tasks[[#This Row],[_Pred3Text]]&amp;"S"),FIND("+",Tasks[[#This Row],[_Pred3Text]]&amp;"+"),FIND("-",Tasks[[#This Row],[_Pred3Text]]&amp;"-"))-1)),""))</f>
        <v/>
      </c>
      <c r="CX16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6" s="42" t="str">
        <f aca="false">IF(Tasks[[#This Row],[_Pred3Text]]="","",TRIM(MID(SUBSTITUTE(SUBSTITUTE(SUBSTITUTE(UPPER(Tasks[[#This Row],[_Predecessors]]),";",",")," ",""),",",REPT(" ",99)),298,99)))</f>
        <v/>
      </c>
      <c r="DA166" s="42" t="str">
        <f aca="false">IF(Tasks[[#This Row],[_Pred4Text]]="","",IFERROR(VALUE(LEFT(Tasks[[#This Row],[_Pred4Text]],MIN(FIND("F",Tasks[[#This Row],[_Pred4Text]]&amp;"F"),FIND("S",Tasks[[#This Row],[_Pred4Text]]&amp;"S"),FIND("+",Tasks[[#This Row],[_Pred4Text]]&amp;"+"),FIND("-",Tasks[[#This Row],[_Pred4Text]]&amp;"-"))-1)),""))</f>
        <v/>
      </c>
      <c r="DB16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6" s="42" t="str">
        <f aca="false">IF(OR(Tasks[[#This Row],[Task Name]]="",Tasks[[#This Row],[_Resources]]=""),"",TRIM(MID(SUBSTITUTE(Tasks[[#This Row],[_Resources]],",",REPT(" ",99)),1,99)))</f>
        <v/>
      </c>
      <c r="DE166" s="42" t="str">
        <f aca="false">IF(Tasks[[#This Row],[_Res1Text]]="","",TRIM(MID(SUBSTITUTE(Tasks[[#This Row],[_Resources]],",",REPT(" ",99)),100,99)))</f>
        <v/>
      </c>
      <c r="DF166" s="42" t="str">
        <f aca="false">IF(Tasks[[#This Row],[_Res2Text]]="","",TRIM(MID(SUBSTITUTE(Tasks[[#This Row],[_Resources]],",",REPT(" ",99)),199,99)))</f>
        <v/>
      </c>
      <c r="DG166" s="42" t="str">
        <f aca="false">IF(Tasks[[#This Row],[_Res3Text]]="","",TRIM(MID(SUBSTITUTE(Tasks[[#This Row],[_Resources]],",",REPT(" ",99)),298,99)))</f>
        <v/>
      </c>
      <c r="DH166" s="42" t="n">
        <f aca="false">IF(Tasks[[#This Row],[_Res1Text]]="",0,IFERROR(MATCH(TRIM(LEFT(Tasks[[#This Row],[_Res1Text]],FIND("[",Tasks[[#This Row],[_Res1Text]]&amp;"[")-1)),res_Name,0),IFERROR(MATCH(TRIM(LEFT(Tasks[[#This Row],[_Res1Text]],FIND("[",Tasks[[#This Row],[_Res1Text]]&amp;"[")-1)),res_Initials,0),0)))</f>
        <v>0</v>
      </c>
      <c r="DI166" s="42" t="n">
        <f aca="false">IF(Tasks[[#This Row],[_Res2Text]]="",0,IFERROR(MATCH(TRIM(LEFT(Tasks[[#This Row],[_Res2Text]],FIND("[",Tasks[[#This Row],[_Res2Text]]&amp;"[")-1)),res_Name,0),IFERROR(MATCH(TRIM(LEFT(Tasks[[#This Row],[_Res2Text]],FIND("[",Tasks[[#This Row],[_Res2Text]]&amp;"[")-1)),res_Initials,0),0)))</f>
        <v>0</v>
      </c>
      <c r="DJ166" s="42" t="n">
        <f aca="false">IF(Tasks[[#This Row],[_Res3Text]]="",0,IFERROR(MATCH(TRIM(LEFT(Tasks[[#This Row],[_Res3Text]],FIND("[",Tasks[[#This Row],[_Res3Text]]&amp;"[")-1)),res_Name,0),IFERROR(MATCH(TRIM(LEFT(Tasks[[#This Row],[_Res3Text]],FIND("[",Tasks[[#This Row],[_Res3Text]]&amp;"[")-1)),res_Initials,0),0)))</f>
        <v>0</v>
      </c>
      <c r="DK166" s="42" t="n">
        <f aca="false">IF(Tasks[[#This Row],[_Res4Text]]="",0,IFERROR(MATCH(TRIM(LEFT(Tasks[[#This Row],[_Res4Text]],FIND("[",Tasks[[#This Row],[_Res4Text]]&amp;"[")-1)),res_Name,0),IFERROR(MATCH(TRIM(LEFT(Tasks[[#This Row],[_Res4Text]],FIND("[",Tasks[[#This Row],[_Res4Text]]&amp;"[")-1)),res_Initials,0),0)))</f>
        <v>0</v>
      </c>
      <c r="DL166" s="42" t="str">
        <f aca="false">IF(Tasks[[#This Row],[_Res1Text]]="","",IF(Tasks[[#This Row],[_Res1Row]]&gt;0,INDEX(res_Name,Tasks[[#This Row],[_Res1Row]]),TRIM(LEFT(Tasks[[#This Row],[_Res1Text]],FIND("[",Tasks[[#This Row],[_Res1Text]]&amp;"[")-1))))</f>
        <v/>
      </c>
      <c r="DM16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6" s="42" t="n">
        <f aca="false">IF(NOT(Tasks[[#This Row],[_IsLeaf]]=1),0,(Tasks[[#This Row],[_Resource1]]&lt;&gt;"")+(Tasks[[#This Row],[_Res2]]&lt;&gt;"")+(Tasks[[#This Row],[_Res3]]&lt;&gt;"")+(Tasks[[#This Row],[_Res4]]&lt;&gt;""))</f>
        <v>0</v>
      </c>
      <c r="DO166" s="42" t="str">
        <f aca="false">IF(Tasks[[#This Row],[_Res2Text]]="","",IF(Tasks[[#This Row],[_Res2Row]]&gt;0,INDEX(res_Name,Tasks[[#This Row],[_Res2Row]]),TRIM(LEFT(Tasks[[#This Row],[_Res2Text]],FIND("[",Tasks[[#This Row],[_Res2Text]]&amp;"[")-1))))</f>
        <v/>
      </c>
      <c r="DP16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6" s="42" t="n">
        <f aca="false">IF(OR(NOT(Tasks[[#This Row],[_IsLeaf]]=1),Tasks[[#This Row],[_Res2Row]]=0),0,N(Tasks[[#This Row],[_Days]])*HoursPerDay*IF(Tasks[[#This Row],[_Res2Units]]="",DefaultUnits,Tasks[[#This Row],[_Res2Units]]))</f>
        <v>0</v>
      </c>
      <c r="DR166" s="42" t="n">
        <f aca="false">IF(AND(AND(Tasks[[#This Row],[_IsLeaf]]=1,Tasks[[#This Row],[_LeafTotalWork]]&gt;0),Tasks[[#This Row],[_Res2Work]]&gt;0),Tasks[[#This Row],[_Res2Work]]/(Tasks[[#This Row],[_FinishWorkday]]-Tasks[[#This Row],[_StartWorkday]]+1),0)</f>
        <v>0</v>
      </c>
      <c r="DS166" s="42" t="n">
        <f aca="false">Tasks[[#This Row],[_Res2WorkPerWD]]*MAX(0,Tasks[[#This Row],[_StartWorkday]]-1)</f>
        <v>0</v>
      </c>
      <c r="DT166" s="42" t="n">
        <f aca="false">Tasks[[#This Row],[_Res2Work]]*Tasks[[#This Row],[_LeafProgress]]</f>
        <v>0</v>
      </c>
      <c r="DU166" s="42" t="str">
        <f aca="false">IF(Tasks[[#This Row],[_Res3Text]]="","",IF(Tasks[[#This Row],[_Res3Row]]&gt;0,INDEX(res_Name,Tasks[[#This Row],[_Res3Row]]),TRIM(LEFT(Tasks[[#This Row],[_Res3Text]],FIND("[",Tasks[[#This Row],[_Res3Text]]&amp;"[")-1))))</f>
        <v/>
      </c>
      <c r="DV16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6" s="42" t="n">
        <f aca="false">IF(OR(NOT(Tasks[[#This Row],[_IsLeaf]]=1),Tasks[[#This Row],[_Res3Row]]=0),0,N(Tasks[[#This Row],[_Days]])*HoursPerDay*IF(Tasks[[#This Row],[_Res3Units]]="",DefaultUnits,Tasks[[#This Row],[_Res3Units]]))</f>
        <v>0</v>
      </c>
      <c r="DX166" s="42" t="n">
        <f aca="false">IF(AND(AND(Tasks[[#This Row],[_IsLeaf]]=1,Tasks[[#This Row],[_LeafTotalWork]]&gt;0),Tasks[[#This Row],[_Res3Work]]&gt;0),Tasks[[#This Row],[_Res3Work]]/(Tasks[[#This Row],[_FinishWorkday]]-Tasks[[#This Row],[_StartWorkday]]+1),0)</f>
        <v>0</v>
      </c>
      <c r="DY166" s="42" t="n">
        <f aca="false">Tasks[[#This Row],[_Res3WorkPerWD]]*MAX(0,Tasks[[#This Row],[_StartWorkday]]-1)</f>
        <v>0</v>
      </c>
      <c r="DZ166" s="42" t="n">
        <f aca="false">Tasks[[#This Row],[_Res3Work]]*Tasks[[#This Row],[_LeafProgress]]</f>
        <v>0</v>
      </c>
      <c r="EA166" s="42" t="str">
        <f aca="false">IF(Tasks[[#This Row],[_Res4Text]]="","",IF(Tasks[[#This Row],[_Res4Row]]&gt;0,INDEX(res_Name,Tasks[[#This Row],[_Res4Row]]),TRIM(LEFT(Tasks[[#This Row],[_Res4Text]],FIND("[",Tasks[[#This Row],[_Res4Text]]&amp;"[")-1))))</f>
        <v/>
      </c>
      <c r="EB16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6" s="42" t="n">
        <f aca="false">IF(OR(NOT(Tasks[[#This Row],[_IsLeaf]]=1),Tasks[[#This Row],[_Res4Row]]=0),0,N(Tasks[[#This Row],[_Days]])*HoursPerDay*IF(Tasks[[#This Row],[_Res4Units]]="",DefaultUnits,Tasks[[#This Row],[_Res4Units]]))</f>
        <v>0</v>
      </c>
      <c r="ED166" s="42" t="n">
        <f aca="false">IF(AND(AND(Tasks[[#This Row],[_IsLeaf]]=1,Tasks[[#This Row],[_LeafTotalWork]]&gt;0),Tasks[[#This Row],[_Res4Work]]&gt;0),Tasks[[#This Row],[_Res4Work]]/(Tasks[[#This Row],[_FinishWorkday]]-Tasks[[#This Row],[_StartWorkday]]+1),0)</f>
        <v>0</v>
      </c>
      <c r="EE166" s="42" t="n">
        <f aca="false">Tasks[[#This Row],[_Res4WorkPerWD]]*MAX(0,Tasks[[#This Row],[_StartWorkday]]-1)</f>
        <v>0</v>
      </c>
      <c r="EF166" s="42" t="n">
        <f aca="false">Tasks[[#This Row],[_Res4Work]]*Tasks[[#This Row],[_LeafProgress]]</f>
        <v>0</v>
      </c>
      <c r="EG166" s="42" t="n">
        <f aca="false">IF(ISNUMBER(Tasks[[#This Row],[% Complete]]),Tasks[[#This Row],[% Complete]],IF(Tasks[[#This Row],[Stage]]="",0,IFERROR(INDEX(stg_Pct,MATCH(Tasks[[#This Row],[Stage]],stg_Name,0)),0)))</f>
        <v>0</v>
      </c>
      <c r="EH166" s="42" t="n">
        <f aca="false">IF(NOT(Tasks[[#This Row],[_IsLeaf]]=1),0,IF(N(Tasks[[#This Row],[Actual Finish]])&gt;0,1,MIN(1,Tasks[[#This Row],[_Pct]])))</f>
        <v>0</v>
      </c>
      <c r="EI166" s="42" t="n">
        <f aca="false">IF(OR(NOT(Tasks[[#This Row],[_IsLeaf]]=1),Tasks[[#This Row],[_Res1Row]]=0),0,N(Tasks[[#This Row],[_Days]])*HoursPerDay*IF(Tasks[[#This Row],[_Units1]]="",DefaultUnits,Tasks[[#This Row],[_Units1]]))</f>
        <v>0</v>
      </c>
      <c r="EJ166" s="42" t="n">
        <f aca="false">Tasks[[#This Row],[_LeafWork]]+Tasks[[#This Row],[_Res2Work]]+Tasks[[#This Row],[_Res3Work]]+Tasks[[#This Row],[_Res4Work]]</f>
        <v>0</v>
      </c>
      <c r="EK16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6" s="42" t="n">
        <f aca="false">IF(NOT(Tasks[[#This Row],[_IsLeaf]]=1),0,MAX(_xlfn.MAXIFS(Tasks[_Row],Tasks[_Pred1UID],Tasks[[#This Row],[UID]]),_xlfn.MAXIFS(Tasks[_Row],Tasks[_Pred2UID],Tasks[[#This Row],[UID]]),_xlfn.MAXIFS(Tasks[_Row],Tasks[_Pred3UID],Tasks[[#This Row],[UID]]),_xlfn.MAXIFS(Tasks[_Row],Tasks[_Pred4UID],Tasks[[#This Row],[UID]])))</f>
        <v>0</v>
      </c>
      <c r="ET16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6" s="89" t="str">
        <f aca="false">IF(NOT(Tasks[[#This Row],[_IsLeaf]]=1),"",IF(N(Tasks[[#This Row],[_Days]])&lt;=0,Tasks[[#This Row],[_LeafLateFinish]],WORKDAY.INTL(Tasks[[#This Row],[_LeafLateFinish]],-(Tasks[[#This Row],[_Days]]-1),WorkWeek,Holidays)))</f>
        <v/>
      </c>
      <c r="EW16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6" s="88" t="b">
        <f aca="false">AND(Tasks[[#This Row],[_IsLeaf]]=1,Tasks[[#This Row],[_LeafProgress]]&lt;1,N(Tasks[[#This Row],[_LeafTotalSlack]])&lt;=CriticalSlackDays)</f>
        <v>0</v>
      </c>
      <c r="EY166" s="42" t="n">
        <f aca="false">IF(AND(Tasks[[#This Row],[_IsLeaf]]=1,Tasks[[#This Row],[_ConstraintCode]]=1,Tasks[[#This Row],[Mode]]&lt;&gt;"Manual",N(Tasks[[#This Row],[Actual Start]])=0),MAX(0,N(Tasks[[#This Row],[Free Slack]])),0)</f>
        <v>0</v>
      </c>
      <c r="EZ166" s="89" t="str">
        <f aca="false">IF(NOT(Tasks[[#This Row],[_IsLeaf]]=1),"",IF(Tasks[[#This Row],[_AlapShift]]=0,Tasks[[#This Row],[_LeafCalcStart]],WORKDAY.INTL(Tasks[[#This Row],[_LeafCalcStart]],Tasks[[#This Row],[_AlapShift]],WorkWeek,Holidays)))</f>
        <v/>
      </c>
      <c r="FA166" s="89" t="str">
        <f aca="false">IF(NOT(Tasks[[#This Row],[_IsLeaf]]=1),"",IF(Tasks[[#This Row],[_AlapShift]]=0,Tasks[[#This Row],[_LeafCalcFinish]],WORKDAY.INTL(Tasks[[#This Row],[_LeafCalcFinish]],Tasks[[#This Row],[_AlapShift]],WorkWeek,Holidays)))</f>
        <v/>
      </c>
      <c r="FB166" s="89" t="str">
        <f aca="false">IF(NOT(Tasks[[#This Row],[_IsLeaf]]=1),"",IF(Tasks[[#This Row],[_AlapShift]]=0,Tasks[[#This Row],[_LeafFcstStart]],WORKDAY.INTL(Tasks[[#This Row],[_LeafFcstStart]],Tasks[[#This Row],[_AlapShift]],WorkWeek,Holidays)))</f>
        <v/>
      </c>
      <c r="FC166" s="89" t="str">
        <f aca="false">IF(NOT(Tasks[[#This Row],[_IsLeaf]]=1),"",IF(Tasks[[#This Row],[_AlapShift]]=0,Tasks[[#This Row],[_LeafFcstFinish]],WORKDAY.INTL(Tasks[[#This Row],[_LeafFcstFinish]],Tasks[[#This Row],[_AlapShift]],WorkWeek,Holidays)))</f>
        <v/>
      </c>
      <c r="FD166" s="89" t="str">
        <f aca="false">IF(Tasks[[#This Row],[Task Name]]="","",IF(Tasks[[#This Row],[_IsSummary]],MIN(INDEX(Tasks[_ShownCalcStart],Tasks[[#This Row],[_Row]]+1):INDEX(Tasks[_ShownCalcStart],Tasks[[#This Row],[_Row]]+Tasks[[#This Row],[_Descendants]])),Tasks[[#This Row],[_ShownCalcStart]]))</f>
        <v/>
      </c>
      <c r="FE166" s="89" t="str">
        <f aca="false">IF(Tasks[[#This Row],[Task Name]]="","",IF(Tasks[[#This Row],[_IsSummary]],MAX(INDEX(Tasks[_ShownCalcFinish],Tasks[[#This Row],[_Row]]+1):INDEX(Tasks[_ShownCalcFinish],Tasks[[#This Row],[_Row]]+Tasks[[#This Row],[_Descendants]])),Tasks[[#This Row],[_ShownCalcFinish]]))</f>
        <v/>
      </c>
      <c r="FF16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6" s="42" t="n">
        <f aca="false">IF(AND(Tasks[[#This Row],[_IsLeaf]]=1,Tasks[[#This Row],[_LeafTotalWork]]&gt;0),NETWORKDAYS.INTL(ProjectStart,Tasks[[#This Row],[_ShownFcstStart]],WorkWeek,Holidays),0)</f>
        <v>0</v>
      </c>
      <c r="FS166" s="42" t="n">
        <f aca="false">IF(AND(Tasks[[#This Row],[_IsLeaf]]=1,Tasks[[#This Row],[_LeafTotalWork]]&gt;0),MAX(Tasks[[#This Row],[_StartWorkday]],NETWORKDAYS.INTL(ProjectStart,Tasks[[#This Row],[_ShownFcstFinish]],WorkWeek,Holidays)),0)</f>
        <v>0</v>
      </c>
      <c r="FT166" s="42" t="n">
        <f aca="false">IF(AND(Tasks[[#This Row],[_IsLeaf]]=1,Tasks[[#This Row],[_LeafTotalWork]]&gt;0),Tasks[[#This Row],[_LeafWork]]/(Tasks[[#This Row],[_FinishWorkday]]-Tasks[[#This Row],[_StartWorkday]]+1),0)</f>
        <v>0</v>
      </c>
      <c r="FU166" s="42" t="n">
        <f aca="false">Tasks[[#This Row],[_WorkPerWorkday]]*(Tasks[[#This Row],[_StartWorkday]]-1)</f>
        <v>-0</v>
      </c>
      <c r="FV166" s="42" t="n">
        <f aca="false">IF(Tasks[[#This Row],[_IsLeaf]]=1,MAX(N(Tasks[[#This Row],[_Days]]),0.1),0)</f>
        <v>0</v>
      </c>
      <c r="FW166" s="42" t="n">
        <f aca="false">Tasks[[#This Row],[_WeightDur]]*Tasks[[#This Row],[_LeafProgress]]</f>
        <v>0</v>
      </c>
      <c r="FX166" s="42" t="n">
        <f aca="false">Tasks[[#This Row],[_WeightDur]]*Tasks[[#This Row],[_PlannedPct]]</f>
        <v>0</v>
      </c>
      <c r="FY16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6" s="42" t="str">
        <f aca="false">IF(AND(Tasks[[#This Row],[_IsLeaf]]=1,N(Tasks[[#This Row],[_Days]])=0,Tasks[[#This Row],[_LeafProgress]]&lt;1),Tasks[[#This Row],[_ShownFcstFinish]]+Tasks[[#This Row],[_Row]]/100000,"")</f>
        <v/>
      </c>
      <c r="GA16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6" s="42" t="str">
        <f aca="false">IF(Tasks[[#This Row],[Task Name]]="","",LEFT(Tasks[[#This Row],[WBS]],FIND(".",Tasks[[#This Row],[WBS]]&amp;".")-1))</f>
        <v/>
      </c>
      <c r="GC166" s="42" t="str">
        <f aca="false">IF(AND(Tasks[[#This Row],[Task Name]]&lt;&gt;"",Tasks[[#This Row],[_Level]]=1),Tasks[[#This Row],[_Row]],"")</f>
        <v/>
      </c>
      <c r="GD166" s="42" t="str">
        <f aca="false">IF(AND(Tasks[[#This Row],[_IsLeaf]]=1,N(Tasks[[#This Row],[_Days]])=0),Tasks[[#This Row],[Planned Finish]]+Tasks[[#This Row],[_Row]]/100000,"")</f>
        <v/>
      </c>
      <c r="GE166" s="42" t="str">
        <f aca="false">IF(AND(Tasks[[#This Row],[_IsLeaf]]=1,Tasks[[#This Row],[_LeafProgress]]&lt;1,OR(N(Tasks[[#This Row],[Finish Var]])&gt;0,Tasks[[#This Row],[Status]]="Late Start")),MAX(0,Tasks[[#This Row],[Finish Var]])+1-Tasks[[#This Row],[_Row]]/1000000,"")</f>
        <v/>
      </c>
      <c r="GF166" s="42" t="str">
        <f aca="false">IF(AND(Tasks[[#This Row],[_IsLeaf]]=1,N(Tasks[[#This Row],[Actual Start]])=0,Tasks[[#This Row],[_ShownFcstStart]]&gt;=StatusDate,Tasks[[#This Row],[_ShownFcstStart]]&lt;=LookaheadEnd),Tasks[[#This Row],[_ShownFcstStart]]+Tasks[[#This Row],[_Row]]/100000,"")</f>
        <v/>
      </c>
      <c r="GG166" s="42" t="str">
        <f aca="false">IF(AND(Tasks[[#This Row],[_IsLeaf]]=1,Tasks[[#This Row],[_LeafProgress]]&lt;1,Tasks[[#This Row],[_ShownFcstFinish]]&gt;=StatusDate,Tasks[[#This Row],[_ShownFcstFinish]]&lt;=LookaheadEnd),Tasks[[#This Row],[_ShownFcstFinish]]+Tasks[[#This Row],[_Row]]/100000,"")</f>
        <v/>
      </c>
      <c r="GH166" s="42" t="str">
        <f aca="false">IF(Tasks[[#This Row],[_LeafCritical]],Tasks[[#This Row],[_ShownFcstStart]]+Tasks[[#This Row],[_Row]]/100000,"")</f>
        <v/>
      </c>
      <c r="GI166" s="42" t="n">
        <f aca="false">Tasks[[#This Row],[_LeafWork]]*Tasks[[#This Row],[_LeafProgress]]</f>
        <v>0</v>
      </c>
      <c r="GJ166" s="89" t="str">
        <f aca="false">IF(AND(Tasks[[#This Row],[_IsLeaf]]=1,Tasks[[#This Row],[_LeafProgress]]&gt;=1),IF(N(Tasks[[#This Row],[Actual Finish]])&gt;0,Tasks[[#This Row],[Actual Finish]],Tasks[[#This Row],[_ShownFcstFinish]]),"")</f>
        <v/>
      </c>
      <c r="GK166" s="42" t="n">
        <f aca="false">IF(Tasks[[#This Row],[_IsLeaf]]=1,N(Tasks[[#This Row],[Story Points]]),0)</f>
        <v>0</v>
      </c>
      <c r="GL166" s="42" t="str">
        <f aca="false">""</f>
        <v/>
      </c>
      <c r="GM166" s="88" t="b">
        <f aca="false">IF(Tasks[[#This Row],[Task Name]]="",FALSE(),AND(Tasks[[#This Row],[_IsLeaf]]=1,N(Tasks[[#This Row],[_Days]])=0))</f>
        <v>0</v>
      </c>
      <c r="GN166" s="89" t="n">
        <f aca="false">IF(Tasks[[#This Row],[Task Name]]="",0,IF(AND(Tasks[[#This Row],[_IsLeaf]]=1,NOT(Tasks[[#This Row],[_IsMilestone]]),N(Tasks[[#This Row],[Progress]])&gt;0),Tasks[[#This Row],[Start]],0))</f>
        <v>0</v>
      </c>
      <c r="GO166" s="89" t="n">
        <f aca="false">IF(Tasks[[#This Row],[_DoneFrom]]=0,0,IF(Tasks[[#This Row],[Progress]]&gt;=1,Tasks[[#This Row],[Finish]],MAX(Tasks[[#This Row],[_DoneFrom]],Tasks[[#This Row],[Start]]+ROUND((Tasks[[#This Row],[Finish]]-Tasks[[#This Row],[Start]]+1)*Tasks[[#This Row],[Progress]],0)-1)))</f>
        <v>0</v>
      </c>
      <c r="GP166" s="89" t="n">
        <f aca="false">IF(Tasks[[#This Row],[Task Name]]="",0,IF(OR(NOT(Tasks[[#This Row],[_IsLeaf]]=1),Tasks[[#This Row],[_IsMilestone]],N(Tasks[[#This Row],[Progress]])&gt;=1),0,IF(Tasks[[#This Row],[_DoneTo]]&gt;0,Tasks[[#This Row],[_DoneTo]]+1,Tasks[[#This Row],[Start]])))</f>
        <v>0</v>
      </c>
      <c r="GQ166" s="89" t="n">
        <f aca="false">IF(Tasks[[#This Row],[_RemFrom]]=0,0,Tasks[[#This Row],[Finish]])</f>
        <v>0</v>
      </c>
      <c r="GR166" s="88" t="b">
        <f aca="false">IF(Tasks[[#This Row],[Task Name]]="",FALSE(),OR(NOT(BaselineSet),N(Tasks[[#This Row],[Baseline Start]])&gt;0))</f>
        <v>0</v>
      </c>
      <c r="GS16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6" s="90" t="str">
        <f aca="false">IF(Tasks[[#This Row],[_IsLeaf]]=1,Tasks[[#This Row],[_Row]],"")</f>
        <v/>
      </c>
      <c r="GW166" s="90" t="str">
        <f aca="false">IFERROR(INDEX(Tasks[UID],SMALL(Tasks[_PickKey],Tasks[[#This Row],[_Row]]))&amp;" "&amp;INDEX(Tasks[Task Name],SMALL(Tasks[_PickKey],Tasks[[#This Row],[_Row]])),"")</f>
        <v/>
      </c>
      <c r="GX166" s="42" t="str">
        <f aca="false">IF(Tasks[[#This Row],[Task Name]]="","",IF(Tasks[[#This Row],[_IsSummary]],NETWORKDAYS.INTL(Tasks[[#This Row],[Start]],Tasks[[#This Row],[Finish]],WorkWeek,Holidays),N(Tasks[[#This Row],[_Days]])))</f>
        <v/>
      </c>
    </row>
    <row r="167" customFormat="false" ht="15" hidden="false" customHeight="false" outlineLevel="0" collapsed="false">
      <c r="A167" s="21" t="str">
        <f aca="false">IF(Tasks[[#This Row],[Task Name]]="","",COUNTA(Tasks[[#Headers],[Task Name]]:Tasks[[#This Row],[Task Name]])-1)</f>
        <v/>
      </c>
      <c r="B167" s="22" t="n">
        <v>175</v>
      </c>
      <c r="C167" s="22"/>
      <c r="D167" s="23"/>
      <c r="E167" s="22"/>
      <c r="F167" s="23"/>
      <c r="G167" s="22"/>
      <c r="H167" s="22"/>
      <c r="I167" s="23"/>
      <c r="J167" s="22"/>
      <c r="K167" s="22"/>
      <c r="L167" s="23"/>
      <c r="M167" s="22"/>
      <c r="N167" s="22"/>
      <c r="O167" s="23"/>
      <c r="P167" s="22"/>
      <c r="Q167" s="22"/>
      <c r="R167" s="23"/>
      <c r="S167" s="23"/>
      <c r="T167" s="83"/>
      <c r="U167" s="23"/>
      <c r="V167" s="83"/>
      <c r="W167" s="23"/>
      <c r="X167" s="83"/>
      <c r="Y167" s="23"/>
      <c r="Z167" s="83"/>
      <c r="AA167" s="23"/>
      <c r="AB167" s="23"/>
      <c r="AC167" s="7"/>
      <c r="AD167" s="7"/>
      <c r="AE167" s="62" t="str">
        <f aca="false">IF(Tasks[[#This Row],[Task Name]]="","",IF(Tasks[[#This Row],[_IsSummary]],MIN(INDEX(Tasks[_ShownFcstStart],Tasks[[#This Row],[_Row]]+1):INDEX(Tasks[_ShownFcstStart],Tasks[[#This Row],[_Row]]+Tasks[[#This Row],[_Descendants]])),Tasks[[#This Row],[_ShownFcstStart]]))</f>
        <v/>
      </c>
      <c r="AF167" s="62" t="str">
        <f aca="false">IF(Tasks[[#This Row],[Task Name]]="","",IF(Tasks[[#This Row],[_IsSummary]],MAX(INDEX(Tasks[_ShownFcstFinish],Tasks[[#This Row],[_Row]]+1):INDEX(Tasks[_ShownFcstFinish],Tasks[[#This Row],[_Row]]+Tasks[[#This Row],[_Descendants]])),Tasks[[#This Row],[_ShownFcstFinish]]))</f>
        <v/>
      </c>
      <c r="AG167" s="21" t="str">
        <f aca="false">""</f>
        <v/>
      </c>
      <c r="AH167" s="23"/>
      <c r="AI16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7" s="7"/>
      <c r="AK167" s="22"/>
      <c r="AL167" s="23"/>
      <c r="AM167" s="7"/>
      <c r="AN167" s="46" t="str">
        <f aca="false">IF(Tasks[[#This Row],[Task Name]]="","",IF(Tasks[[#This Row],[Finish]]&gt;=Tasks[[#This Row],[Planned Finish]],NETWORKDAYS.INTL(Tasks[[#This Row],[Planned Finish]],Tasks[[#This Row],[Finish]],WorkWeek,Holidays)-1,1-NETWORKDAYS.INTL(Tasks[[#This Row],[Finish]],Tasks[[#This Row],[Planned Finish]],WorkWeek,Holidays)))</f>
        <v/>
      </c>
      <c r="AO167" s="21" t="str">
        <f aca="false">IF(Tasks[[#This Row],[Task Name]]="","",IF(Tasks[[#This Row],[Progress]]&gt;=1,"Complete",IF(OR(N(Tasks[[#This Row],[Actual Start]])&gt;0,Tasks[[#This Row],[Progress]]&gt;0),IF(Tasks[[#This Row],[Finish Var]]&gt;0,"Behind","In Progress"),IF(Tasks[[#This Row],[Planned Start]]&lt;StatusDate,"Late Start","Not Started"))))</f>
        <v/>
      </c>
      <c r="AP167" s="21" t="str">
        <f aca="false">IF(Tasks[[#This Row],[Task Name]]="","",IF(IF(Tasks[[#This Row],[_IsSummary]],COUNTIF(INDEX(Tasks[_LeafCritical],Tasks[[#This Row],[_Row]]+1):INDEX(Tasks[_LeafCritical],Tasks[[#This Row],[_Row]]+Tasks[[#This Row],[_Descendants]]),TRUE())&gt;0,Tasks[[#This Row],[_LeafCritical]]),"Yes",""))</f>
        <v/>
      </c>
      <c r="AQ167" s="62" t="str">
        <f aca="false">IF(Tasks[[#This Row],[Task Name]]="","",IF(N(Tasks[[#This Row],[Baseline Start]])&gt;0,Tasks[[#This Row],[Baseline Start]],Tasks[[#This Row],[_CalcStart]]))</f>
        <v/>
      </c>
      <c r="AR167" s="62" t="str">
        <f aca="false">IF(Tasks[[#This Row],[Task Name]]="","",IF(N(Tasks[[#This Row],[Baseline Finish]])&gt;0,Tasks[[#This Row],[Baseline Finish]],Tasks[[#This Row],[_CalcFinish]]))</f>
        <v/>
      </c>
      <c r="AS167" s="46" t="str">
        <f aca="false">IF(Tasks[[#This Row],[Task Name]]="","",IF(Tasks[[#This Row],[Start]]&gt;=Tasks[[#This Row],[Planned Start]],NETWORKDAYS.INTL(Tasks[[#This Row],[Planned Start]],Tasks[[#This Row],[Start]],WorkWeek,Holidays)-1,1-NETWORKDAYS.INTL(Tasks[[#This Row],[Start]],Tasks[[#This Row],[Planned Start]],WorkWeek,Holidays)))</f>
        <v/>
      </c>
      <c r="AT167" s="62" t="str">
        <f aca="false">IF(Tasks[[#This Row],[Task Name]]="","",IF(Tasks[[#This Row],[_IsSummary]],MIN(INDEX(Tasks[_LeafLateStart],Tasks[[#This Row],[_Row]]+1):INDEX(Tasks[_LeafLateStart],Tasks[[#This Row],[_Row]]+Tasks[[#This Row],[_Descendants]])),Tasks[[#This Row],[_LeafLateStart]]))</f>
        <v/>
      </c>
      <c r="AU167" s="62" t="str">
        <f aca="false">IF(Tasks[[#This Row],[Task Name]]="","",IF(Tasks[[#This Row],[_IsSummary]],MAX(INDEX(Tasks[_LeafLateFinish],Tasks[[#This Row],[_Row]]+1):INDEX(Tasks[_LeafLateFinish],Tasks[[#This Row],[_Row]]+Tasks[[#This Row],[_Descendants]])),Tasks[[#This Row],[_LeafLateFinish]]))</f>
        <v/>
      </c>
      <c r="AV167" s="46" t="str">
        <f aca="false">IF(Tasks[[#This Row],[Task Name]]="","",IF(Tasks[[#This Row],[_IsSummary]],MIN(INDEX(Tasks[_LeafTotalSlack],Tasks[[#This Row],[_Row]]+1):INDEX(Tasks[_LeafTotalSlack],Tasks[[#This Row],[_Row]]+Tasks[[#This Row],[_Descendants]])),Tasks[[#This Row],[_LeafTotalSlack]]))</f>
        <v/>
      </c>
      <c r="AW16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4"/>
      <c r="BA16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t="str">
        <f aca="false">IF(Tasks[[#This Row],[Task Name]]="","",IF(Tasks[[#This Row],[_Level]]&lt;=OutlineShowLevel,"Yes","No"))</f>
        <v/>
      </c>
      <c r="BE167" s="85" t="str">
        <f aca="false">IF(Tasks[[#This Row],[Task Name]]="","",IF(Tasks[[#This Row],[_IsSummary]],SUM(INDEX(Tasks[_LeafTotalWork],Tasks[[#This Row],[_Row]]+1):INDEX(Tasks[_LeafTotalWork],Tasks[[#This Row],[_Row]]+Tasks[[#This Row],[_Descendants]])),Tasks[[#This Row],[_LeafTotalWork]]))</f>
        <v/>
      </c>
      <c r="BF167" s="23"/>
      <c r="BG16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t="str">
        <f aca="false">""</f>
        <v/>
      </c>
      <c r="BI167" s="86"/>
      <c r="BJ167" s="22"/>
      <c r="BK167" s="46" t="str">
        <f aca="false">IF(OR(Tasks[[#This Row],[Task Name]]="",Tasks[[#This Row],[Baseline Duration]]=""),"",Tasks[[#This Row],[_SpanDays]]-N(Tasks[[#This Row],[Baseline Duration]]))</f>
        <v/>
      </c>
      <c r="BL167" s="85" t="str">
        <f aca="false">IF(OR(Tasks[[#This Row],[Task Name]]="",Tasks[[#This Row],[Baseline Work]]=""),"",Tasks[[#This Row],[Work]]-N(Tasks[[#This Row],[Baseline Work]]))</f>
        <v/>
      </c>
      <c r="BM167" s="62" t="str">
        <f aca="false">IF(Tasks[[#This Row],[Task Name]]="","",IF(OR(TakeBaseline="Yes",N(Tasks[[#This Row],[Baseline Start]])=0),Tasks[[#This Row],[Start]],Tasks[[#This Row],[Baseline Start]]))</f>
        <v/>
      </c>
      <c r="BN167" s="62" t="str">
        <f aca="false">IF(Tasks[[#This Row],[Task Name]]="","",IF(OR(TakeBaseline="Yes",N(Tasks[[#This Row],[Baseline Finish]])=0),Tasks[[#This Row],[Finish]],Tasks[[#This Row],[Baseline Finish]]))</f>
        <v/>
      </c>
      <c r="BO167" s="21" t="str">
        <f aca="false">IF(Tasks[[#This Row],[Task Name]]="","",IF(OR(TakeBaseline="Yes",N(Tasks[[#This Row],[Baseline Duration]])=0),Tasks[[#This Row],[_SpanDays]],Tasks[[#This Row],[Baseline Duration]]))</f>
        <v/>
      </c>
      <c r="BP167" s="85" t="str">
        <f aca="false">IF(Tasks[[#This Row],[Task Name]]="","",IF(OR(TakeBaseline="Yes",N(Tasks[[#This Row],[Baseline Work]])=0),Tasks[[#This Row],[Work]],Tasks[[#This Row],[Baseline Work]]))</f>
        <v/>
      </c>
      <c r="BQ167" s="7"/>
      <c r="BR167" s="7"/>
      <c r="BS167" s="22"/>
      <c r="BT167" s="87"/>
      <c r="BU167" s="42" t="str">
        <f aca="false">IF(Tasks[[#This Row],[Task Name]]="","",MAX(1,N(Tasks[[#This Row],[Level]])))</f>
        <v/>
      </c>
      <c r="BV167" s="42" t="n">
        <f aca="false">ROW()-ROW(Tasks[[#Headers],[ID]])</f>
        <v>162</v>
      </c>
      <c r="BW167" s="42" t="n">
        <f aca="false">IF(OR(Tasks[[#This Row],[Task Name]]="",Tasks[[#This Row],[_Level]]&lt;=1),0,IFERROR(LOOKUP(2,1/(Tasks[[#Headers],[_Level]]:Tasks[[#This Row],[_Level]]=Tasks[[#This Row],[_Level]]-1),ROW(Tasks[[#Headers],[_Level]]:Tasks[[#This Row],[_Level]])),0))</f>
        <v>0</v>
      </c>
      <c r="BX167" s="42" t="n">
        <f aca="false">IFERROR(N(INDEX(Tasks[_Level],Tasks[[#This Row],[_Row]]+1)),0)</f>
        <v>0</v>
      </c>
      <c r="BY167" s="88" t="b">
        <f aca="false">AND(Tasks[[#This Row],[Task Name]]&lt;&gt;"",Tasks[[#This Row],[_NextLevel]]&gt;Tasks[[#This Row],[_Level]])</f>
        <v>0</v>
      </c>
      <c r="BZ167" s="42" t="n">
        <f aca="false">IF(Tasks[[#This Row],[_IsSummary]],COUNTIF(Tasks[WBS],Tasks[[#This Row],[WBS]]&amp;".*"),0)</f>
        <v>0</v>
      </c>
      <c r="CA167" s="42" t="n">
        <f aca="false">IF(AND(Tasks[[#This Row],[Task Name]]&lt;&gt;"",NOT(Tasks[[#This Row],[_IsSummary]])),1,0)</f>
        <v>0</v>
      </c>
      <c r="CB167" s="42" t="n">
        <f aca="false">IF(N(Tasks[[#This Row],[_Pred1UID]])=0,0,IFERROR(MATCH(Tasks[[#This Row],[_Pred1UID]],Tasks[UID],0),-1))</f>
        <v>0</v>
      </c>
      <c r="CC167" s="42" t="n">
        <f aca="false">IF(N(Tasks[[#This Row],[_Pred2UID]])=0,0,IFERROR(MATCH(Tasks[[#This Row],[_Pred2UID]],Tasks[UID],0),-1))</f>
        <v>0</v>
      </c>
      <c r="CD167" s="42" t="n">
        <f aca="false">IF(N(Tasks[[#This Row],[_Pred3UID]])=0,0,IFERROR(MATCH(Tasks[[#This Row],[_Pred3UID]],Tasks[UID],0),-1))</f>
        <v>0</v>
      </c>
      <c r="CE167" s="42" t="n">
        <f aca="false">IF(N(Tasks[[#This Row],[_Pred4UID]])=0,0,IFERROR(MATCH(Tasks[[#This Row],[_Pred4UID]],Tasks[UID],0),-1))</f>
        <v>0</v>
      </c>
      <c r="CF16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7" s="89" t="n">
        <f aca="false">IF(OR(Tasks[[#This Row],[_ConstraintCode]]=2,Tasks[[#This Row],[_ConstraintCode]]=3,Tasks[[#This Row],[_ConstraintCode]]=4,Tasks[[#This Row],[_ConstraintCode]]=6),Tasks[[#This Row],[_ConstraintStart]],0)</f>
        <v>0</v>
      </c>
      <c r="CI167" s="89" t="n">
        <f aca="false">IF(OR(Tasks[[#This Row],[_ConstraintCode]]=2,Tasks[[#This Row],[_ConstraintCode]]=3,Tasks[[#This Row],[_ConstraintCode]]=5,Tasks[[#This Row],[_ConstraintCode]]=7),Tasks[[#This Row],[_ConstraintStart]],2958465)</f>
        <v>2958465</v>
      </c>
      <c r="CJ16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7" s="89" t="str">
        <f aca="false">IF(NOT(Tasks[[#This Row],[_IsLeaf]]=1),"",IF(N(Tasks[[#This Row],[_Days]])&lt;=0,Tasks[[#This Row],[_LeafCalcStart]],WORKDAY.INTL(Tasks[[#This Row],[_LeafCalcStart]],Tasks[[#This Row],[_Days]]-1,WorkWeek,Holidays)))</f>
        <v/>
      </c>
      <c r="CL16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7" s="42" t="str">
        <f aca="false">IF(Tasks[[#This Row],[_Predecessors]]="","",TRIM(MID(SUBSTITUTE(SUBSTITUTE(SUBSTITUTE(UPPER(Tasks[[#This Row],[_Predecessors]]),";",",")," ",""),",",REPT(" ",99)),1,99)))</f>
        <v/>
      </c>
      <c r="CO167" s="42" t="str">
        <f aca="false">IF(Tasks[[#This Row],[_Pred1Text]]="","",IFERROR(VALUE(LEFT(Tasks[[#This Row],[_Pred1Text]],MIN(FIND("F",Tasks[[#This Row],[_Pred1Text]]&amp;"F"),FIND("S",Tasks[[#This Row],[_Pred1Text]]&amp;"S"),FIND("+",Tasks[[#This Row],[_Pred1Text]]&amp;"+"),FIND("-",Tasks[[#This Row],[_Pred1Text]]&amp;"-"))-1)),""))</f>
        <v/>
      </c>
      <c r="CP16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7" s="42" t="str">
        <f aca="false">IF(Tasks[[#This Row],[_Pred1Text]]="","",TRIM(MID(SUBSTITUTE(SUBSTITUTE(SUBSTITUTE(UPPER(Tasks[[#This Row],[_Predecessors]]),";",",")," ",""),",",REPT(" ",99)),100,99)))</f>
        <v/>
      </c>
      <c r="CS167" s="42" t="str">
        <f aca="false">IF(Tasks[[#This Row],[_Pred2Text]]="","",IFERROR(VALUE(LEFT(Tasks[[#This Row],[_Pred2Text]],MIN(FIND("F",Tasks[[#This Row],[_Pred2Text]]&amp;"F"),FIND("S",Tasks[[#This Row],[_Pred2Text]]&amp;"S"),FIND("+",Tasks[[#This Row],[_Pred2Text]]&amp;"+"),FIND("-",Tasks[[#This Row],[_Pred2Text]]&amp;"-"))-1)),""))</f>
        <v/>
      </c>
      <c r="CT16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7" s="42" t="str">
        <f aca="false">IF(Tasks[[#This Row],[_Pred2Text]]="","",TRIM(MID(SUBSTITUTE(SUBSTITUTE(SUBSTITUTE(UPPER(Tasks[[#This Row],[_Predecessors]]),";",",")," ",""),",",REPT(" ",99)),199,99)))</f>
        <v/>
      </c>
      <c r="CW167" s="42" t="str">
        <f aca="false">IF(Tasks[[#This Row],[_Pred3Text]]="","",IFERROR(VALUE(LEFT(Tasks[[#This Row],[_Pred3Text]],MIN(FIND("F",Tasks[[#This Row],[_Pred3Text]]&amp;"F"),FIND("S",Tasks[[#This Row],[_Pred3Text]]&amp;"S"),FIND("+",Tasks[[#This Row],[_Pred3Text]]&amp;"+"),FIND("-",Tasks[[#This Row],[_Pred3Text]]&amp;"-"))-1)),""))</f>
        <v/>
      </c>
      <c r="CX16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7" s="42" t="str">
        <f aca="false">IF(Tasks[[#This Row],[_Pred3Text]]="","",TRIM(MID(SUBSTITUTE(SUBSTITUTE(SUBSTITUTE(UPPER(Tasks[[#This Row],[_Predecessors]]),";",",")," ",""),",",REPT(" ",99)),298,99)))</f>
        <v/>
      </c>
      <c r="DA167" s="42" t="str">
        <f aca="false">IF(Tasks[[#This Row],[_Pred4Text]]="","",IFERROR(VALUE(LEFT(Tasks[[#This Row],[_Pred4Text]],MIN(FIND("F",Tasks[[#This Row],[_Pred4Text]]&amp;"F"),FIND("S",Tasks[[#This Row],[_Pred4Text]]&amp;"S"),FIND("+",Tasks[[#This Row],[_Pred4Text]]&amp;"+"),FIND("-",Tasks[[#This Row],[_Pred4Text]]&amp;"-"))-1)),""))</f>
        <v/>
      </c>
      <c r="DB16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7" s="42" t="str">
        <f aca="false">IF(OR(Tasks[[#This Row],[Task Name]]="",Tasks[[#This Row],[_Resources]]=""),"",TRIM(MID(SUBSTITUTE(Tasks[[#This Row],[_Resources]],",",REPT(" ",99)),1,99)))</f>
        <v/>
      </c>
      <c r="DE167" s="42" t="str">
        <f aca="false">IF(Tasks[[#This Row],[_Res1Text]]="","",TRIM(MID(SUBSTITUTE(Tasks[[#This Row],[_Resources]],",",REPT(" ",99)),100,99)))</f>
        <v/>
      </c>
      <c r="DF167" s="42" t="str">
        <f aca="false">IF(Tasks[[#This Row],[_Res2Text]]="","",TRIM(MID(SUBSTITUTE(Tasks[[#This Row],[_Resources]],",",REPT(" ",99)),199,99)))</f>
        <v/>
      </c>
      <c r="DG167" s="42" t="str">
        <f aca="false">IF(Tasks[[#This Row],[_Res3Text]]="","",TRIM(MID(SUBSTITUTE(Tasks[[#This Row],[_Resources]],",",REPT(" ",99)),298,99)))</f>
        <v/>
      </c>
      <c r="DH167" s="42" t="n">
        <f aca="false">IF(Tasks[[#This Row],[_Res1Text]]="",0,IFERROR(MATCH(TRIM(LEFT(Tasks[[#This Row],[_Res1Text]],FIND("[",Tasks[[#This Row],[_Res1Text]]&amp;"[")-1)),res_Name,0),IFERROR(MATCH(TRIM(LEFT(Tasks[[#This Row],[_Res1Text]],FIND("[",Tasks[[#This Row],[_Res1Text]]&amp;"[")-1)),res_Initials,0),0)))</f>
        <v>0</v>
      </c>
      <c r="DI167" s="42" t="n">
        <f aca="false">IF(Tasks[[#This Row],[_Res2Text]]="",0,IFERROR(MATCH(TRIM(LEFT(Tasks[[#This Row],[_Res2Text]],FIND("[",Tasks[[#This Row],[_Res2Text]]&amp;"[")-1)),res_Name,0),IFERROR(MATCH(TRIM(LEFT(Tasks[[#This Row],[_Res2Text]],FIND("[",Tasks[[#This Row],[_Res2Text]]&amp;"[")-1)),res_Initials,0),0)))</f>
        <v>0</v>
      </c>
      <c r="DJ167" s="42" t="n">
        <f aca="false">IF(Tasks[[#This Row],[_Res3Text]]="",0,IFERROR(MATCH(TRIM(LEFT(Tasks[[#This Row],[_Res3Text]],FIND("[",Tasks[[#This Row],[_Res3Text]]&amp;"[")-1)),res_Name,0),IFERROR(MATCH(TRIM(LEFT(Tasks[[#This Row],[_Res3Text]],FIND("[",Tasks[[#This Row],[_Res3Text]]&amp;"[")-1)),res_Initials,0),0)))</f>
        <v>0</v>
      </c>
      <c r="DK167" s="42" t="n">
        <f aca="false">IF(Tasks[[#This Row],[_Res4Text]]="",0,IFERROR(MATCH(TRIM(LEFT(Tasks[[#This Row],[_Res4Text]],FIND("[",Tasks[[#This Row],[_Res4Text]]&amp;"[")-1)),res_Name,0),IFERROR(MATCH(TRIM(LEFT(Tasks[[#This Row],[_Res4Text]],FIND("[",Tasks[[#This Row],[_Res4Text]]&amp;"[")-1)),res_Initials,0),0)))</f>
        <v>0</v>
      </c>
      <c r="DL167" s="42" t="str">
        <f aca="false">IF(Tasks[[#This Row],[_Res1Text]]="","",IF(Tasks[[#This Row],[_Res1Row]]&gt;0,INDEX(res_Name,Tasks[[#This Row],[_Res1Row]]),TRIM(LEFT(Tasks[[#This Row],[_Res1Text]],FIND("[",Tasks[[#This Row],[_Res1Text]]&amp;"[")-1))))</f>
        <v/>
      </c>
      <c r="DM16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7" s="42" t="n">
        <f aca="false">IF(NOT(Tasks[[#This Row],[_IsLeaf]]=1),0,(Tasks[[#This Row],[_Resource1]]&lt;&gt;"")+(Tasks[[#This Row],[_Res2]]&lt;&gt;"")+(Tasks[[#This Row],[_Res3]]&lt;&gt;"")+(Tasks[[#This Row],[_Res4]]&lt;&gt;""))</f>
        <v>0</v>
      </c>
      <c r="DO167" s="42" t="str">
        <f aca="false">IF(Tasks[[#This Row],[_Res2Text]]="","",IF(Tasks[[#This Row],[_Res2Row]]&gt;0,INDEX(res_Name,Tasks[[#This Row],[_Res2Row]]),TRIM(LEFT(Tasks[[#This Row],[_Res2Text]],FIND("[",Tasks[[#This Row],[_Res2Text]]&amp;"[")-1))))</f>
        <v/>
      </c>
      <c r="DP16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7" s="42" t="n">
        <f aca="false">IF(OR(NOT(Tasks[[#This Row],[_IsLeaf]]=1),Tasks[[#This Row],[_Res2Row]]=0),0,N(Tasks[[#This Row],[_Days]])*HoursPerDay*IF(Tasks[[#This Row],[_Res2Units]]="",DefaultUnits,Tasks[[#This Row],[_Res2Units]]))</f>
        <v>0</v>
      </c>
      <c r="DR167" s="42" t="n">
        <f aca="false">IF(AND(AND(Tasks[[#This Row],[_IsLeaf]]=1,Tasks[[#This Row],[_LeafTotalWork]]&gt;0),Tasks[[#This Row],[_Res2Work]]&gt;0),Tasks[[#This Row],[_Res2Work]]/(Tasks[[#This Row],[_FinishWorkday]]-Tasks[[#This Row],[_StartWorkday]]+1),0)</f>
        <v>0</v>
      </c>
      <c r="DS167" s="42" t="n">
        <f aca="false">Tasks[[#This Row],[_Res2WorkPerWD]]*MAX(0,Tasks[[#This Row],[_StartWorkday]]-1)</f>
        <v>0</v>
      </c>
      <c r="DT167" s="42" t="n">
        <f aca="false">Tasks[[#This Row],[_Res2Work]]*Tasks[[#This Row],[_LeafProgress]]</f>
        <v>0</v>
      </c>
      <c r="DU167" s="42" t="str">
        <f aca="false">IF(Tasks[[#This Row],[_Res3Text]]="","",IF(Tasks[[#This Row],[_Res3Row]]&gt;0,INDEX(res_Name,Tasks[[#This Row],[_Res3Row]]),TRIM(LEFT(Tasks[[#This Row],[_Res3Text]],FIND("[",Tasks[[#This Row],[_Res3Text]]&amp;"[")-1))))</f>
        <v/>
      </c>
      <c r="DV16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7" s="42" t="n">
        <f aca="false">IF(OR(NOT(Tasks[[#This Row],[_IsLeaf]]=1),Tasks[[#This Row],[_Res3Row]]=0),0,N(Tasks[[#This Row],[_Days]])*HoursPerDay*IF(Tasks[[#This Row],[_Res3Units]]="",DefaultUnits,Tasks[[#This Row],[_Res3Units]]))</f>
        <v>0</v>
      </c>
      <c r="DX167" s="42" t="n">
        <f aca="false">IF(AND(AND(Tasks[[#This Row],[_IsLeaf]]=1,Tasks[[#This Row],[_LeafTotalWork]]&gt;0),Tasks[[#This Row],[_Res3Work]]&gt;0),Tasks[[#This Row],[_Res3Work]]/(Tasks[[#This Row],[_FinishWorkday]]-Tasks[[#This Row],[_StartWorkday]]+1),0)</f>
        <v>0</v>
      </c>
      <c r="DY167" s="42" t="n">
        <f aca="false">Tasks[[#This Row],[_Res3WorkPerWD]]*MAX(0,Tasks[[#This Row],[_StartWorkday]]-1)</f>
        <v>0</v>
      </c>
      <c r="DZ167" s="42" t="n">
        <f aca="false">Tasks[[#This Row],[_Res3Work]]*Tasks[[#This Row],[_LeafProgress]]</f>
        <v>0</v>
      </c>
      <c r="EA167" s="42" t="str">
        <f aca="false">IF(Tasks[[#This Row],[_Res4Text]]="","",IF(Tasks[[#This Row],[_Res4Row]]&gt;0,INDEX(res_Name,Tasks[[#This Row],[_Res4Row]]),TRIM(LEFT(Tasks[[#This Row],[_Res4Text]],FIND("[",Tasks[[#This Row],[_Res4Text]]&amp;"[")-1))))</f>
        <v/>
      </c>
      <c r="EB16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7" s="42" t="n">
        <f aca="false">IF(OR(NOT(Tasks[[#This Row],[_IsLeaf]]=1),Tasks[[#This Row],[_Res4Row]]=0),0,N(Tasks[[#This Row],[_Days]])*HoursPerDay*IF(Tasks[[#This Row],[_Res4Units]]="",DefaultUnits,Tasks[[#This Row],[_Res4Units]]))</f>
        <v>0</v>
      </c>
      <c r="ED167" s="42" t="n">
        <f aca="false">IF(AND(AND(Tasks[[#This Row],[_IsLeaf]]=1,Tasks[[#This Row],[_LeafTotalWork]]&gt;0),Tasks[[#This Row],[_Res4Work]]&gt;0),Tasks[[#This Row],[_Res4Work]]/(Tasks[[#This Row],[_FinishWorkday]]-Tasks[[#This Row],[_StartWorkday]]+1),0)</f>
        <v>0</v>
      </c>
      <c r="EE167" s="42" t="n">
        <f aca="false">Tasks[[#This Row],[_Res4WorkPerWD]]*MAX(0,Tasks[[#This Row],[_StartWorkday]]-1)</f>
        <v>0</v>
      </c>
      <c r="EF167" s="42" t="n">
        <f aca="false">Tasks[[#This Row],[_Res4Work]]*Tasks[[#This Row],[_LeafProgress]]</f>
        <v>0</v>
      </c>
      <c r="EG167" s="42" t="n">
        <f aca="false">IF(ISNUMBER(Tasks[[#This Row],[% Complete]]),Tasks[[#This Row],[% Complete]],IF(Tasks[[#This Row],[Stage]]="",0,IFERROR(INDEX(stg_Pct,MATCH(Tasks[[#This Row],[Stage]],stg_Name,0)),0)))</f>
        <v>0</v>
      </c>
      <c r="EH167" s="42" t="n">
        <f aca="false">IF(NOT(Tasks[[#This Row],[_IsLeaf]]=1),0,IF(N(Tasks[[#This Row],[Actual Finish]])&gt;0,1,MIN(1,Tasks[[#This Row],[_Pct]])))</f>
        <v>0</v>
      </c>
      <c r="EI167" s="42" t="n">
        <f aca="false">IF(OR(NOT(Tasks[[#This Row],[_IsLeaf]]=1),Tasks[[#This Row],[_Res1Row]]=0),0,N(Tasks[[#This Row],[_Days]])*HoursPerDay*IF(Tasks[[#This Row],[_Units1]]="",DefaultUnits,Tasks[[#This Row],[_Units1]]))</f>
        <v>0</v>
      </c>
      <c r="EJ167" s="42" t="n">
        <f aca="false">Tasks[[#This Row],[_LeafWork]]+Tasks[[#This Row],[_Res2Work]]+Tasks[[#This Row],[_Res3Work]]+Tasks[[#This Row],[_Res4Work]]</f>
        <v>0</v>
      </c>
      <c r="EK16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7" s="42" t="n">
        <f aca="false">IF(NOT(Tasks[[#This Row],[_IsLeaf]]=1),0,MAX(_xlfn.MAXIFS(Tasks[_Row],Tasks[_Pred1UID],Tasks[[#This Row],[UID]]),_xlfn.MAXIFS(Tasks[_Row],Tasks[_Pred2UID],Tasks[[#This Row],[UID]]),_xlfn.MAXIFS(Tasks[_Row],Tasks[_Pred3UID],Tasks[[#This Row],[UID]]),_xlfn.MAXIFS(Tasks[_Row],Tasks[_Pred4UID],Tasks[[#This Row],[UID]])))</f>
        <v>0</v>
      </c>
      <c r="ET16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7" s="89" t="str">
        <f aca="false">IF(NOT(Tasks[[#This Row],[_IsLeaf]]=1),"",IF(N(Tasks[[#This Row],[_Days]])&lt;=0,Tasks[[#This Row],[_LeafLateFinish]],WORKDAY.INTL(Tasks[[#This Row],[_LeafLateFinish]],-(Tasks[[#This Row],[_Days]]-1),WorkWeek,Holidays)))</f>
        <v/>
      </c>
      <c r="EW16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7" s="88" t="b">
        <f aca="false">AND(Tasks[[#This Row],[_IsLeaf]]=1,Tasks[[#This Row],[_LeafProgress]]&lt;1,N(Tasks[[#This Row],[_LeafTotalSlack]])&lt;=CriticalSlackDays)</f>
        <v>0</v>
      </c>
      <c r="EY167" s="42" t="n">
        <f aca="false">IF(AND(Tasks[[#This Row],[_IsLeaf]]=1,Tasks[[#This Row],[_ConstraintCode]]=1,Tasks[[#This Row],[Mode]]&lt;&gt;"Manual",N(Tasks[[#This Row],[Actual Start]])=0),MAX(0,N(Tasks[[#This Row],[Free Slack]])),0)</f>
        <v>0</v>
      </c>
      <c r="EZ167" s="89" t="str">
        <f aca="false">IF(NOT(Tasks[[#This Row],[_IsLeaf]]=1),"",IF(Tasks[[#This Row],[_AlapShift]]=0,Tasks[[#This Row],[_LeafCalcStart]],WORKDAY.INTL(Tasks[[#This Row],[_LeafCalcStart]],Tasks[[#This Row],[_AlapShift]],WorkWeek,Holidays)))</f>
        <v/>
      </c>
      <c r="FA167" s="89" t="str">
        <f aca="false">IF(NOT(Tasks[[#This Row],[_IsLeaf]]=1),"",IF(Tasks[[#This Row],[_AlapShift]]=0,Tasks[[#This Row],[_LeafCalcFinish]],WORKDAY.INTL(Tasks[[#This Row],[_LeafCalcFinish]],Tasks[[#This Row],[_AlapShift]],WorkWeek,Holidays)))</f>
        <v/>
      </c>
      <c r="FB167" s="89" t="str">
        <f aca="false">IF(NOT(Tasks[[#This Row],[_IsLeaf]]=1),"",IF(Tasks[[#This Row],[_AlapShift]]=0,Tasks[[#This Row],[_LeafFcstStart]],WORKDAY.INTL(Tasks[[#This Row],[_LeafFcstStart]],Tasks[[#This Row],[_AlapShift]],WorkWeek,Holidays)))</f>
        <v/>
      </c>
      <c r="FC167" s="89" t="str">
        <f aca="false">IF(NOT(Tasks[[#This Row],[_IsLeaf]]=1),"",IF(Tasks[[#This Row],[_AlapShift]]=0,Tasks[[#This Row],[_LeafFcstFinish]],WORKDAY.INTL(Tasks[[#This Row],[_LeafFcstFinish]],Tasks[[#This Row],[_AlapShift]],WorkWeek,Holidays)))</f>
        <v/>
      </c>
      <c r="FD167" s="89" t="str">
        <f aca="false">IF(Tasks[[#This Row],[Task Name]]="","",IF(Tasks[[#This Row],[_IsSummary]],MIN(INDEX(Tasks[_ShownCalcStart],Tasks[[#This Row],[_Row]]+1):INDEX(Tasks[_ShownCalcStart],Tasks[[#This Row],[_Row]]+Tasks[[#This Row],[_Descendants]])),Tasks[[#This Row],[_ShownCalcStart]]))</f>
        <v/>
      </c>
      <c r="FE167" s="89" t="str">
        <f aca="false">IF(Tasks[[#This Row],[Task Name]]="","",IF(Tasks[[#This Row],[_IsSummary]],MAX(INDEX(Tasks[_ShownCalcFinish],Tasks[[#This Row],[_Row]]+1):INDEX(Tasks[_ShownCalcFinish],Tasks[[#This Row],[_Row]]+Tasks[[#This Row],[_Descendants]])),Tasks[[#This Row],[_ShownCalcFinish]]))</f>
        <v/>
      </c>
      <c r="FF16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7" s="42" t="n">
        <f aca="false">IF(AND(Tasks[[#This Row],[_IsLeaf]]=1,Tasks[[#This Row],[_LeafTotalWork]]&gt;0),NETWORKDAYS.INTL(ProjectStart,Tasks[[#This Row],[_ShownFcstStart]],WorkWeek,Holidays),0)</f>
        <v>0</v>
      </c>
      <c r="FS167" s="42" t="n">
        <f aca="false">IF(AND(Tasks[[#This Row],[_IsLeaf]]=1,Tasks[[#This Row],[_LeafTotalWork]]&gt;0),MAX(Tasks[[#This Row],[_StartWorkday]],NETWORKDAYS.INTL(ProjectStart,Tasks[[#This Row],[_ShownFcstFinish]],WorkWeek,Holidays)),0)</f>
        <v>0</v>
      </c>
      <c r="FT167" s="42" t="n">
        <f aca="false">IF(AND(Tasks[[#This Row],[_IsLeaf]]=1,Tasks[[#This Row],[_LeafTotalWork]]&gt;0),Tasks[[#This Row],[_LeafWork]]/(Tasks[[#This Row],[_FinishWorkday]]-Tasks[[#This Row],[_StartWorkday]]+1),0)</f>
        <v>0</v>
      </c>
      <c r="FU167" s="42" t="n">
        <f aca="false">Tasks[[#This Row],[_WorkPerWorkday]]*(Tasks[[#This Row],[_StartWorkday]]-1)</f>
        <v>-0</v>
      </c>
      <c r="FV167" s="42" t="n">
        <f aca="false">IF(Tasks[[#This Row],[_IsLeaf]]=1,MAX(N(Tasks[[#This Row],[_Days]]),0.1),0)</f>
        <v>0</v>
      </c>
      <c r="FW167" s="42" t="n">
        <f aca="false">Tasks[[#This Row],[_WeightDur]]*Tasks[[#This Row],[_LeafProgress]]</f>
        <v>0</v>
      </c>
      <c r="FX167" s="42" t="n">
        <f aca="false">Tasks[[#This Row],[_WeightDur]]*Tasks[[#This Row],[_PlannedPct]]</f>
        <v>0</v>
      </c>
      <c r="FY16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7" s="42" t="str">
        <f aca="false">IF(AND(Tasks[[#This Row],[_IsLeaf]]=1,N(Tasks[[#This Row],[_Days]])=0,Tasks[[#This Row],[_LeafProgress]]&lt;1),Tasks[[#This Row],[_ShownFcstFinish]]+Tasks[[#This Row],[_Row]]/100000,"")</f>
        <v/>
      </c>
      <c r="GA16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7" s="42" t="str">
        <f aca="false">IF(Tasks[[#This Row],[Task Name]]="","",LEFT(Tasks[[#This Row],[WBS]],FIND(".",Tasks[[#This Row],[WBS]]&amp;".")-1))</f>
        <v/>
      </c>
      <c r="GC167" s="42" t="str">
        <f aca="false">IF(AND(Tasks[[#This Row],[Task Name]]&lt;&gt;"",Tasks[[#This Row],[_Level]]=1),Tasks[[#This Row],[_Row]],"")</f>
        <v/>
      </c>
      <c r="GD167" s="42" t="str">
        <f aca="false">IF(AND(Tasks[[#This Row],[_IsLeaf]]=1,N(Tasks[[#This Row],[_Days]])=0),Tasks[[#This Row],[Planned Finish]]+Tasks[[#This Row],[_Row]]/100000,"")</f>
        <v/>
      </c>
      <c r="GE167" s="42" t="str">
        <f aca="false">IF(AND(Tasks[[#This Row],[_IsLeaf]]=1,Tasks[[#This Row],[_LeafProgress]]&lt;1,OR(N(Tasks[[#This Row],[Finish Var]])&gt;0,Tasks[[#This Row],[Status]]="Late Start")),MAX(0,Tasks[[#This Row],[Finish Var]])+1-Tasks[[#This Row],[_Row]]/1000000,"")</f>
        <v/>
      </c>
      <c r="GF167" s="42" t="str">
        <f aca="false">IF(AND(Tasks[[#This Row],[_IsLeaf]]=1,N(Tasks[[#This Row],[Actual Start]])=0,Tasks[[#This Row],[_ShownFcstStart]]&gt;=StatusDate,Tasks[[#This Row],[_ShownFcstStart]]&lt;=LookaheadEnd),Tasks[[#This Row],[_ShownFcstStart]]+Tasks[[#This Row],[_Row]]/100000,"")</f>
        <v/>
      </c>
      <c r="GG167" s="42" t="str">
        <f aca="false">IF(AND(Tasks[[#This Row],[_IsLeaf]]=1,Tasks[[#This Row],[_LeafProgress]]&lt;1,Tasks[[#This Row],[_ShownFcstFinish]]&gt;=StatusDate,Tasks[[#This Row],[_ShownFcstFinish]]&lt;=LookaheadEnd),Tasks[[#This Row],[_ShownFcstFinish]]+Tasks[[#This Row],[_Row]]/100000,"")</f>
        <v/>
      </c>
      <c r="GH167" s="42" t="str">
        <f aca="false">IF(Tasks[[#This Row],[_LeafCritical]],Tasks[[#This Row],[_ShownFcstStart]]+Tasks[[#This Row],[_Row]]/100000,"")</f>
        <v/>
      </c>
      <c r="GI167" s="42" t="n">
        <f aca="false">Tasks[[#This Row],[_LeafWork]]*Tasks[[#This Row],[_LeafProgress]]</f>
        <v>0</v>
      </c>
      <c r="GJ167" s="89" t="str">
        <f aca="false">IF(AND(Tasks[[#This Row],[_IsLeaf]]=1,Tasks[[#This Row],[_LeafProgress]]&gt;=1),IF(N(Tasks[[#This Row],[Actual Finish]])&gt;0,Tasks[[#This Row],[Actual Finish]],Tasks[[#This Row],[_ShownFcstFinish]]),"")</f>
        <v/>
      </c>
      <c r="GK167" s="42" t="n">
        <f aca="false">IF(Tasks[[#This Row],[_IsLeaf]]=1,N(Tasks[[#This Row],[Story Points]]),0)</f>
        <v>0</v>
      </c>
      <c r="GL167" s="42" t="str">
        <f aca="false">""</f>
        <v/>
      </c>
      <c r="GM167" s="88" t="b">
        <f aca="false">IF(Tasks[[#This Row],[Task Name]]="",FALSE(),AND(Tasks[[#This Row],[_IsLeaf]]=1,N(Tasks[[#This Row],[_Days]])=0))</f>
        <v>0</v>
      </c>
      <c r="GN167" s="89" t="n">
        <f aca="false">IF(Tasks[[#This Row],[Task Name]]="",0,IF(AND(Tasks[[#This Row],[_IsLeaf]]=1,NOT(Tasks[[#This Row],[_IsMilestone]]),N(Tasks[[#This Row],[Progress]])&gt;0),Tasks[[#This Row],[Start]],0))</f>
        <v>0</v>
      </c>
      <c r="GO167" s="89" t="n">
        <f aca="false">IF(Tasks[[#This Row],[_DoneFrom]]=0,0,IF(Tasks[[#This Row],[Progress]]&gt;=1,Tasks[[#This Row],[Finish]],MAX(Tasks[[#This Row],[_DoneFrom]],Tasks[[#This Row],[Start]]+ROUND((Tasks[[#This Row],[Finish]]-Tasks[[#This Row],[Start]]+1)*Tasks[[#This Row],[Progress]],0)-1)))</f>
        <v>0</v>
      </c>
      <c r="GP167" s="89" t="n">
        <f aca="false">IF(Tasks[[#This Row],[Task Name]]="",0,IF(OR(NOT(Tasks[[#This Row],[_IsLeaf]]=1),Tasks[[#This Row],[_IsMilestone]],N(Tasks[[#This Row],[Progress]])&gt;=1),0,IF(Tasks[[#This Row],[_DoneTo]]&gt;0,Tasks[[#This Row],[_DoneTo]]+1,Tasks[[#This Row],[Start]])))</f>
        <v>0</v>
      </c>
      <c r="GQ167" s="89" t="n">
        <f aca="false">IF(Tasks[[#This Row],[_RemFrom]]=0,0,Tasks[[#This Row],[Finish]])</f>
        <v>0</v>
      </c>
      <c r="GR167" s="88" t="b">
        <f aca="false">IF(Tasks[[#This Row],[Task Name]]="",FALSE(),OR(NOT(BaselineSet),N(Tasks[[#This Row],[Baseline Start]])&gt;0))</f>
        <v>0</v>
      </c>
      <c r="GS16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7" s="90" t="str">
        <f aca="false">IF(Tasks[[#This Row],[_IsLeaf]]=1,Tasks[[#This Row],[_Row]],"")</f>
        <v/>
      </c>
      <c r="GW167" s="90" t="str">
        <f aca="false">IFERROR(INDEX(Tasks[UID],SMALL(Tasks[_PickKey],Tasks[[#This Row],[_Row]]))&amp;" "&amp;INDEX(Tasks[Task Name],SMALL(Tasks[_PickKey],Tasks[[#This Row],[_Row]])),"")</f>
        <v/>
      </c>
      <c r="GX167" s="42" t="str">
        <f aca="false">IF(Tasks[[#This Row],[Task Name]]="","",IF(Tasks[[#This Row],[_IsSummary]],NETWORKDAYS.INTL(Tasks[[#This Row],[Start]],Tasks[[#This Row],[Finish]],WorkWeek,Holidays),N(Tasks[[#This Row],[_Days]])))</f>
        <v/>
      </c>
    </row>
    <row r="168" customFormat="false" ht="15" hidden="false" customHeight="false" outlineLevel="0" collapsed="false">
      <c r="A168" s="21" t="str">
        <f aca="false">IF(Tasks[[#This Row],[Task Name]]="","",COUNTA(Tasks[[#Headers],[Task Name]]:Tasks[[#This Row],[Task Name]])-1)</f>
        <v/>
      </c>
      <c r="B168" s="22" t="n">
        <v>176</v>
      </c>
      <c r="C168" s="22"/>
      <c r="D168" s="23"/>
      <c r="E168" s="22"/>
      <c r="F168" s="23"/>
      <c r="G168" s="22"/>
      <c r="H168" s="22"/>
      <c r="I168" s="23"/>
      <c r="J168" s="22"/>
      <c r="K168" s="22"/>
      <c r="L168" s="23"/>
      <c r="M168" s="22"/>
      <c r="N168" s="22"/>
      <c r="O168" s="23"/>
      <c r="P168" s="22"/>
      <c r="Q168" s="22"/>
      <c r="R168" s="23"/>
      <c r="S168" s="23"/>
      <c r="T168" s="83"/>
      <c r="U168" s="23"/>
      <c r="V168" s="83"/>
      <c r="W168" s="23"/>
      <c r="X168" s="83"/>
      <c r="Y168" s="23"/>
      <c r="Z168" s="83"/>
      <c r="AA168" s="23"/>
      <c r="AB168" s="23"/>
      <c r="AC168" s="7"/>
      <c r="AD168" s="7"/>
      <c r="AE168" s="62" t="str">
        <f aca="false">IF(Tasks[[#This Row],[Task Name]]="","",IF(Tasks[[#This Row],[_IsSummary]],MIN(INDEX(Tasks[_ShownFcstStart],Tasks[[#This Row],[_Row]]+1):INDEX(Tasks[_ShownFcstStart],Tasks[[#This Row],[_Row]]+Tasks[[#This Row],[_Descendants]])),Tasks[[#This Row],[_ShownFcstStart]]))</f>
        <v/>
      </c>
      <c r="AF168" s="62" t="str">
        <f aca="false">IF(Tasks[[#This Row],[Task Name]]="","",IF(Tasks[[#This Row],[_IsSummary]],MAX(INDEX(Tasks[_ShownFcstFinish],Tasks[[#This Row],[_Row]]+1):INDEX(Tasks[_ShownFcstFinish],Tasks[[#This Row],[_Row]]+Tasks[[#This Row],[_Descendants]])),Tasks[[#This Row],[_ShownFcstFinish]]))</f>
        <v/>
      </c>
      <c r="AG168" s="21" t="str">
        <f aca="false">""</f>
        <v/>
      </c>
      <c r="AH168" s="23"/>
      <c r="AI16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8" s="7"/>
      <c r="AK168" s="22"/>
      <c r="AL168" s="23"/>
      <c r="AM168" s="7"/>
      <c r="AN168" s="46" t="str">
        <f aca="false">IF(Tasks[[#This Row],[Task Name]]="","",IF(Tasks[[#This Row],[Finish]]&gt;=Tasks[[#This Row],[Planned Finish]],NETWORKDAYS.INTL(Tasks[[#This Row],[Planned Finish]],Tasks[[#This Row],[Finish]],WorkWeek,Holidays)-1,1-NETWORKDAYS.INTL(Tasks[[#This Row],[Finish]],Tasks[[#This Row],[Planned Finish]],WorkWeek,Holidays)))</f>
        <v/>
      </c>
      <c r="AO168" s="21" t="str">
        <f aca="false">IF(Tasks[[#This Row],[Task Name]]="","",IF(Tasks[[#This Row],[Progress]]&gt;=1,"Complete",IF(OR(N(Tasks[[#This Row],[Actual Start]])&gt;0,Tasks[[#This Row],[Progress]]&gt;0),IF(Tasks[[#This Row],[Finish Var]]&gt;0,"Behind","In Progress"),IF(Tasks[[#This Row],[Planned Start]]&lt;StatusDate,"Late Start","Not Started"))))</f>
        <v/>
      </c>
      <c r="AP168" s="21" t="str">
        <f aca="false">IF(Tasks[[#This Row],[Task Name]]="","",IF(IF(Tasks[[#This Row],[_IsSummary]],COUNTIF(INDEX(Tasks[_LeafCritical],Tasks[[#This Row],[_Row]]+1):INDEX(Tasks[_LeafCritical],Tasks[[#This Row],[_Row]]+Tasks[[#This Row],[_Descendants]]),TRUE())&gt;0,Tasks[[#This Row],[_LeafCritical]]),"Yes",""))</f>
        <v/>
      </c>
      <c r="AQ168" s="62" t="str">
        <f aca="false">IF(Tasks[[#This Row],[Task Name]]="","",IF(N(Tasks[[#This Row],[Baseline Start]])&gt;0,Tasks[[#This Row],[Baseline Start]],Tasks[[#This Row],[_CalcStart]]))</f>
        <v/>
      </c>
      <c r="AR168" s="62" t="str">
        <f aca="false">IF(Tasks[[#This Row],[Task Name]]="","",IF(N(Tasks[[#This Row],[Baseline Finish]])&gt;0,Tasks[[#This Row],[Baseline Finish]],Tasks[[#This Row],[_CalcFinish]]))</f>
        <v/>
      </c>
      <c r="AS168" s="46" t="str">
        <f aca="false">IF(Tasks[[#This Row],[Task Name]]="","",IF(Tasks[[#This Row],[Start]]&gt;=Tasks[[#This Row],[Planned Start]],NETWORKDAYS.INTL(Tasks[[#This Row],[Planned Start]],Tasks[[#This Row],[Start]],WorkWeek,Holidays)-1,1-NETWORKDAYS.INTL(Tasks[[#This Row],[Start]],Tasks[[#This Row],[Planned Start]],WorkWeek,Holidays)))</f>
        <v/>
      </c>
      <c r="AT168" s="62" t="str">
        <f aca="false">IF(Tasks[[#This Row],[Task Name]]="","",IF(Tasks[[#This Row],[_IsSummary]],MIN(INDEX(Tasks[_LeafLateStart],Tasks[[#This Row],[_Row]]+1):INDEX(Tasks[_LeafLateStart],Tasks[[#This Row],[_Row]]+Tasks[[#This Row],[_Descendants]])),Tasks[[#This Row],[_LeafLateStart]]))</f>
        <v/>
      </c>
      <c r="AU168" s="62" t="str">
        <f aca="false">IF(Tasks[[#This Row],[Task Name]]="","",IF(Tasks[[#This Row],[_IsSummary]],MAX(INDEX(Tasks[_LeafLateFinish],Tasks[[#This Row],[_Row]]+1):INDEX(Tasks[_LeafLateFinish],Tasks[[#This Row],[_Row]]+Tasks[[#This Row],[_Descendants]])),Tasks[[#This Row],[_LeafLateFinish]]))</f>
        <v/>
      </c>
      <c r="AV168" s="46" t="str">
        <f aca="false">IF(Tasks[[#This Row],[Task Name]]="","",IF(Tasks[[#This Row],[_IsSummary]],MIN(INDEX(Tasks[_LeafTotalSlack],Tasks[[#This Row],[_Row]]+1):INDEX(Tasks[_LeafTotalSlack],Tasks[[#This Row],[_Row]]+Tasks[[#This Row],[_Descendants]])),Tasks[[#This Row],[_LeafTotalSlack]]))</f>
        <v/>
      </c>
      <c r="AW16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4"/>
      <c r="BA16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t="str">
        <f aca="false">IF(Tasks[[#This Row],[Task Name]]="","",IF(Tasks[[#This Row],[_Level]]&lt;=OutlineShowLevel,"Yes","No"))</f>
        <v/>
      </c>
      <c r="BE168" s="85" t="str">
        <f aca="false">IF(Tasks[[#This Row],[Task Name]]="","",IF(Tasks[[#This Row],[_IsSummary]],SUM(INDEX(Tasks[_LeafTotalWork],Tasks[[#This Row],[_Row]]+1):INDEX(Tasks[_LeafTotalWork],Tasks[[#This Row],[_Row]]+Tasks[[#This Row],[_Descendants]])),Tasks[[#This Row],[_LeafTotalWork]]))</f>
        <v/>
      </c>
      <c r="BF168" s="23"/>
      <c r="BG16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t="str">
        <f aca="false">""</f>
        <v/>
      </c>
      <c r="BI168" s="86"/>
      <c r="BJ168" s="22"/>
      <c r="BK168" s="46" t="str">
        <f aca="false">IF(OR(Tasks[[#This Row],[Task Name]]="",Tasks[[#This Row],[Baseline Duration]]=""),"",Tasks[[#This Row],[_SpanDays]]-N(Tasks[[#This Row],[Baseline Duration]]))</f>
        <v/>
      </c>
      <c r="BL168" s="85" t="str">
        <f aca="false">IF(OR(Tasks[[#This Row],[Task Name]]="",Tasks[[#This Row],[Baseline Work]]=""),"",Tasks[[#This Row],[Work]]-N(Tasks[[#This Row],[Baseline Work]]))</f>
        <v/>
      </c>
      <c r="BM168" s="62" t="str">
        <f aca="false">IF(Tasks[[#This Row],[Task Name]]="","",IF(OR(TakeBaseline="Yes",N(Tasks[[#This Row],[Baseline Start]])=0),Tasks[[#This Row],[Start]],Tasks[[#This Row],[Baseline Start]]))</f>
        <v/>
      </c>
      <c r="BN168" s="62" t="str">
        <f aca="false">IF(Tasks[[#This Row],[Task Name]]="","",IF(OR(TakeBaseline="Yes",N(Tasks[[#This Row],[Baseline Finish]])=0),Tasks[[#This Row],[Finish]],Tasks[[#This Row],[Baseline Finish]]))</f>
        <v/>
      </c>
      <c r="BO168" s="21" t="str">
        <f aca="false">IF(Tasks[[#This Row],[Task Name]]="","",IF(OR(TakeBaseline="Yes",N(Tasks[[#This Row],[Baseline Duration]])=0),Tasks[[#This Row],[_SpanDays]],Tasks[[#This Row],[Baseline Duration]]))</f>
        <v/>
      </c>
      <c r="BP168" s="85" t="str">
        <f aca="false">IF(Tasks[[#This Row],[Task Name]]="","",IF(OR(TakeBaseline="Yes",N(Tasks[[#This Row],[Baseline Work]])=0),Tasks[[#This Row],[Work]],Tasks[[#This Row],[Baseline Work]]))</f>
        <v/>
      </c>
      <c r="BQ168" s="7"/>
      <c r="BR168" s="7"/>
      <c r="BS168" s="22"/>
      <c r="BT168" s="87"/>
      <c r="BU168" s="42" t="str">
        <f aca="false">IF(Tasks[[#This Row],[Task Name]]="","",MAX(1,N(Tasks[[#This Row],[Level]])))</f>
        <v/>
      </c>
      <c r="BV168" s="42" t="n">
        <f aca="false">ROW()-ROW(Tasks[[#Headers],[ID]])</f>
        <v>163</v>
      </c>
      <c r="BW168" s="42" t="n">
        <f aca="false">IF(OR(Tasks[[#This Row],[Task Name]]="",Tasks[[#This Row],[_Level]]&lt;=1),0,IFERROR(LOOKUP(2,1/(Tasks[[#Headers],[_Level]]:Tasks[[#This Row],[_Level]]=Tasks[[#This Row],[_Level]]-1),ROW(Tasks[[#Headers],[_Level]]:Tasks[[#This Row],[_Level]])),0))</f>
        <v>0</v>
      </c>
      <c r="BX168" s="42" t="n">
        <f aca="false">IFERROR(N(INDEX(Tasks[_Level],Tasks[[#This Row],[_Row]]+1)),0)</f>
        <v>0</v>
      </c>
      <c r="BY168" s="88" t="b">
        <f aca="false">AND(Tasks[[#This Row],[Task Name]]&lt;&gt;"",Tasks[[#This Row],[_NextLevel]]&gt;Tasks[[#This Row],[_Level]])</f>
        <v>0</v>
      </c>
      <c r="BZ168" s="42" t="n">
        <f aca="false">IF(Tasks[[#This Row],[_IsSummary]],COUNTIF(Tasks[WBS],Tasks[[#This Row],[WBS]]&amp;".*"),0)</f>
        <v>0</v>
      </c>
      <c r="CA168" s="42" t="n">
        <f aca="false">IF(AND(Tasks[[#This Row],[Task Name]]&lt;&gt;"",NOT(Tasks[[#This Row],[_IsSummary]])),1,0)</f>
        <v>0</v>
      </c>
      <c r="CB168" s="42" t="n">
        <f aca="false">IF(N(Tasks[[#This Row],[_Pred1UID]])=0,0,IFERROR(MATCH(Tasks[[#This Row],[_Pred1UID]],Tasks[UID],0),-1))</f>
        <v>0</v>
      </c>
      <c r="CC168" s="42" t="n">
        <f aca="false">IF(N(Tasks[[#This Row],[_Pred2UID]])=0,0,IFERROR(MATCH(Tasks[[#This Row],[_Pred2UID]],Tasks[UID],0),-1))</f>
        <v>0</v>
      </c>
      <c r="CD168" s="42" t="n">
        <f aca="false">IF(N(Tasks[[#This Row],[_Pred3UID]])=0,0,IFERROR(MATCH(Tasks[[#This Row],[_Pred3UID]],Tasks[UID],0),-1))</f>
        <v>0</v>
      </c>
      <c r="CE168" s="42" t="n">
        <f aca="false">IF(N(Tasks[[#This Row],[_Pred4UID]])=0,0,IFERROR(MATCH(Tasks[[#This Row],[_Pred4UID]],Tasks[UID],0),-1))</f>
        <v>0</v>
      </c>
      <c r="CF16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8" s="89" t="n">
        <f aca="false">IF(OR(Tasks[[#This Row],[_ConstraintCode]]=2,Tasks[[#This Row],[_ConstraintCode]]=3,Tasks[[#This Row],[_ConstraintCode]]=4,Tasks[[#This Row],[_ConstraintCode]]=6),Tasks[[#This Row],[_ConstraintStart]],0)</f>
        <v>0</v>
      </c>
      <c r="CI168" s="89" t="n">
        <f aca="false">IF(OR(Tasks[[#This Row],[_ConstraintCode]]=2,Tasks[[#This Row],[_ConstraintCode]]=3,Tasks[[#This Row],[_ConstraintCode]]=5,Tasks[[#This Row],[_ConstraintCode]]=7),Tasks[[#This Row],[_ConstraintStart]],2958465)</f>
        <v>2958465</v>
      </c>
      <c r="CJ16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8" s="89" t="str">
        <f aca="false">IF(NOT(Tasks[[#This Row],[_IsLeaf]]=1),"",IF(N(Tasks[[#This Row],[_Days]])&lt;=0,Tasks[[#This Row],[_LeafCalcStart]],WORKDAY.INTL(Tasks[[#This Row],[_LeafCalcStart]],Tasks[[#This Row],[_Days]]-1,WorkWeek,Holidays)))</f>
        <v/>
      </c>
      <c r="CL16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8" s="42" t="str">
        <f aca="false">IF(Tasks[[#This Row],[_Predecessors]]="","",TRIM(MID(SUBSTITUTE(SUBSTITUTE(SUBSTITUTE(UPPER(Tasks[[#This Row],[_Predecessors]]),";",",")," ",""),",",REPT(" ",99)),1,99)))</f>
        <v/>
      </c>
      <c r="CO168" s="42" t="str">
        <f aca="false">IF(Tasks[[#This Row],[_Pred1Text]]="","",IFERROR(VALUE(LEFT(Tasks[[#This Row],[_Pred1Text]],MIN(FIND("F",Tasks[[#This Row],[_Pred1Text]]&amp;"F"),FIND("S",Tasks[[#This Row],[_Pred1Text]]&amp;"S"),FIND("+",Tasks[[#This Row],[_Pred1Text]]&amp;"+"),FIND("-",Tasks[[#This Row],[_Pred1Text]]&amp;"-"))-1)),""))</f>
        <v/>
      </c>
      <c r="CP16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8" s="42" t="str">
        <f aca="false">IF(Tasks[[#This Row],[_Pred1Text]]="","",TRIM(MID(SUBSTITUTE(SUBSTITUTE(SUBSTITUTE(UPPER(Tasks[[#This Row],[_Predecessors]]),";",",")," ",""),",",REPT(" ",99)),100,99)))</f>
        <v/>
      </c>
      <c r="CS168" s="42" t="str">
        <f aca="false">IF(Tasks[[#This Row],[_Pred2Text]]="","",IFERROR(VALUE(LEFT(Tasks[[#This Row],[_Pred2Text]],MIN(FIND("F",Tasks[[#This Row],[_Pred2Text]]&amp;"F"),FIND("S",Tasks[[#This Row],[_Pred2Text]]&amp;"S"),FIND("+",Tasks[[#This Row],[_Pred2Text]]&amp;"+"),FIND("-",Tasks[[#This Row],[_Pred2Text]]&amp;"-"))-1)),""))</f>
        <v/>
      </c>
      <c r="CT16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8" s="42" t="str">
        <f aca="false">IF(Tasks[[#This Row],[_Pred2Text]]="","",TRIM(MID(SUBSTITUTE(SUBSTITUTE(SUBSTITUTE(UPPER(Tasks[[#This Row],[_Predecessors]]),";",",")," ",""),",",REPT(" ",99)),199,99)))</f>
        <v/>
      </c>
      <c r="CW168" s="42" t="str">
        <f aca="false">IF(Tasks[[#This Row],[_Pred3Text]]="","",IFERROR(VALUE(LEFT(Tasks[[#This Row],[_Pred3Text]],MIN(FIND("F",Tasks[[#This Row],[_Pred3Text]]&amp;"F"),FIND("S",Tasks[[#This Row],[_Pred3Text]]&amp;"S"),FIND("+",Tasks[[#This Row],[_Pred3Text]]&amp;"+"),FIND("-",Tasks[[#This Row],[_Pred3Text]]&amp;"-"))-1)),""))</f>
        <v/>
      </c>
      <c r="CX16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8" s="42" t="str">
        <f aca="false">IF(Tasks[[#This Row],[_Pred3Text]]="","",TRIM(MID(SUBSTITUTE(SUBSTITUTE(SUBSTITUTE(UPPER(Tasks[[#This Row],[_Predecessors]]),";",",")," ",""),",",REPT(" ",99)),298,99)))</f>
        <v/>
      </c>
      <c r="DA168" s="42" t="str">
        <f aca="false">IF(Tasks[[#This Row],[_Pred4Text]]="","",IFERROR(VALUE(LEFT(Tasks[[#This Row],[_Pred4Text]],MIN(FIND("F",Tasks[[#This Row],[_Pred4Text]]&amp;"F"),FIND("S",Tasks[[#This Row],[_Pred4Text]]&amp;"S"),FIND("+",Tasks[[#This Row],[_Pred4Text]]&amp;"+"),FIND("-",Tasks[[#This Row],[_Pred4Text]]&amp;"-"))-1)),""))</f>
        <v/>
      </c>
      <c r="DB16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8" s="42" t="str">
        <f aca="false">IF(OR(Tasks[[#This Row],[Task Name]]="",Tasks[[#This Row],[_Resources]]=""),"",TRIM(MID(SUBSTITUTE(Tasks[[#This Row],[_Resources]],",",REPT(" ",99)),1,99)))</f>
        <v/>
      </c>
      <c r="DE168" s="42" t="str">
        <f aca="false">IF(Tasks[[#This Row],[_Res1Text]]="","",TRIM(MID(SUBSTITUTE(Tasks[[#This Row],[_Resources]],",",REPT(" ",99)),100,99)))</f>
        <v/>
      </c>
      <c r="DF168" s="42" t="str">
        <f aca="false">IF(Tasks[[#This Row],[_Res2Text]]="","",TRIM(MID(SUBSTITUTE(Tasks[[#This Row],[_Resources]],",",REPT(" ",99)),199,99)))</f>
        <v/>
      </c>
      <c r="DG168" s="42" t="str">
        <f aca="false">IF(Tasks[[#This Row],[_Res3Text]]="","",TRIM(MID(SUBSTITUTE(Tasks[[#This Row],[_Resources]],",",REPT(" ",99)),298,99)))</f>
        <v/>
      </c>
      <c r="DH168" s="42" t="n">
        <f aca="false">IF(Tasks[[#This Row],[_Res1Text]]="",0,IFERROR(MATCH(TRIM(LEFT(Tasks[[#This Row],[_Res1Text]],FIND("[",Tasks[[#This Row],[_Res1Text]]&amp;"[")-1)),res_Name,0),IFERROR(MATCH(TRIM(LEFT(Tasks[[#This Row],[_Res1Text]],FIND("[",Tasks[[#This Row],[_Res1Text]]&amp;"[")-1)),res_Initials,0),0)))</f>
        <v>0</v>
      </c>
      <c r="DI168" s="42" t="n">
        <f aca="false">IF(Tasks[[#This Row],[_Res2Text]]="",0,IFERROR(MATCH(TRIM(LEFT(Tasks[[#This Row],[_Res2Text]],FIND("[",Tasks[[#This Row],[_Res2Text]]&amp;"[")-1)),res_Name,0),IFERROR(MATCH(TRIM(LEFT(Tasks[[#This Row],[_Res2Text]],FIND("[",Tasks[[#This Row],[_Res2Text]]&amp;"[")-1)),res_Initials,0),0)))</f>
        <v>0</v>
      </c>
      <c r="DJ168" s="42" t="n">
        <f aca="false">IF(Tasks[[#This Row],[_Res3Text]]="",0,IFERROR(MATCH(TRIM(LEFT(Tasks[[#This Row],[_Res3Text]],FIND("[",Tasks[[#This Row],[_Res3Text]]&amp;"[")-1)),res_Name,0),IFERROR(MATCH(TRIM(LEFT(Tasks[[#This Row],[_Res3Text]],FIND("[",Tasks[[#This Row],[_Res3Text]]&amp;"[")-1)),res_Initials,0),0)))</f>
        <v>0</v>
      </c>
      <c r="DK168" s="42" t="n">
        <f aca="false">IF(Tasks[[#This Row],[_Res4Text]]="",0,IFERROR(MATCH(TRIM(LEFT(Tasks[[#This Row],[_Res4Text]],FIND("[",Tasks[[#This Row],[_Res4Text]]&amp;"[")-1)),res_Name,0),IFERROR(MATCH(TRIM(LEFT(Tasks[[#This Row],[_Res4Text]],FIND("[",Tasks[[#This Row],[_Res4Text]]&amp;"[")-1)),res_Initials,0),0)))</f>
        <v>0</v>
      </c>
      <c r="DL168" s="42" t="str">
        <f aca="false">IF(Tasks[[#This Row],[_Res1Text]]="","",IF(Tasks[[#This Row],[_Res1Row]]&gt;0,INDEX(res_Name,Tasks[[#This Row],[_Res1Row]]),TRIM(LEFT(Tasks[[#This Row],[_Res1Text]],FIND("[",Tasks[[#This Row],[_Res1Text]]&amp;"[")-1))))</f>
        <v/>
      </c>
      <c r="DM16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8" s="42" t="n">
        <f aca="false">IF(NOT(Tasks[[#This Row],[_IsLeaf]]=1),0,(Tasks[[#This Row],[_Resource1]]&lt;&gt;"")+(Tasks[[#This Row],[_Res2]]&lt;&gt;"")+(Tasks[[#This Row],[_Res3]]&lt;&gt;"")+(Tasks[[#This Row],[_Res4]]&lt;&gt;""))</f>
        <v>0</v>
      </c>
      <c r="DO168" s="42" t="str">
        <f aca="false">IF(Tasks[[#This Row],[_Res2Text]]="","",IF(Tasks[[#This Row],[_Res2Row]]&gt;0,INDEX(res_Name,Tasks[[#This Row],[_Res2Row]]),TRIM(LEFT(Tasks[[#This Row],[_Res2Text]],FIND("[",Tasks[[#This Row],[_Res2Text]]&amp;"[")-1))))</f>
        <v/>
      </c>
      <c r="DP16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8" s="42" t="n">
        <f aca="false">IF(OR(NOT(Tasks[[#This Row],[_IsLeaf]]=1),Tasks[[#This Row],[_Res2Row]]=0),0,N(Tasks[[#This Row],[_Days]])*HoursPerDay*IF(Tasks[[#This Row],[_Res2Units]]="",DefaultUnits,Tasks[[#This Row],[_Res2Units]]))</f>
        <v>0</v>
      </c>
      <c r="DR168" s="42" t="n">
        <f aca="false">IF(AND(AND(Tasks[[#This Row],[_IsLeaf]]=1,Tasks[[#This Row],[_LeafTotalWork]]&gt;0),Tasks[[#This Row],[_Res2Work]]&gt;0),Tasks[[#This Row],[_Res2Work]]/(Tasks[[#This Row],[_FinishWorkday]]-Tasks[[#This Row],[_StartWorkday]]+1),0)</f>
        <v>0</v>
      </c>
      <c r="DS168" s="42" t="n">
        <f aca="false">Tasks[[#This Row],[_Res2WorkPerWD]]*MAX(0,Tasks[[#This Row],[_StartWorkday]]-1)</f>
        <v>0</v>
      </c>
      <c r="DT168" s="42" t="n">
        <f aca="false">Tasks[[#This Row],[_Res2Work]]*Tasks[[#This Row],[_LeafProgress]]</f>
        <v>0</v>
      </c>
      <c r="DU168" s="42" t="str">
        <f aca="false">IF(Tasks[[#This Row],[_Res3Text]]="","",IF(Tasks[[#This Row],[_Res3Row]]&gt;0,INDEX(res_Name,Tasks[[#This Row],[_Res3Row]]),TRIM(LEFT(Tasks[[#This Row],[_Res3Text]],FIND("[",Tasks[[#This Row],[_Res3Text]]&amp;"[")-1))))</f>
        <v/>
      </c>
      <c r="DV16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8" s="42" t="n">
        <f aca="false">IF(OR(NOT(Tasks[[#This Row],[_IsLeaf]]=1),Tasks[[#This Row],[_Res3Row]]=0),0,N(Tasks[[#This Row],[_Days]])*HoursPerDay*IF(Tasks[[#This Row],[_Res3Units]]="",DefaultUnits,Tasks[[#This Row],[_Res3Units]]))</f>
        <v>0</v>
      </c>
      <c r="DX168" s="42" t="n">
        <f aca="false">IF(AND(AND(Tasks[[#This Row],[_IsLeaf]]=1,Tasks[[#This Row],[_LeafTotalWork]]&gt;0),Tasks[[#This Row],[_Res3Work]]&gt;0),Tasks[[#This Row],[_Res3Work]]/(Tasks[[#This Row],[_FinishWorkday]]-Tasks[[#This Row],[_StartWorkday]]+1),0)</f>
        <v>0</v>
      </c>
      <c r="DY168" s="42" t="n">
        <f aca="false">Tasks[[#This Row],[_Res3WorkPerWD]]*MAX(0,Tasks[[#This Row],[_StartWorkday]]-1)</f>
        <v>0</v>
      </c>
      <c r="DZ168" s="42" t="n">
        <f aca="false">Tasks[[#This Row],[_Res3Work]]*Tasks[[#This Row],[_LeafProgress]]</f>
        <v>0</v>
      </c>
      <c r="EA168" s="42" t="str">
        <f aca="false">IF(Tasks[[#This Row],[_Res4Text]]="","",IF(Tasks[[#This Row],[_Res4Row]]&gt;0,INDEX(res_Name,Tasks[[#This Row],[_Res4Row]]),TRIM(LEFT(Tasks[[#This Row],[_Res4Text]],FIND("[",Tasks[[#This Row],[_Res4Text]]&amp;"[")-1))))</f>
        <v/>
      </c>
      <c r="EB16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8" s="42" t="n">
        <f aca="false">IF(OR(NOT(Tasks[[#This Row],[_IsLeaf]]=1),Tasks[[#This Row],[_Res4Row]]=0),0,N(Tasks[[#This Row],[_Days]])*HoursPerDay*IF(Tasks[[#This Row],[_Res4Units]]="",DefaultUnits,Tasks[[#This Row],[_Res4Units]]))</f>
        <v>0</v>
      </c>
      <c r="ED168" s="42" t="n">
        <f aca="false">IF(AND(AND(Tasks[[#This Row],[_IsLeaf]]=1,Tasks[[#This Row],[_LeafTotalWork]]&gt;0),Tasks[[#This Row],[_Res4Work]]&gt;0),Tasks[[#This Row],[_Res4Work]]/(Tasks[[#This Row],[_FinishWorkday]]-Tasks[[#This Row],[_StartWorkday]]+1),0)</f>
        <v>0</v>
      </c>
      <c r="EE168" s="42" t="n">
        <f aca="false">Tasks[[#This Row],[_Res4WorkPerWD]]*MAX(0,Tasks[[#This Row],[_StartWorkday]]-1)</f>
        <v>0</v>
      </c>
      <c r="EF168" s="42" t="n">
        <f aca="false">Tasks[[#This Row],[_Res4Work]]*Tasks[[#This Row],[_LeafProgress]]</f>
        <v>0</v>
      </c>
      <c r="EG168" s="42" t="n">
        <f aca="false">IF(ISNUMBER(Tasks[[#This Row],[% Complete]]),Tasks[[#This Row],[% Complete]],IF(Tasks[[#This Row],[Stage]]="",0,IFERROR(INDEX(stg_Pct,MATCH(Tasks[[#This Row],[Stage]],stg_Name,0)),0)))</f>
        <v>0</v>
      </c>
      <c r="EH168" s="42" t="n">
        <f aca="false">IF(NOT(Tasks[[#This Row],[_IsLeaf]]=1),0,IF(N(Tasks[[#This Row],[Actual Finish]])&gt;0,1,MIN(1,Tasks[[#This Row],[_Pct]])))</f>
        <v>0</v>
      </c>
      <c r="EI168" s="42" t="n">
        <f aca="false">IF(OR(NOT(Tasks[[#This Row],[_IsLeaf]]=1),Tasks[[#This Row],[_Res1Row]]=0),0,N(Tasks[[#This Row],[_Days]])*HoursPerDay*IF(Tasks[[#This Row],[_Units1]]="",DefaultUnits,Tasks[[#This Row],[_Units1]]))</f>
        <v>0</v>
      </c>
      <c r="EJ168" s="42" t="n">
        <f aca="false">Tasks[[#This Row],[_LeafWork]]+Tasks[[#This Row],[_Res2Work]]+Tasks[[#This Row],[_Res3Work]]+Tasks[[#This Row],[_Res4Work]]</f>
        <v>0</v>
      </c>
      <c r="EK16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8" s="42" t="n">
        <f aca="false">IF(NOT(Tasks[[#This Row],[_IsLeaf]]=1),0,MAX(_xlfn.MAXIFS(Tasks[_Row],Tasks[_Pred1UID],Tasks[[#This Row],[UID]]),_xlfn.MAXIFS(Tasks[_Row],Tasks[_Pred2UID],Tasks[[#This Row],[UID]]),_xlfn.MAXIFS(Tasks[_Row],Tasks[_Pred3UID],Tasks[[#This Row],[UID]]),_xlfn.MAXIFS(Tasks[_Row],Tasks[_Pred4UID],Tasks[[#This Row],[UID]])))</f>
        <v>0</v>
      </c>
      <c r="ET16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8" s="89" t="str">
        <f aca="false">IF(NOT(Tasks[[#This Row],[_IsLeaf]]=1),"",IF(N(Tasks[[#This Row],[_Days]])&lt;=0,Tasks[[#This Row],[_LeafLateFinish]],WORKDAY.INTL(Tasks[[#This Row],[_LeafLateFinish]],-(Tasks[[#This Row],[_Days]]-1),WorkWeek,Holidays)))</f>
        <v/>
      </c>
      <c r="EW16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8" s="88" t="b">
        <f aca="false">AND(Tasks[[#This Row],[_IsLeaf]]=1,Tasks[[#This Row],[_LeafProgress]]&lt;1,N(Tasks[[#This Row],[_LeafTotalSlack]])&lt;=CriticalSlackDays)</f>
        <v>0</v>
      </c>
      <c r="EY168" s="42" t="n">
        <f aca="false">IF(AND(Tasks[[#This Row],[_IsLeaf]]=1,Tasks[[#This Row],[_ConstraintCode]]=1,Tasks[[#This Row],[Mode]]&lt;&gt;"Manual",N(Tasks[[#This Row],[Actual Start]])=0),MAX(0,N(Tasks[[#This Row],[Free Slack]])),0)</f>
        <v>0</v>
      </c>
      <c r="EZ168" s="89" t="str">
        <f aca="false">IF(NOT(Tasks[[#This Row],[_IsLeaf]]=1),"",IF(Tasks[[#This Row],[_AlapShift]]=0,Tasks[[#This Row],[_LeafCalcStart]],WORKDAY.INTL(Tasks[[#This Row],[_LeafCalcStart]],Tasks[[#This Row],[_AlapShift]],WorkWeek,Holidays)))</f>
        <v/>
      </c>
      <c r="FA168" s="89" t="str">
        <f aca="false">IF(NOT(Tasks[[#This Row],[_IsLeaf]]=1),"",IF(Tasks[[#This Row],[_AlapShift]]=0,Tasks[[#This Row],[_LeafCalcFinish]],WORKDAY.INTL(Tasks[[#This Row],[_LeafCalcFinish]],Tasks[[#This Row],[_AlapShift]],WorkWeek,Holidays)))</f>
        <v/>
      </c>
      <c r="FB168" s="89" t="str">
        <f aca="false">IF(NOT(Tasks[[#This Row],[_IsLeaf]]=1),"",IF(Tasks[[#This Row],[_AlapShift]]=0,Tasks[[#This Row],[_LeafFcstStart]],WORKDAY.INTL(Tasks[[#This Row],[_LeafFcstStart]],Tasks[[#This Row],[_AlapShift]],WorkWeek,Holidays)))</f>
        <v/>
      </c>
      <c r="FC168" s="89" t="str">
        <f aca="false">IF(NOT(Tasks[[#This Row],[_IsLeaf]]=1),"",IF(Tasks[[#This Row],[_AlapShift]]=0,Tasks[[#This Row],[_LeafFcstFinish]],WORKDAY.INTL(Tasks[[#This Row],[_LeafFcstFinish]],Tasks[[#This Row],[_AlapShift]],WorkWeek,Holidays)))</f>
        <v/>
      </c>
      <c r="FD168" s="89" t="str">
        <f aca="false">IF(Tasks[[#This Row],[Task Name]]="","",IF(Tasks[[#This Row],[_IsSummary]],MIN(INDEX(Tasks[_ShownCalcStart],Tasks[[#This Row],[_Row]]+1):INDEX(Tasks[_ShownCalcStart],Tasks[[#This Row],[_Row]]+Tasks[[#This Row],[_Descendants]])),Tasks[[#This Row],[_ShownCalcStart]]))</f>
        <v/>
      </c>
      <c r="FE168" s="89" t="str">
        <f aca="false">IF(Tasks[[#This Row],[Task Name]]="","",IF(Tasks[[#This Row],[_IsSummary]],MAX(INDEX(Tasks[_ShownCalcFinish],Tasks[[#This Row],[_Row]]+1):INDEX(Tasks[_ShownCalcFinish],Tasks[[#This Row],[_Row]]+Tasks[[#This Row],[_Descendants]])),Tasks[[#This Row],[_ShownCalcFinish]]))</f>
        <v/>
      </c>
      <c r="FF16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8" s="42" t="n">
        <f aca="false">IF(AND(Tasks[[#This Row],[_IsLeaf]]=1,Tasks[[#This Row],[_LeafTotalWork]]&gt;0),NETWORKDAYS.INTL(ProjectStart,Tasks[[#This Row],[_ShownFcstStart]],WorkWeek,Holidays),0)</f>
        <v>0</v>
      </c>
      <c r="FS168" s="42" t="n">
        <f aca="false">IF(AND(Tasks[[#This Row],[_IsLeaf]]=1,Tasks[[#This Row],[_LeafTotalWork]]&gt;0),MAX(Tasks[[#This Row],[_StartWorkday]],NETWORKDAYS.INTL(ProjectStart,Tasks[[#This Row],[_ShownFcstFinish]],WorkWeek,Holidays)),0)</f>
        <v>0</v>
      </c>
      <c r="FT168" s="42" t="n">
        <f aca="false">IF(AND(Tasks[[#This Row],[_IsLeaf]]=1,Tasks[[#This Row],[_LeafTotalWork]]&gt;0),Tasks[[#This Row],[_LeafWork]]/(Tasks[[#This Row],[_FinishWorkday]]-Tasks[[#This Row],[_StartWorkday]]+1),0)</f>
        <v>0</v>
      </c>
      <c r="FU168" s="42" t="n">
        <f aca="false">Tasks[[#This Row],[_WorkPerWorkday]]*(Tasks[[#This Row],[_StartWorkday]]-1)</f>
        <v>-0</v>
      </c>
      <c r="FV168" s="42" t="n">
        <f aca="false">IF(Tasks[[#This Row],[_IsLeaf]]=1,MAX(N(Tasks[[#This Row],[_Days]]),0.1),0)</f>
        <v>0</v>
      </c>
      <c r="FW168" s="42" t="n">
        <f aca="false">Tasks[[#This Row],[_WeightDur]]*Tasks[[#This Row],[_LeafProgress]]</f>
        <v>0</v>
      </c>
      <c r="FX168" s="42" t="n">
        <f aca="false">Tasks[[#This Row],[_WeightDur]]*Tasks[[#This Row],[_PlannedPct]]</f>
        <v>0</v>
      </c>
      <c r="FY16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8" s="42" t="str">
        <f aca="false">IF(AND(Tasks[[#This Row],[_IsLeaf]]=1,N(Tasks[[#This Row],[_Days]])=0,Tasks[[#This Row],[_LeafProgress]]&lt;1),Tasks[[#This Row],[_ShownFcstFinish]]+Tasks[[#This Row],[_Row]]/100000,"")</f>
        <v/>
      </c>
      <c r="GA16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8" s="42" t="str">
        <f aca="false">IF(Tasks[[#This Row],[Task Name]]="","",LEFT(Tasks[[#This Row],[WBS]],FIND(".",Tasks[[#This Row],[WBS]]&amp;".")-1))</f>
        <v/>
      </c>
      <c r="GC168" s="42" t="str">
        <f aca="false">IF(AND(Tasks[[#This Row],[Task Name]]&lt;&gt;"",Tasks[[#This Row],[_Level]]=1),Tasks[[#This Row],[_Row]],"")</f>
        <v/>
      </c>
      <c r="GD168" s="42" t="str">
        <f aca="false">IF(AND(Tasks[[#This Row],[_IsLeaf]]=1,N(Tasks[[#This Row],[_Days]])=0),Tasks[[#This Row],[Planned Finish]]+Tasks[[#This Row],[_Row]]/100000,"")</f>
        <v/>
      </c>
      <c r="GE168" s="42" t="str">
        <f aca="false">IF(AND(Tasks[[#This Row],[_IsLeaf]]=1,Tasks[[#This Row],[_LeafProgress]]&lt;1,OR(N(Tasks[[#This Row],[Finish Var]])&gt;0,Tasks[[#This Row],[Status]]="Late Start")),MAX(0,Tasks[[#This Row],[Finish Var]])+1-Tasks[[#This Row],[_Row]]/1000000,"")</f>
        <v/>
      </c>
      <c r="GF168" s="42" t="str">
        <f aca="false">IF(AND(Tasks[[#This Row],[_IsLeaf]]=1,N(Tasks[[#This Row],[Actual Start]])=0,Tasks[[#This Row],[_ShownFcstStart]]&gt;=StatusDate,Tasks[[#This Row],[_ShownFcstStart]]&lt;=LookaheadEnd),Tasks[[#This Row],[_ShownFcstStart]]+Tasks[[#This Row],[_Row]]/100000,"")</f>
        <v/>
      </c>
      <c r="GG168" s="42" t="str">
        <f aca="false">IF(AND(Tasks[[#This Row],[_IsLeaf]]=1,Tasks[[#This Row],[_LeafProgress]]&lt;1,Tasks[[#This Row],[_ShownFcstFinish]]&gt;=StatusDate,Tasks[[#This Row],[_ShownFcstFinish]]&lt;=LookaheadEnd),Tasks[[#This Row],[_ShownFcstFinish]]+Tasks[[#This Row],[_Row]]/100000,"")</f>
        <v/>
      </c>
      <c r="GH168" s="42" t="str">
        <f aca="false">IF(Tasks[[#This Row],[_LeafCritical]],Tasks[[#This Row],[_ShownFcstStart]]+Tasks[[#This Row],[_Row]]/100000,"")</f>
        <v/>
      </c>
      <c r="GI168" s="42" t="n">
        <f aca="false">Tasks[[#This Row],[_LeafWork]]*Tasks[[#This Row],[_LeafProgress]]</f>
        <v>0</v>
      </c>
      <c r="GJ168" s="89" t="str">
        <f aca="false">IF(AND(Tasks[[#This Row],[_IsLeaf]]=1,Tasks[[#This Row],[_LeafProgress]]&gt;=1),IF(N(Tasks[[#This Row],[Actual Finish]])&gt;0,Tasks[[#This Row],[Actual Finish]],Tasks[[#This Row],[_ShownFcstFinish]]),"")</f>
        <v/>
      </c>
      <c r="GK168" s="42" t="n">
        <f aca="false">IF(Tasks[[#This Row],[_IsLeaf]]=1,N(Tasks[[#This Row],[Story Points]]),0)</f>
        <v>0</v>
      </c>
      <c r="GL168" s="42" t="str">
        <f aca="false">""</f>
        <v/>
      </c>
      <c r="GM168" s="88" t="b">
        <f aca="false">IF(Tasks[[#This Row],[Task Name]]="",FALSE(),AND(Tasks[[#This Row],[_IsLeaf]]=1,N(Tasks[[#This Row],[_Days]])=0))</f>
        <v>0</v>
      </c>
      <c r="GN168" s="89" t="n">
        <f aca="false">IF(Tasks[[#This Row],[Task Name]]="",0,IF(AND(Tasks[[#This Row],[_IsLeaf]]=1,NOT(Tasks[[#This Row],[_IsMilestone]]),N(Tasks[[#This Row],[Progress]])&gt;0),Tasks[[#This Row],[Start]],0))</f>
        <v>0</v>
      </c>
      <c r="GO168" s="89" t="n">
        <f aca="false">IF(Tasks[[#This Row],[_DoneFrom]]=0,0,IF(Tasks[[#This Row],[Progress]]&gt;=1,Tasks[[#This Row],[Finish]],MAX(Tasks[[#This Row],[_DoneFrom]],Tasks[[#This Row],[Start]]+ROUND((Tasks[[#This Row],[Finish]]-Tasks[[#This Row],[Start]]+1)*Tasks[[#This Row],[Progress]],0)-1)))</f>
        <v>0</v>
      </c>
      <c r="GP168" s="89" t="n">
        <f aca="false">IF(Tasks[[#This Row],[Task Name]]="",0,IF(OR(NOT(Tasks[[#This Row],[_IsLeaf]]=1),Tasks[[#This Row],[_IsMilestone]],N(Tasks[[#This Row],[Progress]])&gt;=1),0,IF(Tasks[[#This Row],[_DoneTo]]&gt;0,Tasks[[#This Row],[_DoneTo]]+1,Tasks[[#This Row],[Start]])))</f>
        <v>0</v>
      </c>
      <c r="GQ168" s="89" t="n">
        <f aca="false">IF(Tasks[[#This Row],[_RemFrom]]=0,0,Tasks[[#This Row],[Finish]])</f>
        <v>0</v>
      </c>
      <c r="GR168" s="88" t="b">
        <f aca="false">IF(Tasks[[#This Row],[Task Name]]="",FALSE(),OR(NOT(BaselineSet),N(Tasks[[#This Row],[Baseline Start]])&gt;0))</f>
        <v>0</v>
      </c>
      <c r="GS16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8" s="90" t="str">
        <f aca="false">IF(Tasks[[#This Row],[_IsLeaf]]=1,Tasks[[#This Row],[_Row]],"")</f>
        <v/>
      </c>
      <c r="GW168" s="90" t="str">
        <f aca="false">IFERROR(INDEX(Tasks[UID],SMALL(Tasks[_PickKey],Tasks[[#This Row],[_Row]]))&amp;" "&amp;INDEX(Tasks[Task Name],SMALL(Tasks[_PickKey],Tasks[[#This Row],[_Row]])),"")</f>
        <v/>
      </c>
      <c r="GX168" s="42" t="str">
        <f aca="false">IF(Tasks[[#This Row],[Task Name]]="","",IF(Tasks[[#This Row],[_IsSummary]],NETWORKDAYS.INTL(Tasks[[#This Row],[Start]],Tasks[[#This Row],[Finish]],WorkWeek,Holidays),N(Tasks[[#This Row],[_Days]])))</f>
        <v/>
      </c>
    </row>
    <row r="169" customFormat="false" ht="15" hidden="false" customHeight="false" outlineLevel="0" collapsed="false">
      <c r="A169" s="21" t="str">
        <f aca="false">IF(Tasks[[#This Row],[Task Name]]="","",COUNTA(Tasks[[#Headers],[Task Name]]:Tasks[[#This Row],[Task Name]])-1)</f>
        <v/>
      </c>
      <c r="B169" s="22" t="n">
        <v>177</v>
      </c>
      <c r="C169" s="22"/>
      <c r="D169" s="23"/>
      <c r="E169" s="22"/>
      <c r="F169" s="23"/>
      <c r="G169" s="22"/>
      <c r="H169" s="22"/>
      <c r="I169" s="23"/>
      <c r="J169" s="22"/>
      <c r="K169" s="22"/>
      <c r="L169" s="23"/>
      <c r="M169" s="22"/>
      <c r="N169" s="22"/>
      <c r="O169" s="23"/>
      <c r="P169" s="22"/>
      <c r="Q169" s="22"/>
      <c r="R169" s="23"/>
      <c r="S169" s="23"/>
      <c r="T169" s="83"/>
      <c r="U169" s="23"/>
      <c r="V169" s="83"/>
      <c r="W169" s="23"/>
      <c r="X169" s="83"/>
      <c r="Y169" s="23"/>
      <c r="Z169" s="83"/>
      <c r="AA169" s="23"/>
      <c r="AB169" s="23"/>
      <c r="AC169" s="7"/>
      <c r="AD169" s="7"/>
      <c r="AE169" s="62" t="str">
        <f aca="false">IF(Tasks[[#This Row],[Task Name]]="","",IF(Tasks[[#This Row],[_IsSummary]],MIN(INDEX(Tasks[_ShownFcstStart],Tasks[[#This Row],[_Row]]+1):INDEX(Tasks[_ShownFcstStart],Tasks[[#This Row],[_Row]]+Tasks[[#This Row],[_Descendants]])),Tasks[[#This Row],[_ShownFcstStart]]))</f>
        <v/>
      </c>
      <c r="AF169" s="62" t="str">
        <f aca="false">IF(Tasks[[#This Row],[Task Name]]="","",IF(Tasks[[#This Row],[_IsSummary]],MAX(INDEX(Tasks[_ShownFcstFinish],Tasks[[#This Row],[_Row]]+1):INDEX(Tasks[_ShownFcstFinish],Tasks[[#This Row],[_Row]]+Tasks[[#This Row],[_Descendants]])),Tasks[[#This Row],[_ShownFcstFinish]]))</f>
        <v/>
      </c>
      <c r="AG169" s="21" t="str">
        <f aca="false">""</f>
        <v/>
      </c>
      <c r="AH169" s="23"/>
      <c r="AI16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69" s="7"/>
      <c r="AK169" s="22"/>
      <c r="AL169" s="23"/>
      <c r="AM169" s="7"/>
      <c r="AN169" s="46" t="str">
        <f aca="false">IF(Tasks[[#This Row],[Task Name]]="","",IF(Tasks[[#This Row],[Finish]]&gt;=Tasks[[#This Row],[Planned Finish]],NETWORKDAYS.INTL(Tasks[[#This Row],[Planned Finish]],Tasks[[#This Row],[Finish]],WorkWeek,Holidays)-1,1-NETWORKDAYS.INTL(Tasks[[#This Row],[Finish]],Tasks[[#This Row],[Planned Finish]],WorkWeek,Holidays)))</f>
        <v/>
      </c>
      <c r="AO169" s="21" t="str">
        <f aca="false">IF(Tasks[[#This Row],[Task Name]]="","",IF(Tasks[[#This Row],[Progress]]&gt;=1,"Complete",IF(OR(N(Tasks[[#This Row],[Actual Start]])&gt;0,Tasks[[#This Row],[Progress]]&gt;0),IF(Tasks[[#This Row],[Finish Var]]&gt;0,"Behind","In Progress"),IF(Tasks[[#This Row],[Planned Start]]&lt;StatusDate,"Late Start","Not Started"))))</f>
        <v/>
      </c>
      <c r="AP169" s="21" t="str">
        <f aca="false">IF(Tasks[[#This Row],[Task Name]]="","",IF(IF(Tasks[[#This Row],[_IsSummary]],COUNTIF(INDEX(Tasks[_LeafCritical],Tasks[[#This Row],[_Row]]+1):INDEX(Tasks[_LeafCritical],Tasks[[#This Row],[_Row]]+Tasks[[#This Row],[_Descendants]]),TRUE())&gt;0,Tasks[[#This Row],[_LeafCritical]]),"Yes",""))</f>
        <v/>
      </c>
      <c r="AQ169" s="62" t="str">
        <f aca="false">IF(Tasks[[#This Row],[Task Name]]="","",IF(N(Tasks[[#This Row],[Baseline Start]])&gt;0,Tasks[[#This Row],[Baseline Start]],Tasks[[#This Row],[_CalcStart]]))</f>
        <v/>
      </c>
      <c r="AR169" s="62" t="str">
        <f aca="false">IF(Tasks[[#This Row],[Task Name]]="","",IF(N(Tasks[[#This Row],[Baseline Finish]])&gt;0,Tasks[[#This Row],[Baseline Finish]],Tasks[[#This Row],[_CalcFinish]]))</f>
        <v/>
      </c>
      <c r="AS169" s="46" t="str">
        <f aca="false">IF(Tasks[[#This Row],[Task Name]]="","",IF(Tasks[[#This Row],[Start]]&gt;=Tasks[[#This Row],[Planned Start]],NETWORKDAYS.INTL(Tasks[[#This Row],[Planned Start]],Tasks[[#This Row],[Start]],WorkWeek,Holidays)-1,1-NETWORKDAYS.INTL(Tasks[[#This Row],[Start]],Tasks[[#This Row],[Planned Start]],WorkWeek,Holidays)))</f>
        <v/>
      </c>
      <c r="AT169" s="62" t="str">
        <f aca="false">IF(Tasks[[#This Row],[Task Name]]="","",IF(Tasks[[#This Row],[_IsSummary]],MIN(INDEX(Tasks[_LeafLateStart],Tasks[[#This Row],[_Row]]+1):INDEX(Tasks[_LeafLateStart],Tasks[[#This Row],[_Row]]+Tasks[[#This Row],[_Descendants]])),Tasks[[#This Row],[_LeafLateStart]]))</f>
        <v/>
      </c>
      <c r="AU169" s="62" t="str">
        <f aca="false">IF(Tasks[[#This Row],[Task Name]]="","",IF(Tasks[[#This Row],[_IsSummary]],MAX(INDEX(Tasks[_LeafLateFinish],Tasks[[#This Row],[_Row]]+1):INDEX(Tasks[_LeafLateFinish],Tasks[[#This Row],[_Row]]+Tasks[[#This Row],[_Descendants]])),Tasks[[#This Row],[_LeafLateFinish]]))</f>
        <v/>
      </c>
      <c r="AV169" s="46" t="str">
        <f aca="false">IF(Tasks[[#This Row],[Task Name]]="","",IF(Tasks[[#This Row],[_IsSummary]],MIN(INDEX(Tasks[_LeafTotalSlack],Tasks[[#This Row],[_Row]]+1):INDEX(Tasks[_LeafTotalSlack],Tasks[[#This Row],[_Row]]+Tasks[[#This Row],[_Descendants]])),Tasks[[#This Row],[_LeafTotalSlack]]))</f>
        <v/>
      </c>
      <c r="AW16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4"/>
      <c r="BA16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t="str">
        <f aca="false">IF(Tasks[[#This Row],[Task Name]]="","",IF(Tasks[[#This Row],[_Level]]&lt;=OutlineShowLevel,"Yes","No"))</f>
        <v/>
      </c>
      <c r="BE169" s="85" t="str">
        <f aca="false">IF(Tasks[[#This Row],[Task Name]]="","",IF(Tasks[[#This Row],[_IsSummary]],SUM(INDEX(Tasks[_LeafTotalWork],Tasks[[#This Row],[_Row]]+1):INDEX(Tasks[_LeafTotalWork],Tasks[[#This Row],[_Row]]+Tasks[[#This Row],[_Descendants]])),Tasks[[#This Row],[_LeafTotalWork]]))</f>
        <v/>
      </c>
      <c r="BF169" s="23"/>
      <c r="BG16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t="str">
        <f aca="false">""</f>
        <v/>
      </c>
      <c r="BI169" s="86"/>
      <c r="BJ169" s="22"/>
      <c r="BK169" s="46" t="str">
        <f aca="false">IF(OR(Tasks[[#This Row],[Task Name]]="",Tasks[[#This Row],[Baseline Duration]]=""),"",Tasks[[#This Row],[_SpanDays]]-N(Tasks[[#This Row],[Baseline Duration]]))</f>
        <v/>
      </c>
      <c r="BL169" s="85" t="str">
        <f aca="false">IF(OR(Tasks[[#This Row],[Task Name]]="",Tasks[[#This Row],[Baseline Work]]=""),"",Tasks[[#This Row],[Work]]-N(Tasks[[#This Row],[Baseline Work]]))</f>
        <v/>
      </c>
      <c r="BM169" s="62" t="str">
        <f aca="false">IF(Tasks[[#This Row],[Task Name]]="","",IF(OR(TakeBaseline="Yes",N(Tasks[[#This Row],[Baseline Start]])=0),Tasks[[#This Row],[Start]],Tasks[[#This Row],[Baseline Start]]))</f>
        <v/>
      </c>
      <c r="BN169" s="62" t="str">
        <f aca="false">IF(Tasks[[#This Row],[Task Name]]="","",IF(OR(TakeBaseline="Yes",N(Tasks[[#This Row],[Baseline Finish]])=0),Tasks[[#This Row],[Finish]],Tasks[[#This Row],[Baseline Finish]]))</f>
        <v/>
      </c>
      <c r="BO169" s="21" t="str">
        <f aca="false">IF(Tasks[[#This Row],[Task Name]]="","",IF(OR(TakeBaseline="Yes",N(Tasks[[#This Row],[Baseline Duration]])=0),Tasks[[#This Row],[_SpanDays]],Tasks[[#This Row],[Baseline Duration]]))</f>
        <v/>
      </c>
      <c r="BP169" s="85" t="str">
        <f aca="false">IF(Tasks[[#This Row],[Task Name]]="","",IF(OR(TakeBaseline="Yes",N(Tasks[[#This Row],[Baseline Work]])=0),Tasks[[#This Row],[Work]],Tasks[[#This Row],[Baseline Work]]))</f>
        <v/>
      </c>
      <c r="BQ169" s="7"/>
      <c r="BR169" s="7"/>
      <c r="BS169" s="22"/>
      <c r="BT169" s="87"/>
      <c r="BU169" s="42" t="str">
        <f aca="false">IF(Tasks[[#This Row],[Task Name]]="","",MAX(1,N(Tasks[[#This Row],[Level]])))</f>
        <v/>
      </c>
      <c r="BV169" s="42" t="n">
        <f aca="false">ROW()-ROW(Tasks[[#Headers],[ID]])</f>
        <v>164</v>
      </c>
      <c r="BW169" s="42" t="n">
        <f aca="false">IF(OR(Tasks[[#This Row],[Task Name]]="",Tasks[[#This Row],[_Level]]&lt;=1),0,IFERROR(LOOKUP(2,1/(Tasks[[#Headers],[_Level]]:Tasks[[#This Row],[_Level]]=Tasks[[#This Row],[_Level]]-1),ROW(Tasks[[#Headers],[_Level]]:Tasks[[#This Row],[_Level]])),0))</f>
        <v>0</v>
      </c>
      <c r="BX169" s="42" t="n">
        <f aca="false">IFERROR(N(INDEX(Tasks[_Level],Tasks[[#This Row],[_Row]]+1)),0)</f>
        <v>0</v>
      </c>
      <c r="BY169" s="88" t="b">
        <f aca="false">AND(Tasks[[#This Row],[Task Name]]&lt;&gt;"",Tasks[[#This Row],[_NextLevel]]&gt;Tasks[[#This Row],[_Level]])</f>
        <v>0</v>
      </c>
      <c r="BZ169" s="42" t="n">
        <f aca="false">IF(Tasks[[#This Row],[_IsSummary]],COUNTIF(Tasks[WBS],Tasks[[#This Row],[WBS]]&amp;".*"),0)</f>
        <v>0</v>
      </c>
      <c r="CA169" s="42" t="n">
        <f aca="false">IF(AND(Tasks[[#This Row],[Task Name]]&lt;&gt;"",NOT(Tasks[[#This Row],[_IsSummary]])),1,0)</f>
        <v>0</v>
      </c>
      <c r="CB169" s="42" t="n">
        <f aca="false">IF(N(Tasks[[#This Row],[_Pred1UID]])=0,0,IFERROR(MATCH(Tasks[[#This Row],[_Pred1UID]],Tasks[UID],0),-1))</f>
        <v>0</v>
      </c>
      <c r="CC169" s="42" t="n">
        <f aca="false">IF(N(Tasks[[#This Row],[_Pred2UID]])=0,0,IFERROR(MATCH(Tasks[[#This Row],[_Pred2UID]],Tasks[UID],0),-1))</f>
        <v>0</v>
      </c>
      <c r="CD169" s="42" t="n">
        <f aca="false">IF(N(Tasks[[#This Row],[_Pred3UID]])=0,0,IFERROR(MATCH(Tasks[[#This Row],[_Pred3UID]],Tasks[UID],0),-1))</f>
        <v>0</v>
      </c>
      <c r="CE169" s="42" t="n">
        <f aca="false">IF(N(Tasks[[#This Row],[_Pred4UID]])=0,0,IFERROR(MATCH(Tasks[[#This Row],[_Pred4UID]],Tasks[UID],0),-1))</f>
        <v>0</v>
      </c>
      <c r="CF16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6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69" s="89" t="n">
        <f aca="false">IF(OR(Tasks[[#This Row],[_ConstraintCode]]=2,Tasks[[#This Row],[_ConstraintCode]]=3,Tasks[[#This Row],[_ConstraintCode]]=4,Tasks[[#This Row],[_ConstraintCode]]=6),Tasks[[#This Row],[_ConstraintStart]],0)</f>
        <v>0</v>
      </c>
      <c r="CI169" s="89" t="n">
        <f aca="false">IF(OR(Tasks[[#This Row],[_ConstraintCode]]=2,Tasks[[#This Row],[_ConstraintCode]]=3,Tasks[[#This Row],[_ConstraintCode]]=5,Tasks[[#This Row],[_ConstraintCode]]=7),Tasks[[#This Row],[_ConstraintStart]],2958465)</f>
        <v>2958465</v>
      </c>
      <c r="CJ16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69" s="89" t="str">
        <f aca="false">IF(NOT(Tasks[[#This Row],[_IsLeaf]]=1),"",IF(N(Tasks[[#This Row],[_Days]])&lt;=0,Tasks[[#This Row],[_LeafCalcStart]],WORKDAY.INTL(Tasks[[#This Row],[_LeafCalcStart]],Tasks[[#This Row],[_Days]]-1,WorkWeek,Holidays)))</f>
        <v/>
      </c>
      <c r="CL16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6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69" s="42" t="str">
        <f aca="false">IF(Tasks[[#This Row],[_Predecessors]]="","",TRIM(MID(SUBSTITUTE(SUBSTITUTE(SUBSTITUTE(UPPER(Tasks[[#This Row],[_Predecessors]]),";",",")," ",""),",",REPT(" ",99)),1,99)))</f>
        <v/>
      </c>
      <c r="CO169" s="42" t="str">
        <f aca="false">IF(Tasks[[#This Row],[_Pred1Text]]="","",IFERROR(VALUE(LEFT(Tasks[[#This Row],[_Pred1Text]],MIN(FIND("F",Tasks[[#This Row],[_Pred1Text]]&amp;"F"),FIND("S",Tasks[[#This Row],[_Pred1Text]]&amp;"S"),FIND("+",Tasks[[#This Row],[_Pred1Text]]&amp;"+"),FIND("-",Tasks[[#This Row],[_Pred1Text]]&amp;"-"))-1)),""))</f>
        <v/>
      </c>
      <c r="CP16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6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69" s="42" t="str">
        <f aca="false">IF(Tasks[[#This Row],[_Pred1Text]]="","",TRIM(MID(SUBSTITUTE(SUBSTITUTE(SUBSTITUTE(UPPER(Tasks[[#This Row],[_Predecessors]]),";",",")," ",""),",",REPT(" ",99)),100,99)))</f>
        <v/>
      </c>
      <c r="CS169" s="42" t="str">
        <f aca="false">IF(Tasks[[#This Row],[_Pred2Text]]="","",IFERROR(VALUE(LEFT(Tasks[[#This Row],[_Pred2Text]],MIN(FIND("F",Tasks[[#This Row],[_Pred2Text]]&amp;"F"),FIND("S",Tasks[[#This Row],[_Pred2Text]]&amp;"S"),FIND("+",Tasks[[#This Row],[_Pred2Text]]&amp;"+"),FIND("-",Tasks[[#This Row],[_Pred2Text]]&amp;"-"))-1)),""))</f>
        <v/>
      </c>
      <c r="CT16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6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69" s="42" t="str">
        <f aca="false">IF(Tasks[[#This Row],[_Pred2Text]]="","",TRIM(MID(SUBSTITUTE(SUBSTITUTE(SUBSTITUTE(UPPER(Tasks[[#This Row],[_Predecessors]]),";",",")," ",""),",",REPT(" ",99)),199,99)))</f>
        <v/>
      </c>
      <c r="CW169" s="42" t="str">
        <f aca="false">IF(Tasks[[#This Row],[_Pred3Text]]="","",IFERROR(VALUE(LEFT(Tasks[[#This Row],[_Pred3Text]],MIN(FIND("F",Tasks[[#This Row],[_Pred3Text]]&amp;"F"),FIND("S",Tasks[[#This Row],[_Pred3Text]]&amp;"S"),FIND("+",Tasks[[#This Row],[_Pred3Text]]&amp;"+"),FIND("-",Tasks[[#This Row],[_Pred3Text]]&amp;"-"))-1)),""))</f>
        <v/>
      </c>
      <c r="CX16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6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69" s="42" t="str">
        <f aca="false">IF(Tasks[[#This Row],[_Pred3Text]]="","",TRIM(MID(SUBSTITUTE(SUBSTITUTE(SUBSTITUTE(UPPER(Tasks[[#This Row],[_Predecessors]]),";",",")," ",""),",",REPT(" ",99)),298,99)))</f>
        <v/>
      </c>
      <c r="DA169" s="42" t="str">
        <f aca="false">IF(Tasks[[#This Row],[_Pred4Text]]="","",IFERROR(VALUE(LEFT(Tasks[[#This Row],[_Pred4Text]],MIN(FIND("F",Tasks[[#This Row],[_Pred4Text]]&amp;"F"),FIND("S",Tasks[[#This Row],[_Pred4Text]]&amp;"S"),FIND("+",Tasks[[#This Row],[_Pred4Text]]&amp;"+"),FIND("-",Tasks[[#This Row],[_Pred4Text]]&amp;"-"))-1)),""))</f>
        <v/>
      </c>
      <c r="DB16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6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69" s="42" t="str">
        <f aca="false">IF(OR(Tasks[[#This Row],[Task Name]]="",Tasks[[#This Row],[_Resources]]=""),"",TRIM(MID(SUBSTITUTE(Tasks[[#This Row],[_Resources]],",",REPT(" ",99)),1,99)))</f>
        <v/>
      </c>
      <c r="DE169" s="42" t="str">
        <f aca="false">IF(Tasks[[#This Row],[_Res1Text]]="","",TRIM(MID(SUBSTITUTE(Tasks[[#This Row],[_Resources]],",",REPT(" ",99)),100,99)))</f>
        <v/>
      </c>
      <c r="DF169" s="42" t="str">
        <f aca="false">IF(Tasks[[#This Row],[_Res2Text]]="","",TRIM(MID(SUBSTITUTE(Tasks[[#This Row],[_Resources]],",",REPT(" ",99)),199,99)))</f>
        <v/>
      </c>
      <c r="DG169" s="42" t="str">
        <f aca="false">IF(Tasks[[#This Row],[_Res3Text]]="","",TRIM(MID(SUBSTITUTE(Tasks[[#This Row],[_Resources]],",",REPT(" ",99)),298,99)))</f>
        <v/>
      </c>
      <c r="DH169" s="42" t="n">
        <f aca="false">IF(Tasks[[#This Row],[_Res1Text]]="",0,IFERROR(MATCH(TRIM(LEFT(Tasks[[#This Row],[_Res1Text]],FIND("[",Tasks[[#This Row],[_Res1Text]]&amp;"[")-1)),res_Name,0),IFERROR(MATCH(TRIM(LEFT(Tasks[[#This Row],[_Res1Text]],FIND("[",Tasks[[#This Row],[_Res1Text]]&amp;"[")-1)),res_Initials,0),0)))</f>
        <v>0</v>
      </c>
      <c r="DI169" s="42" t="n">
        <f aca="false">IF(Tasks[[#This Row],[_Res2Text]]="",0,IFERROR(MATCH(TRIM(LEFT(Tasks[[#This Row],[_Res2Text]],FIND("[",Tasks[[#This Row],[_Res2Text]]&amp;"[")-1)),res_Name,0),IFERROR(MATCH(TRIM(LEFT(Tasks[[#This Row],[_Res2Text]],FIND("[",Tasks[[#This Row],[_Res2Text]]&amp;"[")-1)),res_Initials,0),0)))</f>
        <v>0</v>
      </c>
      <c r="DJ169" s="42" t="n">
        <f aca="false">IF(Tasks[[#This Row],[_Res3Text]]="",0,IFERROR(MATCH(TRIM(LEFT(Tasks[[#This Row],[_Res3Text]],FIND("[",Tasks[[#This Row],[_Res3Text]]&amp;"[")-1)),res_Name,0),IFERROR(MATCH(TRIM(LEFT(Tasks[[#This Row],[_Res3Text]],FIND("[",Tasks[[#This Row],[_Res3Text]]&amp;"[")-1)),res_Initials,0),0)))</f>
        <v>0</v>
      </c>
      <c r="DK169" s="42" t="n">
        <f aca="false">IF(Tasks[[#This Row],[_Res4Text]]="",0,IFERROR(MATCH(TRIM(LEFT(Tasks[[#This Row],[_Res4Text]],FIND("[",Tasks[[#This Row],[_Res4Text]]&amp;"[")-1)),res_Name,0),IFERROR(MATCH(TRIM(LEFT(Tasks[[#This Row],[_Res4Text]],FIND("[",Tasks[[#This Row],[_Res4Text]]&amp;"[")-1)),res_Initials,0),0)))</f>
        <v>0</v>
      </c>
      <c r="DL169" s="42" t="str">
        <f aca="false">IF(Tasks[[#This Row],[_Res1Text]]="","",IF(Tasks[[#This Row],[_Res1Row]]&gt;0,INDEX(res_Name,Tasks[[#This Row],[_Res1Row]]),TRIM(LEFT(Tasks[[#This Row],[_Res1Text]],FIND("[",Tasks[[#This Row],[_Res1Text]]&amp;"[")-1))))</f>
        <v/>
      </c>
      <c r="DM16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69" s="42" t="n">
        <f aca="false">IF(NOT(Tasks[[#This Row],[_IsLeaf]]=1),0,(Tasks[[#This Row],[_Resource1]]&lt;&gt;"")+(Tasks[[#This Row],[_Res2]]&lt;&gt;"")+(Tasks[[#This Row],[_Res3]]&lt;&gt;"")+(Tasks[[#This Row],[_Res4]]&lt;&gt;""))</f>
        <v>0</v>
      </c>
      <c r="DO169" s="42" t="str">
        <f aca="false">IF(Tasks[[#This Row],[_Res2Text]]="","",IF(Tasks[[#This Row],[_Res2Row]]&gt;0,INDEX(res_Name,Tasks[[#This Row],[_Res2Row]]),TRIM(LEFT(Tasks[[#This Row],[_Res2Text]],FIND("[",Tasks[[#This Row],[_Res2Text]]&amp;"[")-1))))</f>
        <v/>
      </c>
      <c r="DP16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69" s="42" t="n">
        <f aca="false">IF(OR(NOT(Tasks[[#This Row],[_IsLeaf]]=1),Tasks[[#This Row],[_Res2Row]]=0),0,N(Tasks[[#This Row],[_Days]])*HoursPerDay*IF(Tasks[[#This Row],[_Res2Units]]="",DefaultUnits,Tasks[[#This Row],[_Res2Units]]))</f>
        <v>0</v>
      </c>
      <c r="DR169" s="42" t="n">
        <f aca="false">IF(AND(AND(Tasks[[#This Row],[_IsLeaf]]=1,Tasks[[#This Row],[_LeafTotalWork]]&gt;0),Tasks[[#This Row],[_Res2Work]]&gt;0),Tasks[[#This Row],[_Res2Work]]/(Tasks[[#This Row],[_FinishWorkday]]-Tasks[[#This Row],[_StartWorkday]]+1),0)</f>
        <v>0</v>
      </c>
      <c r="DS169" s="42" t="n">
        <f aca="false">Tasks[[#This Row],[_Res2WorkPerWD]]*MAX(0,Tasks[[#This Row],[_StartWorkday]]-1)</f>
        <v>0</v>
      </c>
      <c r="DT169" s="42" t="n">
        <f aca="false">Tasks[[#This Row],[_Res2Work]]*Tasks[[#This Row],[_LeafProgress]]</f>
        <v>0</v>
      </c>
      <c r="DU169" s="42" t="str">
        <f aca="false">IF(Tasks[[#This Row],[_Res3Text]]="","",IF(Tasks[[#This Row],[_Res3Row]]&gt;0,INDEX(res_Name,Tasks[[#This Row],[_Res3Row]]),TRIM(LEFT(Tasks[[#This Row],[_Res3Text]],FIND("[",Tasks[[#This Row],[_Res3Text]]&amp;"[")-1))))</f>
        <v/>
      </c>
      <c r="DV16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69" s="42" t="n">
        <f aca="false">IF(OR(NOT(Tasks[[#This Row],[_IsLeaf]]=1),Tasks[[#This Row],[_Res3Row]]=0),0,N(Tasks[[#This Row],[_Days]])*HoursPerDay*IF(Tasks[[#This Row],[_Res3Units]]="",DefaultUnits,Tasks[[#This Row],[_Res3Units]]))</f>
        <v>0</v>
      </c>
      <c r="DX169" s="42" t="n">
        <f aca="false">IF(AND(AND(Tasks[[#This Row],[_IsLeaf]]=1,Tasks[[#This Row],[_LeafTotalWork]]&gt;0),Tasks[[#This Row],[_Res3Work]]&gt;0),Tasks[[#This Row],[_Res3Work]]/(Tasks[[#This Row],[_FinishWorkday]]-Tasks[[#This Row],[_StartWorkday]]+1),0)</f>
        <v>0</v>
      </c>
      <c r="DY169" s="42" t="n">
        <f aca="false">Tasks[[#This Row],[_Res3WorkPerWD]]*MAX(0,Tasks[[#This Row],[_StartWorkday]]-1)</f>
        <v>0</v>
      </c>
      <c r="DZ169" s="42" t="n">
        <f aca="false">Tasks[[#This Row],[_Res3Work]]*Tasks[[#This Row],[_LeafProgress]]</f>
        <v>0</v>
      </c>
      <c r="EA169" s="42" t="str">
        <f aca="false">IF(Tasks[[#This Row],[_Res4Text]]="","",IF(Tasks[[#This Row],[_Res4Row]]&gt;0,INDEX(res_Name,Tasks[[#This Row],[_Res4Row]]),TRIM(LEFT(Tasks[[#This Row],[_Res4Text]],FIND("[",Tasks[[#This Row],[_Res4Text]]&amp;"[")-1))))</f>
        <v/>
      </c>
      <c r="EB16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69" s="42" t="n">
        <f aca="false">IF(OR(NOT(Tasks[[#This Row],[_IsLeaf]]=1),Tasks[[#This Row],[_Res4Row]]=0),0,N(Tasks[[#This Row],[_Days]])*HoursPerDay*IF(Tasks[[#This Row],[_Res4Units]]="",DefaultUnits,Tasks[[#This Row],[_Res4Units]]))</f>
        <v>0</v>
      </c>
      <c r="ED169" s="42" t="n">
        <f aca="false">IF(AND(AND(Tasks[[#This Row],[_IsLeaf]]=1,Tasks[[#This Row],[_LeafTotalWork]]&gt;0),Tasks[[#This Row],[_Res4Work]]&gt;0),Tasks[[#This Row],[_Res4Work]]/(Tasks[[#This Row],[_FinishWorkday]]-Tasks[[#This Row],[_StartWorkday]]+1),0)</f>
        <v>0</v>
      </c>
      <c r="EE169" s="42" t="n">
        <f aca="false">Tasks[[#This Row],[_Res4WorkPerWD]]*MAX(0,Tasks[[#This Row],[_StartWorkday]]-1)</f>
        <v>0</v>
      </c>
      <c r="EF169" s="42" t="n">
        <f aca="false">Tasks[[#This Row],[_Res4Work]]*Tasks[[#This Row],[_LeafProgress]]</f>
        <v>0</v>
      </c>
      <c r="EG169" s="42" t="n">
        <f aca="false">IF(ISNUMBER(Tasks[[#This Row],[% Complete]]),Tasks[[#This Row],[% Complete]],IF(Tasks[[#This Row],[Stage]]="",0,IFERROR(INDEX(stg_Pct,MATCH(Tasks[[#This Row],[Stage]],stg_Name,0)),0)))</f>
        <v>0</v>
      </c>
      <c r="EH169" s="42" t="n">
        <f aca="false">IF(NOT(Tasks[[#This Row],[_IsLeaf]]=1),0,IF(N(Tasks[[#This Row],[Actual Finish]])&gt;0,1,MIN(1,Tasks[[#This Row],[_Pct]])))</f>
        <v>0</v>
      </c>
      <c r="EI169" s="42" t="n">
        <f aca="false">IF(OR(NOT(Tasks[[#This Row],[_IsLeaf]]=1),Tasks[[#This Row],[_Res1Row]]=0),0,N(Tasks[[#This Row],[_Days]])*HoursPerDay*IF(Tasks[[#This Row],[_Units1]]="",DefaultUnits,Tasks[[#This Row],[_Units1]]))</f>
        <v>0</v>
      </c>
      <c r="EJ169" s="42" t="n">
        <f aca="false">Tasks[[#This Row],[_LeafWork]]+Tasks[[#This Row],[_Res2Work]]+Tasks[[#This Row],[_Res3Work]]+Tasks[[#This Row],[_Res4Work]]</f>
        <v>0</v>
      </c>
      <c r="EK16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6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6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6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6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6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6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6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69" s="42" t="n">
        <f aca="false">IF(NOT(Tasks[[#This Row],[_IsLeaf]]=1),0,MAX(_xlfn.MAXIFS(Tasks[_Row],Tasks[_Pred1UID],Tasks[[#This Row],[UID]]),_xlfn.MAXIFS(Tasks[_Row],Tasks[_Pred2UID],Tasks[[#This Row],[UID]]),_xlfn.MAXIFS(Tasks[_Row],Tasks[_Pred3UID],Tasks[[#This Row],[UID]]),_xlfn.MAXIFS(Tasks[_Row],Tasks[_Pred4UID],Tasks[[#This Row],[UID]])))</f>
        <v>0</v>
      </c>
      <c r="ET16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6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69" s="89" t="str">
        <f aca="false">IF(NOT(Tasks[[#This Row],[_IsLeaf]]=1),"",IF(N(Tasks[[#This Row],[_Days]])&lt;=0,Tasks[[#This Row],[_LeafLateFinish]],WORKDAY.INTL(Tasks[[#This Row],[_LeafLateFinish]],-(Tasks[[#This Row],[_Days]]-1),WorkWeek,Holidays)))</f>
        <v/>
      </c>
      <c r="EW16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69" s="88" t="b">
        <f aca="false">AND(Tasks[[#This Row],[_IsLeaf]]=1,Tasks[[#This Row],[_LeafProgress]]&lt;1,N(Tasks[[#This Row],[_LeafTotalSlack]])&lt;=CriticalSlackDays)</f>
        <v>0</v>
      </c>
      <c r="EY169" s="42" t="n">
        <f aca="false">IF(AND(Tasks[[#This Row],[_IsLeaf]]=1,Tasks[[#This Row],[_ConstraintCode]]=1,Tasks[[#This Row],[Mode]]&lt;&gt;"Manual",N(Tasks[[#This Row],[Actual Start]])=0),MAX(0,N(Tasks[[#This Row],[Free Slack]])),0)</f>
        <v>0</v>
      </c>
      <c r="EZ169" s="89" t="str">
        <f aca="false">IF(NOT(Tasks[[#This Row],[_IsLeaf]]=1),"",IF(Tasks[[#This Row],[_AlapShift]]=0,Tasks[[#This Row],[_LeafCalcStart]],WORKDAY.INTL(Tasks[[#This Row],[_LeafCalcStart]],Tasks[[#This Row],[_AlapShift]],WorkWeek,Holidays)))</f>
        <v/>
      </c>
      <c r="FA169" s="89" t="str">
        <f aca="false">IF(NOT(Tasks[[#This Row],[_IsLeaf]]=1),"",IF(Tasks[[#This Row],[_AlapShift]]=0,Tasks[[#This Row],[_LeafCalcFinish]],WORKDAY.INTL(Tasks[[#This Row],[_LeafCalcFinish]],Tasks[[#This Row],[_AlapShift]],WorkWeek,Holidays)))</f>
        <v/>
      </c>
      <c r="FB169" s="89" t="str">
        <f aca="false">IF(NOT(Tasks[[#This Row],[_IsLeaf]]=1),"",IF(Tasks[[#This Row],[_AlapShift]]=0,Tasks[[#This Row],[_LeafFcstStart]],WORKDAY.INTL(Tasks[[#This Row],[_LeafFcstStart]],Tasks[[#This Row],[_AlapShift]],WorkWeek,Holidays)))</f>
        <v/>
      </c>
      <c r="FC169" s="89" t="str">
        <f aca="false">IF(NOT(Tasks[[#This Row],[_IsLeaf]]=1),"",IF(Tasks[[#This Row],[_AlapShift]]=0,Tasks[[#This Row],[_LeafFcstFinish]],WORKDAY.INTL(Tasks[[#This Row],[_LeafFcstFinish]],Tasks[[#This Row],[_AlapShift]],WorkWeek,Holidays)))</f>
        <v/>
      </c>
      <c r="FD169" s="89" t="str">
        <f aca="false">IF(Tasks[[#This Row],[Task Name]]="","",IF(Tasks[[#This Row],[_IsSummary]],MIN(INDEX(Tasks[_ShownCalcStart],Tasks[[#This Row],[_Row]]+1):INDEX(Tasks[_ShownCalcStart],Tasks[[#This Row],[_Row]]+Tasks[[#This Row],[_Descendants]])),Tasks[[#This Row],[_ShownCalcStart]]))</f>
        <v/>
      </c>
      <c r="FE169" s="89" t="str">
        <f aca="false">IF(Tasks[[#This Row],[Task Name]]="","",IF(Tasks[[#This Row],[_IsSummary]],MAX(INDEX(Tasks[_ShownCalcFinish],Tasks[[#This Row],[_Row]]+1):INDEX(Tasks[_ShownCalcFinish],Tasks[[#This Row],[_Row]]+Tasks[[#This Row],[_Descendants]])),Tasks[[#This Row],[_ShownCalcFinish]]))</f>
        <v/>
      </c>
      <c r="FF16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6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6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6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6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6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6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6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6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6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6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6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69" s="42" t="n">
        <f aca="false">IF(AND(Tasks[[#This Row],[_IsLeaf]]=1,Tasks[[#This Row],[_LeafTotalWork]]&gt;0),NETWORKDAYS.INTL(ProjectStart,Tasks[[#This Row],[_ShownFcstStart]],WorkWeek,Holidays),0)</f>
        <v>0</v>
      </c>
      <c r="FS169" s="42" t="n">
        <f aca="false">IF(AND(Tasks[[#This Row],[_IsLeaf]]=1,Tasks[[#This Row],[_LeafTotalWork]]&gt;0),MAX(Tasks[[#This Row],[_StartWorkday]],NETWORKDAYS.INTL(ProjectStart,Tasks[[#This Row],[_ShownFcstFinish]],WorkWeek,Holidays)),0)</f>
        <v>0</v>
      </c>
      <c r="FT169" s="42" t="n">
        <f aca="false">IF(AND(Tasks[[#This Row],[_IsLeaf]]=1,Tasks[[#This Row],[_LeafTotalWork]]&gt;0),Tasks[[#This Row],[_LeafWork]]/(Tasks[[#This Row],[_FinishWorkday]]-Tasks[[#This Row],[_StartWorkday]]+1),0)</f>
        <v>0</v>
      </c>
      <c r="FU169" s="42" t="n">
        <f aca="false">Tasks[[#This Row],[_WorkPerWorkday]]*(Tasks[[#This Row],[_StartWorkday]]-1)</f>
        <v>-0</v>
      </c>
      <c r="FV169" s="42" t="n">
        <f aca="false">IF(Tasks[[#This Row],[_IsLeaf]]=1,MAX(N(Tasks[[#This Row],[_Days]]),0.1),0)</f>
        <v>0</v>
      </c>
      <c r="FW169" s="42" t="n">
        <f aca="false">Tasks[[#This Row],[_WeightDur]]*Tasks[[#This Row],[_LeafProgress]]</f>
        <v>0</v>
      </c>
      <c r="FX169" s="42" t="n">
        <f aca="false">Tasks[[#This Row],[_WeightDur]]*Tasks[[#This Row],[_PlannedPct]]</f>
        <v>0</v>
      </c>
      <c r="FY16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69" s="42" t="str">
        <f aca="false">IF(AND(Tasks[[#This Row],[_IsLeaf]]=1,N(Tasks[[#This Row],[_Days]])=0,Tasks[[#This Row],[_LeafProgress]]&lt;1),Tasks[[#This Row],[_ShownFcstFinish]]+Tasks[[#This Row],[_Row]]/100000,"")</f>
        <v/>
      </c>
      <c r="GA16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69" s="42" t="str">
        <f aca="false">IF(Tasks[[#This Row],[Task Name]]="","",LEFT(Tasks[[#This Row],[WBS]],FIND(".",Tasks[[#This Row],[WBS]]&amp;".")-1))</f>
        <v/>
      </c>
      <c r="GC169" s="42" t="str">
        <f aca="false">IF(AND(Tasks[[#This Row],[Task Name]]&lt;&gt;"",Tasks[[#This Row],[_Level]]=1),Tasks[[#This Row],[_Row]],"")</f>
        <v/>
      </c>
      <c r="GD169" s="42" t="str">
        <f aca="false">IF(AND(Tasks[[#This Row],[_IsLeaf]]=1,N(Tasks[[#This Row],[_Days]])=0),Tasks[[#This Row],[Planned Finish]]+Tasks[[#This Row],[_Row]]/100000,"")</f>
        <v/>
      </c>
      <c r="GE169" s="42" t="str">
        <f aca="false">IF(AND(Tasks[[#This Row],[_IsLeaf]]=1,Tasks[[#This Row],[_LeafProgress]]&lt;1,OR(N(Tasks[[#This Row],[Finish Var]])&gt;0,Tasks[[#This Row],[Status]]="Late Start")),MAX(0,Tasks[[#This Row],[Finish Var]])+1-Tasks[[#This Row],[_Row]]/1000000,"")</f>
        <v/>
      </c>
      <c r="GF169" s="42" t="str">
        <f aca="false">IF(AND(Tasks[[#This Row],[_IsLeaf]]=1,N(Tasks[[#This Row],[Actual Start]])=0,Tasks[[#This Row],[_ShownFcstStart]]&gt;=StatusDate,Tasks[[#This Row],[_ShownFcstStart]]&lt;=LookaheadEnd),Tasks[[#This Row],[_ShownFcstStart]]+Tasks[[#This Row],[_Row]]/100000,"")</f>
        <v/>
      </c>
      <c r="GG169" s="42" t="str">
        <f aca="false">IF(AND(Tasks[[#This Row],[_IsLeaf]]=1,Tasks[[#This Row],[_LeafProgress]]&lt;1,Tasks[[#This Row],[_ShownFcstFinish]]&gt;=StatusDate,Tasks[[#This Row],[_ShownFcstFinish]]&lt;=LookaheadEnd),Tasks[[#This Row],[_ShownFcstFinish]]+Tasks[[#This Row],[_Row]]/100000,"")</f>
        <v/>
      </c>
      <c r="GH169" s="42" t="str">
        <f aca="false">IF(Tasks[[#This Row],[_LeafCritical]],Tasks[[#This Row],[_ShownFcstStart]]+Tasks[[#This Row],[_Row]]/100000,"")</f>
        <v/>
      </c>
      <c r="GI169" s="42" t="n">
        <f aca="false">Tasks[[#This Row],[_LeafWork]]*Tasks[[#This Row],[_LeafProgress]]</f>
        <v>0</v>
      </c>
      <c r="GJ169" s="89" t="str">
        <f aca="false">IF(AND(Tasks[[#This Row],[_IsLeaf]]=1,Tasks[[#This Row],[_LeafProgress]]&gt;=1),IF(N(Tasks[[#This Row],[Actual Finish]])&gt;0,Tasks[[#This Row],[Actual Finish]],Tasks[[#This Row],[_ShownFcstFinish]]),"")</f>
        <v/>
      </c>
      <c r="GK169" s="42" t="n">
        <f aca="false">IF(Tasks[[#This Row],[_IsLeaf]]=1,N(Tasks[[#This Row],[Story Points]]),0)</f>
        <v>0</v>
      </c>
      <c r="GL169" s="42" t="str">
        <f aca="false">""</f>
        <v/>
      </c>
      <c r="GM169" s="88" t="b">
        <f aca="false">IF(Tasks[[#This Row],[Task Name]]="",FALSE(),AND(Tasks[[#This Row],[_IsLeaf]]=1,N(Tasks[[#This Row],[_Days]])=0))</f>
        <v>0</v>
      </c>
      <c r="GN169" s="89" t="n">
        <f aca="false">IF(Tasks[[#This Row],[Task Name]]="",0,IF(AND(Tasks[[#This Row],[_IsLeaf]]=1,NOT(Tasks[[#This Row],[_IsMilestone]]),N(Tasks[[#This Row],[Progress]])&gt;0),Tasks[[#This Row],[Start]],0))</f>
        <v>0</v>
      </c>
      <c r="GO169" s="89" t="n">
        <f aca="false">IF(Tasks[[#This Row],[_DoneFrom]]=0,0,IF(Tasks[[#This Row],[Progress]]&gt;=1,Tasks[[#This Row],[Finish]],MAX(Tasks[[#This Row],[_DoneFrom]],Tasks[[#This Row],[Start]]+ROUND((Tasks[[#This Row],[Finish]]-Tasks[[#This Row],[Start]]+1)*Tasks[[#This Row],[Progress]],0)-1)))</f>
        <v>0</v>
      </c>
      <c r="GP169" s="89" t="n">
        <f aca="false">IF(Tasks[[#This Row],[Task Name]]="",0,IF(OR(NOT(Tasks[[#This Row],[_IsLeaf]]=1),Tasks[[#This Row],[_IsMilestone]],N(Tasks[[#This Row],[Progress]])&gt;=1),0,IF(Tasks[[#This Row],[_DoneTo]]&gt;0,Tasks[[#This Row],[_DoneTo]]+1,Tasks[[#This Row],[Start]])))</f>
        <v>0</v>
      </c>
      <c r="GQ169" s="89" t="n">
        <f aca="false">IF(Tasks[[#This Row],[_RemFrom]]=0,0,Tasks[[#This Row],[Finish]])</f>
        <v>0</v>
      </c>
      <c r="GR169" s="88" t="b">
        <f aca="false">IF(Tasks[[#This Row],[Task Name]]="",FALSE(),OR(NOT(BaselineSet),N(Tasks[[#This Row],[Baseline Start]])&gt;0))</f>
        <v>0</v>
      </c>
      <c r="GS16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6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6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69" s="90" t="str">
        <f aca="false">IF(Tasks[[#This Row],[_IsLeaf]]=1,Tasks[[#This Row],[_Row]],"")</f>
        <v/>
      </c>
      <c r="GW169" s="90" t="str">
        <f aca="false">IFERROR(INDEX(Tasks[UID],SMALL(Tasks[_PickKey],Tasks[[#This Row],[_Row]]))&amp;" "&amp;INDEX(Tasks[Task Name],SMALL(Tasks[_PickKey],Tasks[[#This Row],[_Row]])),"")</f>
        <v/>
      </c>
      <c r="GX169" s="42" t="str">
        <f aca="false">IF(Tasks[[#This Row],[Task Name]]="","",IF(Tasks[[#This Row],[_IsSummary]],NETWORKDAYS.INTL(Tasks[[#This Row],[Start]],Tasks[[#This Row],[Finish]],WorkWeek,Holidays),N(Tasks[[#This Row],[_Days]])))</f>
        <v/>
      </c>
    </row>
    <row r="170" customFormat="false" ht="15" hidden="false" customHeight="false" outlineLevel="0" collapsed="false">
      <c r="A170" s="21" t="str">
        <f aca="false">IF(Tasks[[#This Row],[Task Name]]="","",COUNTA(Tasks[[#Headers],[Task Name]]:Tasks[[#This Row],[Task Name]])-1)</f>
        <v/>
      </c>
      <c r="B170" s="22" t="n">
        <v>178</v>
      </c>
      <c r="C170" s="22"/>
      <c r="D170" s="23"/>
      <c r="E170" s="22"/>
      <c r="F170" s="23"/>
      <c r="G170" s="22"/>
      <c r="H170" s="22"/>
      <c r="I170" s="23"/>
      <c r="J170" s="22"/>
      <c r="K170" s="22"/>
      <c r="L170" s="23"/>
      <c r="M170" s="22"/>
      <c r="N170" s="22"/>
      <c r="O170" s="23"/>
      <c r="P170" s="22"/>
      <c r="Q170" s="22"/>
      <c r="R170" s="23"/>
      <c r="S170" s="23"/>
      <c r="T170" s="83"/>
      <c r="U170" s="23"/>
      <c r="V170" s="83"/>
      <c r="W170" s="23"/>
      <c r="X170" s="83"/>
      <c r="Y170" s="23"/>
      <c r="Z170" s="83"/>
      <c r="AA170" s="23"/>
      <c r="AB170" s="23"/>
      <c r="AC170" s="7"/>
      <c r="AD170" s="7"/>
      <c r="AE170" s="62" t="str">
        <f aca="false">IF(Tasks[[#This Row],[Task Name]]="","",IF(Tasks[[#This Row],[_IsSummary]],MIN(INDEX(Tasks[_ShownFcstStart],Tasks[[#This Row],[_Row]]+1):INDEX(Tasks[_ShownFcstStart],Tasks[[#This Row],[_Row]]+Tasks[[#This Row],[_Descendants]])),Tasks[[#This Row],[_ShownFcstStart]]))</f>
        <v/>
      </c>
      <c r="AF170" s="62" t="str">
        <f aca="false">IF(Tasks[[#This Row],[Task Name]]="","",IF(Tasks[[#This Row],[_IsSummary]],MAX(INDEX(Tasks[_ShownFcstFinish],Tasks[[#This Row],[_Row]]+1):INDEX(Tasks[_ShownFcstFinish],Tasks[[#This Row],[_Row]]+Tasks[[#This Row],[_Descendants]])),Tasks[[#This Row],[_ShownFcstFinish]]))</f>
        <v/>
      </c>
      <c r="AG170" s="21" t="str">
        <f aca="false">""</f>
        <v/>
      </c>
      <c r="AH170" s="23"/>
      <c r="AI17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0" s="7"/>
      <c r="AK170" s="22"/>
      <c r="AL170" s="23"/>
      <c r="AM170" s="7"/>
      <c r="AN170" s="46" t="str">
        <f aca="false">IF(Tasks[[#This Row],[Task Name]]="","",IF(Tasks[[#This Row],[Finish]]&gt;=Tasks[[#This Row],[Planned Finish]],NETWORKDAYS.INTL(Tasks[[#This Row],[Planned Finish]],Tasks[[#This Row],[Finish]],WorkWeek,Holidays)-1,1-NETWORKDAYS.INTL(Tasks[[#This Row],[Finish]],Tasks[[#This Row],[Planned Finish]],WorkWeek,Holidays)))</f>
        <v/>
      </c>
      <c r="AO170" s="21" t="str">
        <f aca="false">IF(Tasks[[#This Row],[Task Name]]="","",IF(Tasks[[#This Row],[Progress]]&gt;=1,"Complete",IF(OR(N(Tasks[[#This Row],[Actual Start]])&gt;0,Tasks[[#This Row],[Progress]]&gt;0),IF(Tasks[[#This Row],[Finish Var]]&gt;0,"Behind","In Progress"),IF(Tasks[[#This Row],[Planned Start]]&lt;StatusDate,"Late Start","Not Started"))))</f>
        <v/>
      </c>
      <c r="AP170" s="21" t="str">
        <f aca="false">IF(Tasks[[#This Row],[Task Name]]="","",IF(IF(Tasks[[#This Row],[_IsSummary]],COUNTIF(INDEX(Tasks[_LeafCritical],Tasks[[#This Row],[_Row]]+1):INDEX(Tasks[_LeafCritical],Tasks[[#This Row],[_Row]]+Tasks[[#This Row],[_Descendants]]),TRUE())&gt;0,Tasks[[#This Row],[_LeafCritical]]),"Yes",""))</f>
        <v/>
      </c>
      <c r="AQ170" s="62" t="str">
        <f aca="false">IF(Tasks[[#This Row],[Task Name]]="","",IF(N(Tasks[[#This Row],[Baseline Start]])&gt;0,Tasks[[#This Row],[Baseline Start]],Tasks[[#This Row],[_CalcStart]]))</f>
        <v/>
      </c>
      <c r="AR170" s="62" t="str">
        <f aca="false">IF(Tasks[[#This Row],[Task Name]]="","",IF(N(Tasks[[#This Row],[Baseline Finish]])&gt;0,Tasks[[#This Row],[Baseline Finish]],Tasks[[#This Row],[_CalcFinish]]))</f>
        <v/>
      </c>
      <c r="AS170" s="46" t="str">
        <f aca="false">IF(Tasks[[#This Row],[Task Name]]="","",IF(Tasks[[#This Row],[Start]]&gt;=Tasks[[#This Row],[Planned Start]],NETWORKDAYS.INTL(Tasks[[#This Row],[Planned Start]],Tasks[[#This Row],[Start]],WorkWeek,Holidays)-1,1-NETWORKDAYS.INTL(Tasks[[#This Row],[Start]],Tasks[[#This Row],[Planned Start]],WorkWeek,Holidays)))</f>
        <v/>
      </c>
      <c r="AT170" s="62" t="str">
        <f aca="false">IF(Tasks[[#This Row],[Task Name]]="","",IF(Tasks[[#This Row],[_IsSummary]],MIN(INDEX(Tasks[_LeafLateStart],Tasks[[#This Row],[_Row]]+1):INDEX(Tasks[_LeafLateStart],Tasks[[#This Row],[_Row]]+Tasks[[#This Row],[_Descendants]])),Tasks[[#This Row],[_LeafLateStart]]))</f>
        <v/>
      </c>
      <c r="AU170" s="62" t="str">
        <f aca="false">IF(Tasks[[#This Row],[Task Name]]="","",IF(Tasks[[#This Row],[_IsSummary]],MAX(INDEX(Tasks[_LeafLateFinish],Tasks[[#This Row],[_Row]]+1):INDEX(Tasks[_LeafLateFinish],Tasks[[#This Row],[_Row]]+Tasks[[#This Row],[_Descendants]])),Tasks[[#This Row],[_LeafLateFinish]]))</f>
        <v/>
      </c>
      <c r="AV170" s="46" t="str">
        <f aca="false">IF(Tasks[[#This Row],[Task Name]]="","",IF(Tasks[[#This Row],[_IsSummary]],MIN(INDEX(Tasks[_LeafTotalSlack],Tasks[[#This Row],[_Row]]+1):INDEX(Tasks[_LeafTotalSlack],Tasks[[#This Row],[_Row]]+Tasks[[#This Row],[_Descendants]])),Tasks[[#This Row],[_LeafTotalSlack]]))</f>
        <v/>
      </c>
      <c r="AW17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4"/>
      <c r="BA17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t="str">
        <f aca="false">IF(Tasks[[#This Row],[Task Name]]="","",IF(Tasks[[#This Row],[_Level]]&lt;=OutlineShowLevel,"Yes","No"))</f>
        <v/>
      </c>
      <c r="BE170" s="85" t="str">
        <f aca="false">IF(Tasks[[#This Row],[Task Name]]="","",IF(Tasks[[#This Row],[_IsSummary]],SUM(INDEX(Tasks[_LeafTotalWork],Tasks[[#This Row],[_Row]]+1):INDEX(Tasks[_LeafTotalWork],Tasks[[#This Row],[_Row]]+Tasks[[#This Row],[_Descendants]])),Tasks[[#This Row],[_LeafTotalWork]]))</f>
        <v/>
      </c>
      <c r="BF170" s="23"/>
      <c r="BG17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t="str">
        <f aca="false">""</f>
        <v/>
      </c>
      <c r="BI170" s="86"/>
      <c r="BJ170" s="22"/>
      <c r="BK170" s="46" t="str">
        <f aca="false">IF(OR(Tasks[[#This Row],[Task Name]]="",Tasks[[#This Row],[Baseline Duration]]=""),"",Tasks[[#This Row],[_SpanDays]]-N(Tasks[[#This Row],[Baseline Duration]]))</f>
        <v/>
      </c>
      <c r="BL170" s="85" t="str">
        <f aca="false">IF(OR(Tasks[[#This Row],[Task Name]]="",Tasks[[#This Row],[Baseline Work]]=""),"",Tasks[[#This Row],[Work]]-N(Tasks[[#This Row],[Baseline Work]]))</f>
        <v/>
      </c>
      <c r="BM170" s="62" t="str">
        <f aca="false">IF(Tasks[[#This Row],[Task Name]]="","",IF(OR(TakeBaseline="Yes",N(Tasks[[#This Row],[Baseline Start]])=0),Tasks[[#This Row],[Start]],Tasks[[#This Row],[Baseline Start]]))</f>
        <v/>
      </c>
      <c r="BN170" s="62" t="str">
        <f aca="false">IF(Tasks[[#This Row],[Task Name]]="","",IF(OR(TakeBaseline="Yes",N(Tasks[[#This Row],[Baseline Finish]])=0),Tasks[[#This Row],[Finish]],Tasks[[#This Row],[Baseline Finish]]))</f>
        <v/>
      </c>
      <c r="BO170" s="21" t="str">
        <f aca="false">IF(Tasks[[#This Row],[Task Name]]="","",IF(OR(TakeBaseline="Yes",N(Tasks[[#This Row],[Baseline Duration]])=0),Tasks[[#This Row],[_SpanDays]],Tasks[[#This Row],[Baseline Duration]]))</f>
        <v/>
      </c>
      <c r="BP170" s="85" t="str">
        <f aca="false">IF(Tasks[[#This Row],[Task Name]]="","",IF(OR(TakeBaseline="Yes",N(Tasks[[#This Row],[Baseline Work]])=0),Tasks[[#This Row],[Work]],Tasks[[#This Row],[Baseline Work]]))</f>
        <v/>
      </c>
      <c r="BQ170" s="7"/>
      <c r="BR170" s="7"/>
      <c r="BS170" s="22"/>
      <c r="BT170" s="87"/>
      <c r="BU170" s="42" t="str">
        <f aca="false">IF(Tasks[[#This Row],[Task Name]]="","",MAX(1,N(Tasks[[#This Row],[Level]])))</f>
        <v/>
      </c>
      <c r="BV170" s="42" t="n">
        <f aca="false">ROW()-ROW(Tasks[[#Headers],[ID]])</f>
        <v>165</v>
      </c>
      <c r="BW170" s="42" t="n">
        <f aca="false">IF(OR(Tasks[[#This Row],[Task Name]]="",Tasks[[#This Row],[_Level]]&lt;=1),0,IFERROR(LOOKUP(2,1/(Tasks[[#Headers],[_Level]]:Tasks[[#This Row],[_Level]]=Tasks[[#This Row],[_Level]]-1),ROW(Tasks[[#Headers],[_Level]]:Tasks[[#This Row],[_Level]])),0))</f>
        <v>0</v>
      </c>
      <c r="BX170" s="42" t="n">
        <f aca="false">IFERROR(N(INDEX(Tasks[_Level],Tasks[[#This Row],[_Row]]+1)),0)</f>
        <v>0</v>
      </c>
      <c r="BY170" s="88" t="b">
        <f aca="false">AND(Tasks[[#This Row],[Task Name]]&lt;&gt;"",Tasks[[#This Row],[_NextLevel]]&gt;Tasks[[#This Row],[_Level]])</f>
        <v>0</v>
      </c>
      <c r="BZ170" s="42" t="n">
        <f aca="false">IF(Tasks[[#This Row],[_IsSummary]],COUNTIF(Tasks[WBS],Tasks[[#This Row],[WBS]]&amp;".*"),0)</f>
        <v>0</v>
      </c>
      <c r="CA170" s="42" t="n">
        <f aca="false">IF(AND(Tasks[[#This Row],[Task Name]]&lt;&gt;"",NOT(Tasks[[#This Row],[_IsSummary]])),1,0)</f>
        <v>0</v>
      </c>
      <c r="CB170" s="42" t="n">
        <f aca="false">IF(N(Tasks[[#This Row],[_Pred1UID]])=0,0,IFERROR(MATCH(Tasks[[#This Row],[_Pred1UID]],Tasks[UID],0),-1))</f>
        <v>0</v>
      </c>
      <c r="CC170" s="42" t="n">
        <f aca="false">IF(N(Tasks[[#This Row],[_Pred2UID]])=0,0,IFERROR(MATCH(Tasks[[#This Row],[_Pred2UID]],Tasks[UID],0),-1))</f>
        <v>0</v>
      </c>
      <c r="CD170" s="42" t="n">
        <f aca="false">IF(N(Tasks[[#This Row],[_Pred3UID]])=0,0,IFERROR(MATCH(Tasks[[#This Row],[_Pred3UID]],Tasks[UID],0),-1))</f>
        <v>0</v>
      </c>
      <c r="CE170" s="42" t="n">
        <f aca="false">IF(N(Tasks[[#This Row],[_Pred4UID]])=0,0,IFERROR(MATCH(Tasks[[#This Row],[_Pred4UID]],Tasks[UID],0),-1))</f>
        <v>0</v>
      </c>
      <c r="CF17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0" s="89" t="n">
        <f aca="false">IF(OR(Tasks[[#This Row],[_ConstraintCode]]=2,Tasks[[#This Row],[_ConstraintCode]]=3,Tasks[[#This Row],[_ConstraintCode]]=4,Tasks[[#This Row],[_ConstraintCode]]=6),Tasks[[#This Row],[_ConstraintStart]],0)</f>
        <v>0</v>
      </c>
      <c r="CI170" s="89" t="n">
        <f aca="false">IF(OR(Tasks[[#This Row],[_ConstraintCode]]=2,Tasks[[#This Row],[_ConstraintCode]]=3,Tasks[[#This Row],[_ConstraintCode]]=5,Tasks[[#This Row],[_ConstraintCode]]=7),Tasks[[#This Row],[_ConstraintStart]],2958465)</f>
        <v>2958465</v>
      </c>
      <c r="CJ17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0" s="89" t="str">
        <f aca="false">IF(NOT(Tasks[[#This Row],[_IsLeaf]]=1),"",IF(N(Tasks[[#This Row],[_Days]])&lt;=0,Tasks[[#This Row],[_LeafCalcStart]],WORKDAY.INTL(Tasks[[#This Row],[_LeafCalcStart]],Tasks[[#This Row],[_Days]]-1,WorkWeek,Holidays)))</f>
        <v/>
      </c>
      <c r="CL17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0" s="42" t="str">
        <f aca="false">IF(Tasks[[#This Row],[_Predecessors]]="","",TRIM(MID(SUBSTITUTE(SUBSTITUTE(SUBSTITUTE(UPPER(Tasks[[#This Row],[_Predecessors]]),";",",")," ",""),",",REPT(" ",99)),1,99)))</f>
        <v/>
      </c>
      <c r="CO170" s="42" t="str">
        <f aca="false">IF(Tasks[[#This Row],[_Pred1Text]]="","",IFERROR(VALUE(LEFT(Tasks[[#This Row],[_Pred1Text]],MIN(FIND("F",Tasks[[#This Row],[_Pred1Text]]&amp;"F"),FIND("S",Tasks[[#This Row],[_Pred1Text]]&amp;"S"),FIND("+",Tasks[[#This Row],[_Pred1Text]]&amp;"+"),FIND("-",Tasks[[#This Row],[_Pred1Text]]&amp;"-"))-1)),""))</f>
        <v/>
      </c>
      <c r="CP17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0" s="42" t="str">
        <f aca="false">IF(Tasks[[#This Row],[_Pred1Text]]="","",TRIM(MID(SUBSTITUTE(SUBSTITUTE(SUBSTITUTE(UPPER(Tasks[[#This Row],[_Predecessors]]),";",",")," ",""),",",REPT(" ",99)),100,99)))</f>
        <v/>
      </c>
      <c r="CS170" s="42" t="str">
        <f aca="false">IF(Tasks[[#This Row],[_Pred2Text]]="","",IFERROR(VALUE(LEFT(Tasks[[#This Row],[_Pred2Text]],MIN(FIND("F",Tasks[[#This Row],[_Pred2Text]]&amp;"F"),FIND("S",Tasks[[#This Row],[_Pred2Text]]&amp;"S"),FIND("+",Tasks[[#This Row],[_Pred2Text]]&amp;"+"),FIND("-",Tasks[[#This Row],[_Pred2Text]]&amp;"-"))-1)),""))</f>
        <v/>
      </c>
      <c r="CT17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0" s="42" t="str">
        <f aca="false">IF(Tasks[[#This Row],[_Pred2Text]]="","",TRIM(MID(SUBSTITUTE(SUBSTITUTE(SUBSTITUTE(UPPER(Tasks[[#This Row],[_Predecessors]]),";",",")," ",""),",",REPT(" ",99)),199,99)))</f>
        <v/>
      </c>
      <c r="CW170" s="42" t="str">
        <f aca="false">IF(Tasks[[#This Row],[_Pred3Text]]="","",IFERROR(VALUE(LEFT(Tasks[[#This Row],[_Pred3Text]],MIN(FIND("F",Tasks[[#This Row],[_Pred3Text]]&amp;"F"),FIND("S",Tasks[[#This Row],[_Pred3Text]]&amp;"S"),FIND("+",Tasks[[#This Row],[_Pred3Text]]&amp;"+"),FIND("-",Tasks[[#This Row],[_Pred3Text]]&amp;"-"))-1)),""))</f>
        <v/>
      </c>
      <c r="CX17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0" s="42" t="str">
        <f aca="false">IF(Tasks[[#This Row],[_Pred3Text]]="","",TRIM(MID(SUBSTITUTE(SUBSTITUTE(SUBSTITUTE(UPPER(Tasks[[#This Row],[_Predecessors]]),";",",")," ",""),",",REPT(" ",99)),298,99)))</f>
        <v/>
      </c>
      <c r="DA170" s="42" t="str">
        <f aca="false">IF(Tasks[[#This Row],[_Pred4Text]]="","",IFERROR(VALUE(LEFT(Tasks[[#This Row],[_Pred4Text]],MIN(FIND("F",Tasks[[#This Row],[_Pred4Text]]&amp;"F"),FIND("S",Tasks[[#This Row],[_Pred4Text]]&amp;"S"),FIND("+",Tasks[[#This Row],[_Pred4Text]]&amp;"+"),FIND("-",Tasks[[#This Row],[_Pred4Text]]&amp;"-"))-1)),""))</f>
        <v/>
      </c>
      <c r="DB17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0" s="42" t="str">
        <f aca="false">IF(OR(Tasks[[#This Row],[Task Name]]="",Tasks[[#This Row],[_Resources]]=""),"",TRIM(MID(SUBSTITUTE(Tasks[[#This Row],[_Resources]],",",REPT(" ",99)),1,99)))</f>
        <v/>
      </c>
      <c r="DE170" s="42" t="str">
        <f aca="false">IF(Tasks[[#This Row],[_Res1Text]]="","",TRIM(MID(SUBSTITUTE(Tasks[[#This Row],[_Resources]],",",REPT(" ",99)),100,99)))</f>
        <v/>
      </c>
      <c r="DF170" s="42" t="str">
        <f aca="false">IF(Tasks[[#This Row],[_Res2Text]]="","",TRIM(MID(SUBSTITUTE(Tasks[[#This Row],[_Resources]],",",REPT(" ",99)),199,99)))</f>
        <v/>
      </c>
      <c r="DG170" s="42" t="str">
        <f aca="false">IF(Tasks[[#This Row],[_Res3Text]]="","",TRIM(MID(SUBSTITUTE(Tasks[[#This Row],[_Resources]],",",REPT(" ",99)),298,99)))</f>
        <v/>
      </c>
      <c r="DH170" s="42" t="n">
        <f aca="false">IF(Tasks[[#This Row],[_Res1Text]]="",0,IFERROR(MATCH(TRIM(LEFT(Tasks[[#This Row],[_Res1Text]],FIND("[",Tasks[[#This Row],[_Res1Text]]&amp;"[")-1)),res_Name,0),IFERROR(MATCH(TRIM(LEFT(Tasks[[#This Row],[_Res1Text]],FIND("[",Tasks[[#This Row],[_Res1Text]]&amp;"[")-1)),res_Initials,0),0)))</f>
        <v>0</v>
      </c>
      <c r="DI170" s="42" t="n">
        <f aca="false">IF(Tasks[[#This Row],[_Res2Text]]="",0,IFERROR(MATCH(TRIM(LEFT(Tasks[[#This Row],[_Res2Text]],FIND("[",Tasks[[#This Row],[_Res2Text]]&amp;"[")-1)),res_Name,0),IFERROR(MATCH(TRIM(LEFT(Tasks[[#This Row],[_Res2Text]],FIND("[",Tasks[[#This Row],[_Res2Text]]&amp;"[")-1)),res_Initials,0),0)))</f>
        <v>0</v>
      </c>
      <c r="DJ170" s="42" t="n">
        <f aca="false">IF(Tasks[[#This Row],[_Res3Text]]="",0,IFERROR(MATCH(TRIM(LEFT(Tasks[[#This Row],[_Res3Text]],FIND("[",Tasks[[#This Row],[_Res3Text]]&amp;"[")-1)),res_Name,0),IFERROR(MATCH(TRIM(LEFT(Tasks[[#This Row],[_Res3Text]],FIND("[",Tasks[[#This Row],[_Res3Text]]&amp;"[")-1)),res_Initials,0),0)))</f>
        <v>0</v>
      </c>
      <c r="DK170" s="42" t="n">
        <f aca="false">IF(Tasks[[#This Row],[_Res4Text]]="",0,IFERROR(MATCH(TRIM(LEFT(Tasks[[#This Row],[_Res4Text]],FIND("[",Tasks[[#This Row],[_Res4Text]]&amp;"[")-1)),res_Name,0),IFERROR(MATCH(TRIM(LEFT(Tasks[[#This Row],[_Res4Text]],FIND("[",Tasks[[#This Row],[_Res4Text]]&amp;"[")-1)),res_Initials,0),0)))</f>
        <v>0</v>
      </c>
      <c r="DL170" s="42" t="str">
        <f aca="false">IF(Tasks[[#This Row],[_Res1Text]]="","",IF(Tasks[[#This Row],[_Res1Row]]&gt;0,INDEX(res_Name,Tasks[[#This Row],[_Res1Row]]),TRIM(LEFT(Tasks[[#This Row],[_Res1Text]],FIND("[",Tasks[[#This Row],[_Res1Text]]&amp;"[")-1))))</f>
        <v/>
      </c>
      <c r="DM17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0" s="42" t="n">
        <f aca="false">IF(NOT(Tasks[[#This Row],[_IsLeaf]]=1),0,(Tasks[[#This Row],[_Resource1]]&lt;&gt;"")+(Tasks[[#This Row],[_Res2]]&lt;&gt;"")+(Tasks[[#This Row],[_Res3]]&lt;&gt;"")+(Tasks[[#This Row],[_Res4]]&lt;&gt;""))</f>
        <v>0</v>
      </c>
      <c r="DO170" s="42" t="str">
        <f aca="false">IF(Tasks[[#This Row],[_Res2Text]]="","",IF(Tasks[[#This Row],[_Res2Row]]&gt;0,INDEX(res_Name,Tasks[[#This Row],[_Res2Row]]),TRIM(LEFT(Tasks[[#This Row],[_Res2Text]],FIND("[",Tasks[[#This Row],[_Res2Text]]&amp;"[")-1))))</f>
        <v/>
      </c>
      <c r="DP17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0" s="42" t="n">
        <f aca="false">IF(OR(NOT(Tasks[[#This Row],[_IsLeaf]]=1),Tasks[[#This Row],[_Res2Row]]=0),0,N(Tasks[[#This Row],[_Days]])*HoursPerDay*IF(Tasks[[#This Row],[_Res2Units]]="",DefaultUnits,Tasks[[#This Row],[_Res2Units]]))</f>
        <v>0</v>
      </c>
      <c r="DR170" s="42" t="n">
        <f aca="false">IF(AND(AND(Tasks[[#This Row],[_IsLeaf]]=1,Tasks[[#This Row],[_LeafTotalWork]]&gt;0),Tasks[[#This Row],[_Res2Work]]&gt;0),Tasks[[#This Row],[_Res2Work]]/(Tasks[[#This Row],[_FinishWorkday]]-Tasks[[#This Row],[_StartWorkday]]+1),0)</f>
        <v>0</v>
      </c>
      <c r="DS170" s="42" t="n">
        <f aca="false">Tasks[[#This Row],[_Res2WorkPerWD]]*MAX(0,Tasks[[#This Row],[_StartWorkday]]-1)</f>
        <v>0</v>
      </c>
      <c r="DT170" s="42" t="n">
        <f aca="false">Tasks[[#This Row],[_Res2Work]]*Tasks[[#This Row],[_LeafProgress]]</f>
        <v>0</v>
      </c>
      <c r="DU170" s="42" t="str">
        <f aca="false">IF(Tasks[[#This Row],[_Res3Text]]="","",IF(Tasks[[#This Row],[_Res3Row]]&gt;0,INDEX(res_Name,Tasks[[#This Row],[_Res3Row]]),TRIM(LEFT(Tasks[[#This Row],[_Res3Text]],FIND("[",Tasks[[#This Row],[_Res3Text]]&amp;"[")-1))))</f>
        <v/>
      </c>
      <c r="DV17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0" s="42" t="n">
        <f aca="false">IF(OR(NOT(Tasks[[#This Row],[_IsLeaf]]=1),Tasks[[#This Row],[_Res3Row]]=0),0,N(Tasks[[#This Row],[_Days]])*HoursPerDay*IF(Tasks[[#This Row],[_Res3Units]]="",DefaultUnits,Tasks[[#This Row],[_Res3Units]]))</f>
        <v>0</v>
      </c>
      <c r="DX170" s="42" t="n">
        <f aca="false">IF(AND(AND(Tasks[[#This Row],[_IsLeaf]]=1,Tasks[[#This Row],[_LeafTotalWork]]&gt;0),Tasks[[#This Row],[_Res3Work]]&gt;0),Tasks[[#This Row],[_Res3Work]]/(Tasks[[#This Row],[_FinishWorkday]]-Tasks[[#This Row],[_StartWorkday]]+1),0)</f>
        <v>0</v>
      </c>
      <c r="DY170" s="42" t="n">
        <f aca="false">Tasks[[#This Row],[_Res3WorkPerWD]]*MAX(0,Tasks[[#This Row],[_StartWorkday]]-1)</f>
        <v>0</v>
      </c>
      <c r="DZ170" s="42" t="n">
        <f aca="false">Tasks[[#This Row],[_Res3Work]]*Tasks[[#This Row],[_LeafProgress]]</f>
        <v>0</v>
      </c>
      <c r="EA170" s="42" t="str">
        <f aca="false">IF(Tasks[[#This Row],[_Res4Text]]="","",IF(Tasks[[#This Row],[_Res4Row]]&gt;0,INDEX(res_Name,Tasks[[#This Row],[_Res4Row]]),TRIM(LEFT(Tasks[[#This Row],[_Res4Text]],FIND("[",Tasks[[#This Row],[_Res4Text]]&amp;"[")-1))))</f>
        <v/>
      </c>
      <c r="EB17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0" s="42" t="n">
        <f aca="false">IF(OR(NOT(Tasks[[#This Row],[_IsLeaf]]=1),Tasks[[#This Row],[_Res4Row]]=0),0,N(Tasks[[#This Row],[_Days]])*HoursPerDay*IF(Tasks[[#This Row],[_Res4Units]]="",DefaultUnits,Tasks[[#This Row],[_Res4Units]]))</f>
        <v>0</v>
      </c>
      <c r="ED170" s="42" t="n">
        <f aca="false">IF(AND(AND(Tasks[[#This Row],[_IsLeaf]]=1,Tasks[[#This Row],[_LeafTotalWork]]&gt;0),Tasks[[#This Row],[_Res4Work]]&gt;0),Tasks[[#This Row],[_Res4Work]]/(Tasks[[#This Row],[_FinishWorkday]]-Tasks[[#This Row],[_StartWorkday]]+1),0)</f>
        <v>0</v>
      </c>
      <c r="EE170" s="42" t="n">
        <f aca="false">Tasks[[#This Row],[_Res4WorkPerWD]]*MAX(0,Tasks[[#This Row],[_StartWorkday]]-1)</f>
        <v>0</v>
      </c>
      <c r="EF170" s="42" t="n">
        <f aca="false">Tasks[[#This Row],[_Res4Work]]*Tasks[[#This Row],[_LeafProgress]]</f>
        <v>0</v>
      </c>
      <c r="EG170" s="42" t="n">
        <f aca="false">IF(ISNUMBER(Tasks[[#This Row],[% Complete]]),Tasks[[#This Row],[% Complete]],IF(Tasks[[#This Row],[Stage]]="",0,IFERROR(INDEX(stg_Pct,MATCH(Tasks[[#This Row],[Stage]],stg_Name,0)),0)))</f>
        <v>0</v>
      </c>
      <c r="EH170" s="42" t="n">
        <f aca="false">IF(NOT(Tasks[[#This Row],[_IsLeaf]]=1),0,IF(N(Tasks[[#This Row],[Actual Finish]])&gt;0,1,MIN(1,Tasks[[#This Row],[_Pct]])))</f>
        <v>0</v>
      </c>
      <c r="EI170" s="42" t="n">
        <f aca="false">IF(OR(NOT(Tasks[[#This Row],[_IsLeaf]]=1),Tasks[[#This Row],[_Res1Row]]=0),0,N(Tasks[[#This Row],[_Days]])*HoursPerDay*IF(Tasks[[#This Row],[_Units1]]="",DefaultUnits,Tasks[[#This Row],[_Units1]]))</f>
        <v>0</v>
      </c>
      <c r="EJ170" s="42" t="n">
        <f aca="false">Tasks[[#This Row],[_LeafWork]]+Tasks[[#This Row],[_Res2Work]]+Tasks[[#This Row],[_Res3Work]]+Tasks[[#This Row],[_Res4Work]]</f>
        <v>0</v>
      </c>
      <c r="EK17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0" s="42" t="n">
        <f aca="false">IF(NOT(Tasks[[#This Row],[_IsLeaf]]=1),0,MAX(_xlfn.MAXIFS(Tasks[_Row],Tasks[_Pred1UID],Tasks[[#This Row],[UID]]),_xlfn.MAXIFS(Tasks[_Row],Tasks[_Pred2UID],Tasks[[#This Row],[UID]]),_xlfn.MAXIFS(Tasks[_Row],Tasks[_Pred3UID],Tasks[[#This Row],[UID]]),_xlfn.MAXIFS(Tasks[_Row],Tasks[_Pred4UID],Tasks[[#This Row],[UID]])))</f>
        <v>0</v>
      </c>
      <c r="ET17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0" s="89" t="str">
        <f aca="false">IF(NOT(Tasks[[#This Row],[_IsLeaf]]=1),"",IF(N(Tasks[[#This Row],[_Days]])&lt;=0,Tasks[[#This Row],[_LeafLateFinish]],WORKDAY.INTL(Tasks[[#This Row],[_LeafLateFinish]],-(Tasks[[#This Row],[_Days]]-1),WorkWeek,Holidays)))</f>
        <v/>
      </c>
      <c r="EW17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0" s="88" t="b">
        <f aca="false">AND(Tasks[[#This Row],[_IsLeaf]]=1,Tasks[[#This Row],[_LeafProgress]]&lt;1,N(Tasks[[#This Row],[_LeafTotalSlack]])&lt;=CriticalSlackDays)</f>
        <v>0</v>
      </c>
      <c r="EY170" s="42" t="n">
        <f aca="false">IF(AND(Tasks[[#This Row],[_IsLeaf]]=1,Tasks[[#This Row],[_ConstraintCode]]=1,Tasks[[#This Row],[Mode]]&lt;&gt;"Manual",N(Tasks[[#This Row],[Actual Start]])=0),MAX(0,N(Tasks[[#This Row],[Free Slack]])),0)</f>
        <v>0</v>
      </c>
      <c r="EZ170" s="89" t="str">
        <f aca="false">IF(NOT(Tasks[[#This Row],[_IsLeaf]]=1),"",IF(Tasks[[#This Row],[_AlapShift]]=0,Tasks[[#This Row],[_LeafCalcStart]],WORKDAY.INTL(Tasks[[#This Row],[_LeafCalcStart]],Tasks[[#This Row],[_AlapShift]],WorkWeek,Holidays)))</f>
        <v/>
      </c>
      <c r="FA170" s="89" t="str">
        <f aca="false">IF(NOT(Tasks[[#This Row],[_IsLeaf]]=1),"",IF(Tasks[[#This Row],[_AlapShift]]=0,Tasks[[#This Row],[_LeafCalcFinish]],WORKDAY.INTL(Tasks[[#This Row],[_LeafCalcFinish]],Tasks[[#This Row],[_AlapShift]],WorkWeek,Holidays)))</f>
        <v/>
      </c>
      <c r="FB170" s="89" t="str">
        <f aca="false">IF(NOT(Tasks[[#This Row],[_IsLeaf]]=1),"",IF(Tasks[[#This Row],[_AlapShift]]=0,Tasks[[#This Row],[_LeafFcstStart]],WORKDAY.INTL(Tasks[[#This Row],[_LeafFcstStart]],Tasks[[#This Row],[_AlapShift]],WorkWeek,Holidays)))</f>
        <v/>
      </c>
      <c r="FC170" s="89" t="str">
        <f aca="false">IF(NOT(Tasks[[#This Row],[_IsLeaf]]=1),"",IF(Tasks[[#This Row],[_AlapShift]]=0,Tasks[[#This Row],[_LeafFcstFinish]],WORKDAY.INTL(Tasks[[#This Row],[_LeafFcstFinish]],Tasks[[#This Row],[_AlapShift]],WorkWeek,Holidays)))</f>
        <v/>
      </c>
      <c r="FD170" s="89" t="str">
        <f aca="false">IF(Tasks[[#This Row],[Task Name]]="","",IF(Tasks[[#This Row],[_IsSummary]],MIN(INDEX(Tasks[_ShownCalcStart],Tasks[[#This Row],[_Row]]+1):INDEX(Tasks[_ShownCalcStart],Tasks[[#This Row],[_Row]]+Tasks[[#This Row],[_Descendants]])),Tasks[[#This Row],[_ShownCalcStart]]))</f>
        <v/>
      </c>
      <c r="FE170" s="89" t="str">
        <f aca="false">IF(Tasks[[#This Row],[Task Name]]="","",IF(Tasks[[#This Row],[_IsSummary]],MAX(INDEX(Tasks[_ShownCalcFinish],Tasks[[#This Row],[_Row]]+1):INDEX(Tasks[_ShownCalcFinish],Tasks[[#This Row],[_Row]]+Tasks[[#This Row],[_Descendants]])),Tasks[[#This Row],[_ShownCalcFinish]]))</f>
        <v/>
      </c>
      <c r="FF17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0" s="42" t="n">
        <f aca="false">IF(AND(Tasks[[#This Row],[_IsLeaf]]=1,Tasks[[#This Row],[_LeafTotalWork]]&gt;0),NETWORKDAYS.INTL(ProjectStart,Tasks[[#This Row],[_ShownFcstStart]],WorkWeek,Holidays),0)</f>
        <v>0</v>
      </c>
      <c r="FS170" s="42" t="n">
        <f aca="false">IF(AND(Tasks[[#This Row],[_IsLeaf]]=1,Tasks[[#This Row],[_LeafTotalWork]]&gt;0),MAX(Tasks[[#This Row],[_StartWorkday]],NETWORKDAYS.INTL(ProjectStart,Tasks[[#This Row],[_ShownFcstFinish]],WorkWeek,Holidays)),0)</f>
        <v>0</v>
      </c>
      <c r="FT170" s="42" t="n">
        <f aca="false">IF(AND(Tasks[[#This Row],[_IsLeaf]]=1,Tasks[[#This Row],[_LeafTotalWork]]&gt;0),Tasks[[#This Row],[_LeafWork]]/(Tasks[[#This Row],[_FinishWorkday]]-Tasks[[#This Row],[_StartWorkday]]+1),0)</f>
        <v>0</v>
      </c>
      <c r="FU170" s="42" t="n">
        <f aca="false">Tasks[[#This Row],[_WorkPerWorkday]]*(Tasks[[#This Row],[_StartWorkday]]-1)</f>
        <v>-0</v>
      </c>
      <c r="FV170" s="42" t="n">
        <f aca="false">IF(Tasks[[#This Row],[_IsLeaf]]=1,MAX(N(Tasks[[#This Row],[_Days]]),0.1),0)</f>
        <v>0</v>
      </c>
      <c r="FW170" s="42" t="n">
        <f aca="false">Tasks[[#This Row],[_WeightDur]]*Tasks[[#This Row],[_LeafProgress]]</f>
        <v>0</v>
      </c>
      <c r="FX170" s="42" t="n">
        <f aca="false">Tasks[[#This Row],[_WeightDur]]*Tasks[[#This Row],[_PlannedPct]]</f>
        <v>0</v>
      </c>
      <c r="FY17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0" s="42" t="str">
        <f aca="false">IF(AND(Tasks[[#This Row],[_IsLeaf]]=1,N(Tasks[[#This Row],[_Days]])=0,Tasks[[#This Row],[_LeafProgress]]&lt;1),Tasks[[#This Row],[_ShownFcstFinish]]+Tasks[[#This Row],[_Row]]/100000,"")</f>
        <v/>
      </c>
      <c r="GA17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0" s="42" t="str">
        <f aca="false">IF(Tasks[[#This Row],[Task Name]]="","",LEFT(Tasks[[#This Row],[WBS]],FIND(".",Tasks[[#This Row],[WBS]]&amp;".")-1))</f>
        <v/>
      </c>
      <c r="GC170" s="42" t="str">
        <f aca="false">IF(AND(Tasks[[#This Row],[Task Name]]&lt;&gt;"",Tasks[[#This Row],[_Level]]=1),Tasks[[#This Row],[_Row]],"")</f>
        <v/>
      </c>
      <c r="GD170" s="42" t="str">
        <f aca="false">IF(AND(Tasks[[#This Row],[_IsLeaf]]=1,N(Tasks[[#This Row],[_Days]])=0),Tasks[[#This Row],[Planned Finish]]+Tasks[[#This Row],[_Row]]/100000,"")</f>
        <v/>
      </c>
      <c r="GE170" s="42" t="str">
        <f aca="false">IF(AND(Tasks[[#This Row],[_IsLeaf]]=1,Tasks[[#This Row],[_LeafProgress]]&lt;1,OR(N(Tasks[[#This Row],[Finish Var]])&gt;0,Tasks[[#This Row],[Status]]="Late Start")),MAX(0,Tasks[[#This Row],[Finish Var]])+1-Tasks[[#This Row],[_Row]]/1000000,"")</f>
        <v/>
      </c>
      <c r="GF170" s="42" t="str">
        <f aca="false">IF(AND(Tasks[[#This Row],[_IsLeaf]]=1,N(Tasks[[#This Row],[Actual Start]])=0,Tasks[[#This Row],[_ShownFcstStart]]&gt;=StatusDate,Tasks[[#This Row],[_ShownFcstStart]]&lt;=LookaheadEnd),Tasks[[#This Row],[_ShownFcstStart]]+Tasks[[#This Row],[_Row]]/100000,"")</f>
        <v/>
      </c>
      <c r="GG170" s="42" t="str">
        <f aca="false">IF(AND(Tasks[[#This Row],[_IsLeaf]]=1,Tasks[[#This Row],[_LeafProgress]]&lt;1,Tasks[[#This Row],[_ShownFcstFinish]]&gt;=StatusDate,Tasks[[#This Row],[_ShownFcstFinish]]&lt;=LookaheadEnd),Tasks[[#This Row],[_ShownFcstFinish]]+Tasks[[#This Row],[_Row]]/100000,"")</f>
        <v/>
      </c>
      <c r="GH170" s="42" t="str">
        <f aca="false">IF(Tasks[[#This Row],[_LeafCritical]],Tasks[[#This Row],[_ShownFcstStart]]+Tasks[[#This Row],[_Row]]/100000,"")</f>
        <v/>
      </c>
      <c r="GI170" s="42" t="n">
        <f aca="false">Tasks[[#This Row],[_LeafWork]]*Tasks[[#This Row],[_LeafProgress]]</f>
        <v>0</v>
      </c>
      <c r="GJ170" s="89" t="str">
        <f aca="false">IF(AND(Tasks[[#This Row],[_IsLeaf]]=1,Tasks[[#This Row],[_LeafProgress]]&gt;=1),IF(N(Tasks[[#This Row],[Actual Finish]])&gt;0,Tasks[[#This Row],[Actual Finish]],Tasks[[#This Row],[_ShownFcstFinish]]),"")</f>
        <v/>
      </c>
      <c r="GK170" s="42" t="n">
        <f aca="false">IF(Tasks[[#This Row],[_IsLeaf]]=1,N(Tasks[[#This Row],[Story Points]]),0)</f>
        <v>0</v>
      </c>
      <c r="GL170" s="42" t="str">
        <f aca="false">""</f>
        <v/>
      </c>
      <c r="GM170" s="88" t="b">
        <f aca="false">IF(Tasks[[#This Row],[Task Name]]="",FALSE(),AND(Tasks[[#This Row],[_IsLeaf]]=1,N(Tasks[[#This Row],[_Days]])=0))</f>
        <v>0</v>
      </c>
      <c r="GN170" s="89" t="n">
        <f aca="false">IF(Tasks[[#This Row],[Task Name]]="",0,IF(AND(Tasks[[#This Row],[_IsLeaf]]=1,NOT(Tasks[[#This Row],[_IsMilestone]]),N(Tasks[[#This Row],[Progress]])&gt;0),Tasks[[#This Row],[Start]],0))</f>
        <v>0</v>
      </c>
      <c r="GO170" s="89" t="n">
        <f aca="false">IF(Tasks[[#This Row],[_DoneFrom]]=0,0,IF(Tasks[[#This Row],[Progress]]&gt;=1,Tasks[[#This Row],[Finish]],MAX(Tasks[[#This Row],[_DoneFrom]],Tasks[[#This Row],[Start]]+ROUND((Tasks[[#This Row],[Finish]]-Tasks[[#This Row],[Start]]+1)*Tasks[[#This Row],[Progress]],0)-1)))</f>
        <v>0</v>
      </c>
      <c r="GP170" s="89" t="n">
        <f aca="false">IF(Tasks[[#This Row],[Task Name]]="",0,IF(OR(NOT(Tasks[[#This Row],[_IsLeaf]]=1),Tasks[[#This Row],[_IsMilestone]],N(Tasks[[#This Row],[Progress]])&gt;=1),0,IF(Tasks[[#This Row],[_DoneTo]]&gt;0,Tasks[[#This Row],[_DoneTo]]+1,Tasks[[#This Row],[Start]])))</f>
        <v>0</v>
      </c>
      <c r="GQ170" s="89" t="n">
        <f aca="false">IF(Tasks[[#This Row],[_RemFrom]]=0,0,Tasks[[#This Row],[Finish]])</f>
        <v>0</v>
      </c>
      <c r="GR170" s="88" t="b">
        <f aca="false">IF(Tasks[[#This Row],[Task Name]]="",FALSE(),OR(NOT(BaselineSet),N(Tasks[[#This Row],[Baseline Start]])&gt;0))</f>
        <v>0</v>
      </c>
      <c r="GS17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0" s="90" t="str">
        <f aca="false">IF(Tasks[[#This Row],[_IsLeaf]]=1,Tasks[[#This Row],[_Row]],"")</f>
        <v/>
      </c>
      <c r="GW170" s="90" t="str">
        <f aca="false">IFERROR(INDEX(Tasks[UID],SMALL(Tasks[_PickKey],Tasks[[#This Row],[_Row]]))&amp;" "&amp;INDEX(Tasks[Task Name],SMALL(Tasks[_PickKey],Tasks[[#This Row],[_Row]])),"")</f>
        <v/>
      </c>
      <c r="GX170" s="42" t="str">
        <f aca="false">IF(Tasks[[#This Row],[Task Name]]="","",IF(Tasks[[#This Row],[_IsSummary]],NETWORKDAYS.INTL(Tasks[[#This Row],[Start]],Tasks[[#This Row],[Finish]],WorkWeek,Holidays),N(Tasks[[#This Row],[_Days]])))</f>
        <v/>
      </c>
    </row>
    <row r="171" customFormat="false" ht="15" hidden="false" customHeight="false" outlineLevel="0" collapsed="false">
      <c r="A171" s="21" t="str">
        <f aca="false">IF(Tasks[[#This Row],[Task Name]]="","",COUNTA(Tasks[[#Headers],[Task Name]]:Tasks[[#This Row],[Task Name]])-1)</f>
        <v/>
      </c>
      <c r="B171" s="22" t="n">
        <v>179</v>
      </c>
      <c r="C171" s="22"/>
      <c r="D171" s="23"/>
      <c r="E171" s="22"/>
      <c r="F171" s="23"/>
      <c r="G171" s="22"/>
      <c r="H171" s="22"/>
      <c r="I171" s="23"/>
      <c r="J171" s="22"/>
      <c r="K171" s="22"/>
      <c r="L171" s="23"/>
      <c r="M171" s="22"/>
      <c r="N171" s="22"/>
      <c r="O171" s="23"/>
      <c r="P171" s="22"/>
      <c r="Q171" s="22"/>
      <c r="R171" s="23"/>
      <c r="S171" s="23"/>
      <c r="T171" s="83"/>
      <c r="U171" s="23"/>
      <c r="V171" s="83"/>
      <c r="W171" s="23"/>
      <c r="X171" s="83"/>
      <c r="Y171" s="23"/>
      <c r="Z171" s="83"/>
      <c r="AA171" s="23"/>
      <c r="AB171" s="23"/>
      <c r="AC171" s="7"/>
      <c r="AD171" s="7"/>
      <c r="AE171" s="62" t="str">
        <f aca="false">IF(Tasks[[#This Row],[Task Name]]="","",IF(Tasks[[#This Row],[_IsSummary]],MIN(INDEX(Tasks[_ShownFcstStart],Tasks[[#This Row],[_Row]]+1):INDEX(Tasks[_ShownFcstStart],Tasks[[#This Row],[_Row]]+Tasks[[#This Row],[_Descendants]])),Tasks[[#This Row],[_ShownFcstStart]]))</f>
        <v/>
      </c>
      <c r="AF171" s="62" t="str">
        <f aca="false">IF(Tasks[[#This Row],[Task Name]]="","",IF(Tasks[[#This Row],[_IsSummary]],MAX(INDEX(Tasks[_ShownFcstFinish],Tasks[[#This Row],[_Row]]+1):INDEX(Tasks[_ShownFcstFinish],Tasks[[#This Row],[_Row]]+Tasks[[#This Row],[_Descendants]])),Tasks[[#This Row],[_ShownFcstFinish]]))</f>
        <v/>
      </c>
      <c r="AG171" s="21" t="str">
        <f aca="false">""</f>
        <v/>
      </c>
      <c r="AH171" s="23"/>
      <c r="AI17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1" s="7"/>
      <c r="AK171" s="22"/>
      <c r="AL171" s="23"/>
      <c r="AM171" s="7"/>
      <c r="AN171" s="46" t="str">
        <f aca="false">IF(Tasks[[#This Row],[Task Name]]="","",IF(Tasks[[#This Row],[Finish]]&gt;=Tasks[[#This Row],[Planned Finish]],NETWORKDAYS.INTL(Tasks[[#This Row],[Planned Finish]],Tasks[[#This Row],[Finish]],WorkWeek,Holidays)-1,1-NETWORKDAYS.INTL(Tasks[[#This Row],[Finish]],Tasks[[#This Row],[Planned Finish]],WorkWeek,Holidays)))</f>
        <v/>
      </c>
      <c r="AO171" s="21" t="str">
        <f aca="false">IF(Tasks[[#This Row],[Task Name]]="","",IF(Tasks[[#This Row],[Progress]]&gt;=1,"Complete",IF(OR(N(Tasks[[#This Row],[Actual Start]])&gt;0,Tasks[[#This Row],[Progress]]&gt;0),IF(Tasks[[#This Row],[Finish Var]]&gt;0,"Behind","In Progress"),IF(Tasks[[#This Row],[Planned Start]]&lt;StatusDate,"Late Start","Not Started"))))</f>
        <v/>
      </c>
      <c r="AP171" s="21" t="str">
        <f aca="false">IF(Tasks[[#This Row],[Task Name]]="","",IF(IF(Tasks[[#This Row],[_IsSummary]],COUNTIF(INDEX(Tasks[_LeafCritical],Tasks[[#This Row],[_Row]]+1):INDEX(Tasks[_LeafCritical],Tasks[[#This Row],[_Row]]+Tasks[[#This Row],[_Descendants]]),TRUE())&gt;0,Tasks[[#This Row],[_LeafCritical]]),"Yes",""))</f>
        <v/>
      </c>
      <c r="AQ171" s="62" t="str">
        <f aca="false">IF(Tasks[[#This Row],[Task Name]]="","",IF(N(Tasks[[#This Row],[Baseline Start]])&gt;0,Tasks[[#This Row],[Baseline Start]],Tasks[[#This Row],[_CalcStart]]))</f>
        <v/>
      </c>
      <c r="AR171" s="62" t="str">
        <f aca="false">IF(Tasks[[#This Row],[Task Name]]="","",IF(N(Tasks[[#This Row],[Baseline Finish]])&gt;0,Tasks[[#This Row],[Baseline Finish]],Tasks[[#This Row],[_CalcFinish]]))</f>
        <v/>
      </c>
      <c r="AS171" s="46" t="str">
        <f aca="false">IF(Tasks[[#This Row],[Task Name]]="","",IF(Tasks[[#This Row],[Start]]&gt;=Tasks[[#This Row],[Planned Start]],NETWORKDAYS.INTL(Tasks[[#This Row],[Planned Start]],Tasks[[#This Row],[Start]],WorkWeek,Holidays)-1,1-NETWORKDAYS.INTL(Tasks[[#This Row],[Start]],Tasks[[#This Row],[Planned Start]],WorkWeek,Holidays)))</f>
        <v/>
      </c>
      <c r="AT171" s="62" t="str">
        <f aca="false">IF(Tasks[[#This Row],[Task Name]]="","",IF(Tasks[[#This Row],[_IsSummary]],MIN(INDEX(Tasks[_LeafLateStart],Tasks[[#This Row],[_Row]]+1):INDEX(Tasks[_LeafLateStart],Tasks[[#This Row],[_Row]]+Tasks[[#This Row],[_Descendants]])),Tasks[[#This Row],[_LeafLateStart]]))</f>
        <v/>
      </c>
      <c r="AU171" s="62" t="str">
        <f aca="false">IF(Tasks[[#This Row],[Task Name]]="","",IF(Tasks[[#This Row],[_IsSummary]],MAX(INDEX(Tasks[_LeafLateFinish],Tasks[[#This Row],[_Row]]+1):INDEX(Tasks[_LeafLateFinish],Tasks[[#This Row],[_Row]]+Tasks[[#This Row],[_Descendants]])),Tasks[[#This Row],[_LeafLateFinish]]))</f>
        <v/>
      </c>
      <c r="AV171" s="46" t="str">
        <f aca="false">IF(Tasks[[#This Row],[Task Name]]="","",IF(Tasks[[#This Row],[_IsSummary]],MIN(INDEX(Tasks[_LeafTotalSlack],Tasks[[#This Row],[_Row]]+1):INDEX(Tasks[_LeafTotalSlack],Tasks[[#This Row],[_Row]]+Tasks[[#This Row],[_Descendants]])),Tasks[[#This Row],[_LeafTotalSlack]]))</f>
        <v/>
      </c>
      <c r="AW17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4"/>
      <c r="BA17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t="str">
        <f aca="false">IF(Tasks[[#This Row],[Task Name]]="","",IF(Tasks[[#This Row],[_Level]]&lt;=OutlineShowLevel,"Yes","No"))</f>
        <v/>
      </c>
      <c r="BE171" s="85" t="str">
        <f aca="false">IF(Tasks[[#This Row],[Task Name]]="","",IF(Tasks[[#This Row],[_IsSummary]],SUM(INDEX(Tasks[_LeafTotalWork],Tasks[[#This Row],[_Row]]+1):INDEX(Tasks[_LeafTotalWork],Tasks[[#This Row],[_Row]]+Tasks[[#This Row],[_Descendants]])),Tasks[[#This Row],[_LeafTotalWork]]))</f>
        <v/>
      </c>
      <c r="BF171" s="23"/>
      <c r="BG17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t="str">
        <f aca="false">""</f>
        <v/>
      </c>
      <c r="BI171" s="86"/>
      <c r="BJ171" s="22"/>
      <c r="BK171" s="46" t="str">
        <f aca="false">IF(OR(Tasks[[#This Row],[Task Name]]="",Tasks[[#This Row],[Baseline Duration]]=""),"",Tasks[[#This Row],[_SpanDays]]-N(Tasks[[#This Row],[Baseline Duration]]))</f>
        <v/>
      </c>
      <c r="BL171" s="85" t="str">
        <f aca="false">IF(OR(Tasks[[#This Row],[Task Name]]="",Tasks[[#This Row],[Baseline Work]]=""),"",Tasks[[#This Row],[Work]]-N(Tasks[[#This Row],[Baseline Work]]))</f>
        <v/>
      </c>
      <c r="BM171" s="62" t="str">
        <f aca="false">IF(Tasks[[#This Row],[Task Name]]="","",IF(OR(TakeBaseline="Yes",N(Tasks[[#This Row],[Baseline Start]])=0),Tasks[[#This Row],[Start]],Tasks[[#This Row],[Baseline Start]]))</f>
        <v/>
      </c>
      <c r="BN171" s="62" t="str">
        <f aca="false">IF(Tasks[[#This Row],[Task Name]]="","",IF(OR(TakeBaseline="Yes",N(Tasks[[#This Row],[Baseline Finish]])=0),Tasks[[#This Row],[Finish]],Tasks[[#This Row],[Baseline Finish]]))</f>
        <v/>
      </c>
      <c r="BO171" s="21" t="str">
        <f aca="false">IF(Tasks[[#This Row],[Task Name]]="","",IF(OR(TakeBaseline="Yes",N(Tasks[[#This Row],[Baseline Duration]])=0),Tasks[[#This Row],[_SpanDays]],Tasks[[#This Row],[Baseline Duration]]))</f>
        <v/>
      </c>
      <c r="BP171" s="85" t="str">
        <f aca="false">IF(Tasks[[#This Row],[Task Name]]="","",IF(OR(TakeBaseline="Yes",N(Tasks[[#This Row],[Baseline Work]])=0),Tasks[[#This Row],[Work]],Tasks[[#This Row],[Baseline Work]]))</f>
        <v/>
      </c>
      <c r="BQ171" s="7"/>
      <c r="BR171" s="7"/>
      <c r="BS171" s="22"/>
      <c r="BT171" s="87"/>
      <c r="BU171" s="42" t="str">
        <f aca="false">IF(Tasks[[#This Row],[Task Name]]="","",MAX(1,N(Tasks[[#This Row],[Level]])))</f>
        <v/>
      </c>
      <c r="BV171" s="42" t="n">
        <f aca="false">ROW()-ROW(Tasks[[#Headers],[ID]])</f>
        <v>166</v>
      </c>
      <c r="BW171" s="42" t="n">
        <f aca="false">IF(OR(Tasks[[#This Row],[Task Name]]="",Tasks[[#This Row],[_Level]]&lt;=1),0,IFERROR(LOOKUP(2,1/(Tasks[[#Headers],[_Level]]:Tasks[[#This Row],[_Level]]=Tasks[[#This Row],[_Level]]-1),ROW(Tasks[[#Headers],[_Level]]:Tasks[[#This Row],[_Level]])),0))</f>
        <v>0</v>
      </c>
      <c r="BX171" s="42" t="n">
        <f aca="false">IFERROR(N(INDEX(Tasks[_Level],Tasks[[#This Row],[_Row]]+1)),0)</f>
        <v>0</v>
      </c>
      <c r="BY171" s="88" t="b">
        <f aca="false">AND(Tasks[[#This Row],[Task Name]]&lt;&gt;"",Tasks[[#This Row],[_NextLevel]]&gt;Tasks[[#This Row],[_Level]])</f>
        <v>0</v>
      </c>
      <c r="BZ171" s="42" t="n">
        <f aca="false">IF(Tasks[[#This Row],[_IsSummary]],COUNTIF(Tasks[WBS],Tasks[[#This Row],[WBS]]&amp;".*"),0)</f>
        <v>0</v>
      </c>
      <c r="CA171" s="42" t="n">
        <f aca="false">IF(AND(Tasks[[#This Row],[Task Name]]&lt;&gt;"",NOT(Tasks[[#This Row],[_IsSummary]])),1,0)</f>
        <v>0</v>
      </c>
      <c r="CB171" s="42" t="n">
        <f aca="false">IF(N(Tasks[[#This Row],[_Pred1UID]])=0,0,IFERROR(MATCH(Tasks[[#This Row],[_Pred1UID]],Tasks[UID],0),-1))</f>
        <v>0</v>
      </c>
      <c r="CC171" s="42" t="n">
        <f aca="false">IF(N(Tasks[[#This Row],[_Pred2UID]])=0,0,IFERROR(MATCH(Tasks[[#This Row],[_Pred2UID]],Tasks[UID],0),-1))</f>
        <v>0</v>
      </c>
      <c r="CD171" s="42" t="n">
        <f aca="false">IF(N(Tasks[[#This Row],[_Pred3UID]])=0,0,IFERROR(MATCH(Tasks[[#This Row],[_Pred3UID]],Tasks[UID],0),-1))</f>
        <v>0</v>
      </c>
      <c r="CE171" s="42" t="n">
        <f aca="false">IF(N(Tasks[[#This Row],[_Pred4UID]])=0,0,IFERROR(MATCH(Tasks[[#This Row],[_Pred4UID]],Tasks[UID],0),-1))</f>
        <v>0</v>
      </c>
      <c r="CF17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1" s="89" t="n">
        <f aca="false">IF(OR(Tasks[[#This Row],[_ConstraintCode]]=2,Tasks[[#This Row],[_ConstraintCode]]=3,Tasks[[#This Row],[_ConstraintCode]]=4,Tasks[[#This Row],[_ConstraintCode]]=6),Tasks[[#This Row],[_ConstraintStart]],0)</f>
        <v>0</v>
      </c>
      <c r="CI171" s="89" t="n">
        <f aca="false">IF(OR(Tasks[[#This Row],[_ConstraintCode]]=2,Tasks[[#This Row],[_ConstraintCode]]=3,Tasks[[#This Row],[_ConstraintCode]]=5,Tasks[[#This Row],[_ConstraintCode]]=7),Tasks[[#This Row],[_ConstraintStart]],2958465)</f>
        <v>2958465</v>
      </c>
      <c r="CJ17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1" s="89" t="str">
        <f aca="false">IF(NOT(Tasks[[#This Row],[_IsLeaf]]=1),"",IF(N(Tasks[[#This Row],[_Days]])&lt;=0,Tasks[[#This Row],[_LeafCalcStart]],WORKDAY.INTL(Tasks[[#This Row],[_LeafCalcStart]],Tasks[[#This Row],[_Days]]-1,WorkWeek,Holidays)))</f>
        <v/>
      </c>
      <c r="CL17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1" s="42" t="str">
        <f aca="false">IF(Tasks[[#This Row],[_Predecessors]]="","",TRIM(MID(SUBSTITUTE(SUBSTITUTE(SUBSTITUTE(UPPER(Tasks[[#This Row],[_Predecessors]]),";",",")," ",""),",",REPT(" ",99)),1,99)))</f>
        <v/>
      </c>
      <c r="CO171" s="42" t="str">
        <f aca="false">IF(Tasks[[#This Row],[_Pred1Text]]="","",IFERROR(VALUE(LEFT(Tasks[[#This Row],[_Pred1Text]],MIN(FIND("F",Tasks[[#This Row],[_Pred1Text]]&amp;"F"),FIND("S",Tasks[[#This Row],[_Pred1Text]]&amp;"S"),FIND("+",Tasks[[#This Row],[_Pred1Text]]&amp;"+"),FIND("-",Tasks[[#This Row],[_Pred1Text]]&amp;"-"))-1)),""))</f>
        <v/>
      </c>
      <c r="CP17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1" s="42" t="str">
        <f aca="false">IF(Tasks[[#This Row],[_Pred1Text]]="","",TRIM(MID(SUBSTITUTE(SUBSTITUTE(SUBSTITUTE(UPPER(Tasks[[#This Row],[_Predecessors]]),";",",")," ",""),",",REPT(" ",99)),100,99)))</f>
        <v/>
      </c>
      <c r="CS171" s="42" t="str">
        <f aca="false">IF(Tasks[[#This Row],[_Pred2Text]]="","",IFERROR(VALUE(LEFT(Tasks[[#This Row],[_Pred2Text]],MIN(FIND("F",Tasks[[#This Row],[_Pred2Text]]&amp;"F"),FIND("S",Tasks[[#This Row],[_Pred2Text]]&amp;"S"),FIND("+",Tasks[[#This Row],[_Pred2Text]]&amp;"+"),FIND("-",Tasks[[#This Row],[_Pred2Text]]&amp;"-"))-1)),""))</f>
        <v/>
      </c>
      <c r="CT17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1" s="42" t="str">
        <f aca="false">IF(Tasks[[#This Row],[_Pred2Text]]="","",TRIM(MID(SUBSTITUTE(SUBSTITUTE(SUBSTITUTE(UPPER(Tasks[[#This Row],[_Predecessors]]),";",",")," ",""),",",REPT(" ",99)),199,99)))</f>
        <v/>
      </c>
      <c r="CW171" s="42" t="str">
        <f aca="false">IF(Tasks[[#This Row],[_Pred3Text]]="","",IFERROR(VALUE(LEFT(Tasks[[#This Row],[_Pred3Text]],MIN(FIND("F",Tasks[[#This Row],[_Pred3Text]]&amp;"F"),FIND("S",Tasks[[#This Row],[_Pred3Text]]&amp;"S"),FIND("+",Tasks[[#This Row],[_Pred3Text]]&amp;"+"),FIND("-",Tasks[[#This Row],[_Pred3Text]]&amp;"-"))-1)),""))</f>
        <v/>
      </c>
      <c r="CX17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1" s="42" t="str">
        <f aca="false">IF(Tasks[[#This Row],[_Pred3Text]]="","",TRIM(MID(SUBSTITUTE(SUBSTITUTE(SUBSTITUTE(UPPER(Tasks[[#This Row],[_Predecessors]]),";",",")," ",""),",",REPT(" ",99)),298,99)))</f>
        <v/>
      </c>
      <c r="DA171" s="42" t="str">
        <f aca="false">IF(Tasks[[#This Row],[_Pred4Text]]="","",IFERROR(VALUE(LEFT(Tasks[[#This Row],[_Pred4Text]],MIN(FIND("F",Tasks[[#This Row],[_Pred4Text]]&amp;"F"),FIND("S",Tasks[[#This Row],[_Pred4Text]]&amp;"S"),FIND("+",Tasks[[#This Row],[_Pred4Text]]&amp;"+"),FIND("-",Tasks[[#This Row],[_Pred4Text]]&amp;"-"))-1)),""))</f>
        <v/>
      </c>
      <c r="DB17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1" s="42" t="str">
        <f aca="false">IF(OR(Tasks[[#This Row],[Task Name]]="",Tasks[[#This Row],[_Resources]]=""),"",TRIM(MID(SUBSTITUTE(Tasks[[#This Row],[_Resources]],",",REPT(" ",99)),1,99)))</f>
        <v/>
      </c>
      <c r="DE171" s="42" t="str">
        <f aca="false">IF(Tasks[[#This Row],[_Res1Text]]="","",TRIM(MID(SUBSTITUTE(Tasks[[#This Row],[_Resources]],",",REPT(" ",99)),100,99)))</f>
        <v/>
      </c>
      <c r="DF171" s="42" t="str">
        <f aca="false">IF(Tasks[[#This Row],[_Res2Text]]="","",TRIM(MID(SUBSTITUTE(Tasks[[#This Row],[_Resources]],",",REPT(" ",99)),199,99)))</f>
        <v/>
      </c>
      <c r="DG171" s="42" t="str">
        <f aca="false">IF(Tasks[[#This Row],[_Res3Text]]="","",TRIM(MID(SUBSTITUTE(Tasks[[#This Row],[_Resources]],",",REPT(" ",99)),298,99)))</f>
        <v/>
      </c>
      <c r="DH171" s="42" t="n">
        <f aca="false">IF(Tasks[[#This Row],[_Res1Text]]="",0,IFERROR(MATCH(TRIM(LEFT(Tasks[[#This Row],[_Res1Text]],FIND("[",Tasks[[#This Row],[_Res1Text]]&amp;"[")-1)),res_Name,0),IFERROR(MATCH(TRIM(LEFT(Tasks[[#This Row],[_Res1Text]],FIND("[",Tasks[[#This Row],[_Res1Text]]&amp;"[")-1)),res_Initials,0),0)))</f>
        <v>0</v>
      </c>
      <c r="DI171" s="42" t="n">
        <f aca="false">IF(Tasks[[#This Row],[_Res2Text]]="",0,IFERROR(MATCH(TRIM(LEFT(Tasks[[#This Row],[_Res2Text]],FIND("[",Tasks[[#This Row],[_Res2Text]]&amp;"[")-1)),res_Name,0),IFERROR(MATCH(TRIM(LEFT(Tasks[[#This Row],[_Res2Text]],FIND("[",Tasks[[#This Row],[_Res2Text]]&amp;"[")-1)),res_Initials,0),0)))</f>
        <v>0</v>
      </c>
      <c r="DJ171" s="42" t="n">
        <f aca="false">IF(Tasks[[#This Row],[_Res3Text]]="",0,IFERROR(MATCH(TRIM(LEFT(Tasks[[#This Row],[_Res3Text]],FIND("[",Tasks[[#This Row],[_Res3Text]]&amp;"[")-1)),res_Name,0),IFERROR(MATCH(TRIM(LEFT(Tasks[[#This Row],[_Res3Text]],FIND("[",Tasks[[#This Row],[_Res3Text]]&amp;"[")-1)),res_Initials,0),0)))</f>
        <v>0</v>
      </c>
      <c r="DK171" s="42" t="n">
        <f aca="false">IF(Tasks[[#This Row],[_Res4Text]]="",0,IFERROR(MATCH(TRIM(LEFT(Tasks[[#This Row],[_Res4Text]],FIND("[",Tasks[[#This Row],[_Res4Text]]&amp;"[")-1)),res_Name,0),IFERROR(MATCH(TRIM(LEFT(Tasks[[#This Row],[_Res4Text]],FIND("[",Tasks[[#This Row],[_Res4Text]]&amp;"[")-1)),res_Initials,0),0)))</f>
        <v>0</v>
      </c>
      <c r="DL171" s="42" t="str">
        <f aca="false">IF(Tasks[[#This Row],[_Res1Text]]="","",IF(Tasks[[#This Row],[_Res1Row]]&gt;0,INDEX(res_Name,Tasks[[#This Row],[_Res1Row]]),TRIM(LEFT(Tasks[[#This Row],[_Res1Text]],FIND("[",Tasks[[#This Row],[_Res1Text]]&amp;"[")-1))))</f>
        <v/>
      </c>
      <c r="DM17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1" s="42" t="n">
        <f aca="false">IF(NOT(Tasks[[#This Row],[_IsLeaf]]=1),0,(Tasks[[#This Row],[_Resource1]]&lt;&gt;"")+(Tasks[[#This Row],[_Res2]]&lt;&gt;"")+(Tasks[[#This Row],[_Res3]]&lt;&gt;"")+(Tasks[[#This Row],[_Res4]]&lt;&gt;""))</f>
        <v>0</v>
      </c>
      <c r="DO171" s="42" t="str">
        <f aca="false">IF(Tasks[[#This Row],[_Res2Text]]="","",IF(Tasks[[#This Row],[_Res2Row]]&gt;0,INDEX(res_Name,Tasks[[#This Row],[_Res2Row]]),TRIM(LEFT(Tasks[[#This Row],[_Res2Text]],FIND("[",Tasks[[#This Row],[_Res2Text]]&amp;"[")-1))))</f>
        <v/>
      </c>
      <c r="DP17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1" s="42" t="n">
        <f aca="false">IF(OR(NOT(Tasks[[#This Row],[_IsLeaf]]=1),Tasks[[#This Row],[_Res2Row]]=0),0,N(Tasks[[#This Row],[_Days]])*HoursPerDay*IF(Tasks[[#This Row],[_Res2Units]]="",DefaultUnits,Tasks[[#This Row],[_Res2Units]]))</f>
        <v>0</v>
      </c>
      <c r="DR171" s="42" t="n">
        <f aca="false">IF(AND(AND(Tasks[[#This Row],[_IsLeaf]]=1,Tasks[[#This Row],[_LeafTotalWork]]&gt;0),Tasks[[#This Row],[_Res2Work]]&gt;0),Tasks[[#This Row],[_Res2Work]]/(Tasks[[#This Row],[_FinishWorkday]]-Tasks[[#This Row],[_StartWorkday]]+1),0)</f>
        <v>0</v>
      </c>
      <c r="DS171" s="42" t="n">
        <f aca="false">Tasks[[#This Row],[_Res2WorkPerWD]]*MAX(0,Tasks[[#This Row],[_StartWorkday]]-1)</f>
        <v>0</v>
      </c>
      <c r="DT171" s="42" t="n">
        <f aca="false">Tasks[[#This Row],[_Res2Work]]*Tasks[[#This Row],[_LeafProgress]]</f>
        <v>0</v>
      </c>
      <c r="DU171" s="42" t="str">
        <f aca="false">IF(Tasks[[#This Row],[_Res3Text]]="","",IF(Tasks[[#This Row],[_Res3Row]]&gt;0,INDEX(res_Name,Tasks[[#This Row],[_Res3Row]]),TRIM(LEFT(Tasks[[#This Row],[_Res3Text]],FIND("[",Tasks[[#This Row],[_Res3Text]]&amp;"[")-1))))</f>
        <v/>
      </c>
      <c r="DV17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1" s="42" t="n">
        <f aca="false">IF(OR(NOT(Tasks[[#This Row],[_IsLeaf]]=1),Tasks[[#This Row],[_Res3Row]]=0),0,N(Tasks[[#This Row],[_Days]])*HoursPerDay*IF(Tasks[[#This Row],[_Res3Units]]="",DefaultUnits,Tasks[[#This Row],[_Res3Units]]))</f>
        <v>0</v>
      </c>
      <c r="DX171" s="42" t="n">
        <f aca="false">IF(AND(AND(Tasks[[#This Row],[_IsLeaf]]=1,Tasks[[#This Row],[_LeafTotalWork]]&gt;0),Tasks[[#This Row],[_Res3Work]]&gt;0),Tasks[[#This Row],[_Res3Work]]/(Tasks[[#This Row],[_FinishWorkday]]-Tasks[[#This Row],[_StartWorkday]]+1),0)</f>
        <v>0</v>
      </c>
      <c r="DY171" s="42" t="n">
        <f aca="false">Tasks[[#This Row],[_Res3WorkPerWD]]*MAX(0,Tasks[[#This Row],[_StartWorkday]]-1)</f>
        <v>0</v>
      </c>
      <c r="DZ171" s="42" t="n">
        <f aca="false">Tasks[[#This Row],[_Res3Work]]*Tasks[[#This Row],[_LeafProgress]]</f>
        <v>0</v>
      </c>
      <c r="EA171" s="42" t="str">
        <f aca="false">IF(Tasks[[#This Row],[_Res4Text]]="","",IF(Tasks[[#This Row],[_Res4Row]]&gt;0,INDEX(res_Name,Tasks[[#This Row],[_Res4Row]]),TRIM(LEFT(Tasks[[#This Row],[_Res4Text]],FIND("[",Tasks[[#This Row],[_Res4Text]]&amp;"[")-1))))</f>
        <v/>
      </c>
      <c r="EB17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1" s="42" t="n">
        <f aca="false">IF(OR(NOT(Tasks[[#This Row],[_IsLeaf]]=1),Tasks[[#This Row],[_Res4Row]]=0),0,N(Tasks[[#This Row],[_Days]])*HoursPerDay*IF(Tasks[[#This Row],[_Res4Units]]="",DefaultUnits,Tasks[[#This Row],[_Res4Units]]))</f>
        <v>0</v>
      </c>
      <c r="ED171" s="42" t="n">
        <f aca="false">IF(AND(AND(Tasks[[#This Row],[_IsLeaf]]=1,Tasks[[#This Row],[_LeafTotalWork]]&gt;0),Tasks[[#This Row],[_Res4Work]]&gt;0),Tasks[[#This Row],[_Res4Work]]/(Tasks[[#This Row],[_FinishWorkday]]-Tasks[[#This Row],[_StartWorkday]]+1),0)</f>
        <v>0</v>
      </c>
      <c r="EE171" s="42" t="n">
        <f aca="false">Tasks[[#This Row],[_Res4WorkPerWD]]*MAX(0,Tasks[[#This Row],[_StartWorkday]]-1)</f>
        <v>0</v>
      </c>
      <c r="EF171" s="42" t="n">
        <f aca="false">Tasks[[#This Row],[_Res4Work]]*Tasks[[#This Row],[_LeafProgress]]</f>
        <v>0</v>
      </c>
      <c r="EG171" s="42" t="n">
        <f aca="false">IF(ISNUMBER(Tasks[[#This Row],[% Complete]]),Tasks[[#This Row],[% Complete]],IF(Tasks[[#This Row],[Stage]]="",0,IFERROR(INDEX(stg_Pct,MATCH(Tasks[[#This Row],[Stage]],stg_Name,0)),0)))</f>
        <v>0</v>
      </c>
      <c r="EH171" s="42" t="n">
        <f aca="false">IF(NOT(Tasks[[#This Row],[_IsLeaf]]=1),0,IF(N(Tasks[[#This Row],[Actual Finish]])&gt;0,1,MIN(1,Tasks[[#This Row],[_Pct]])))</f>
        <v>0</v>
      </c>
      <c r="EI171" s="42" t="n">
        <f aca="false">IF(OR(NOT(Tasks[[#This Row],[_IsLeaf]]=1),Tasks[[#This Row],[_Res1Row]]=0),0,N(Tasks[[#This Row],[_Days]])*HoursPerDay*IF(Tasks[[#This Row],[_Units1]]="",DefaultUnits,Tasks[[#This Row],[_Units1]]))</f>
        <v>0</v>
      </c>
      <c r="EJ171" s="42" t="n">
        <f aca="false">Tasks[[#This Row],[_LeafWork]]+Tasks[[#This Row],[_Res2Work]]+Tasks[[#This Row],[_Res3Work]]+Tasks[[#This Row],[_Res4Work]]</f>
        <v>0</v>
      </c>
      <c r="EK17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1" s="42" t="n">
        <f aca="false">IF(NOT(Tasks[[#This Row],[_IsLeaf]]=1),0,MAX(_xlfn.MAXIFS(Tasks[_Row],Tasks[_Pred1UID],Tasks[[#This Row],[UID]]),_xlfn.MAXIFS(Tasks[_Row],Tasks[_Pred2UID],Tasks[[#This Row],[UID]]),_xlfn.MAXIFS(Tasks[_Row],Tasks[_Pred3UID],Tasks[[#This Row],[UID]]),_xlfn.MAXIFS(Tasks[_Row],Tasks[_Pred4UID],Tasks[[#This Row],[UID]])))</f>
        <v>0</v>
      </c>
      <c r="ET17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1" s="89" t="str">
        <f aca="false">IF(NOT(Tasks[[#This Row],[_IsLeaf]]=1),"",IF(N(Tasks[[#This Row],[_Days]])&lt;=0,Tasks[[#This Row],[_LeafLateFinish]],WORKDAY.INTL(Tasks[[#This Row],[_LeafLateFinish]],-(Tasks[[#This Row],[_Days]]-1),WorkWeek,Holidays)))</f>
        <v/>
      </c>
      <c r="EW17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1" s="88" t="b">
        <f aca="false">AND(Tasks[[#This Row],[_IsLeaf]]=1,Tasks[[#This Row],[_LeafProgress]]&lt;1,N(Tasks[[#This Row],[_LeafTotalSlack]])&lt;=CriticalSlackDays)</f>
        <v>0</v>
      </c>
      <c r="EY171" s="42" t="n">
        <f aca="false">IF(AND(Tasks[[#This Row],[_IsLeaf]]=1,Tasks[[#This Row],[_ConstraintCode]]=1,Tasks[[#This Row],[Mode]]&lt;&gt;"Manual",N(Tasks[[#This Row],[Actual Start]])=0),MAX(0,N(Tasks[[#This Row],[Free Slack]])),0)</f>
        <v>0</v>
      </c>
      <c r="EZ171" s="89" t="str">
        <f aca="false">IF(NOT(Tasks[[#This Row],[_IsLeaf]]=1),"",IF(Tasks[[#This Row],[_AlapShift]]=0,Tasks[[#This Row],[_LeafCalcStart]],WORKDAY.INTL(Tasks[[#This Row],[_LeafCalcStart]],Tasks[[#This Row],[_AlapShift]],WorkWeek,Holidays)))</f>
        <v/>
      </c>
      <c r="FA171" s="89" t="str">
        <f aca="false">IF(NOT(Tasks[[#This Row],[_IsLeaf]]=1),"",IF(Tasks[[#This Row],[_AlapShift]]=0,Tasks[[#This Row],[_LeafCalcFinish]],WORKDAY.INTL(Tasks[[#This Row],[_LeafCalcFinish]],Tasks[[#This Row],[_AlapShift]],WorkWeek,Holidays)))</f>
        <v/>
      </c>
      <c r="FB171" s="89" t="str">
        <f aca="false">IF(NOT(Tasks[[#This Row],[_IsLeaf]]=1),"",IF(Tasks[[#This Row],[_AlapShift]]=0,Tasks[[#This Row],[_LeafFcstStart]],WORKDAY.INTL(Tasks[[#This Row],[_LeafFcstStart]],Tasks[[#This Row],[_AlapShift]],WorkWeek,Holidays)))</f>
        <v/>
      </c>
      <c r="FC171" s="89" t="str">
        <f aca="false">IF(NOT(Tasks[[#This Row],[_IsLeaf]]=1),"",IF(Tasks[[#This Row],[_AlapShift]]=0,Tasks[[#This Row],[_LeafFcstFinish]],WORKDAY.INTL(Tasks[[#This Row],[_LeafFcstFinish]],Tasks[[#This Row],[_AlapShift]],WorkWeek,Holidays)))</f>
        <v/>
      </c>
      <c r="FD171" s="89" t="str">
        <f aca="false">IF(Tasks[[#This Row],[Task Name]]="","",IF(Tasks[[#This Row],[_IsSummary]],MIN(INDEX(Tasks[_ShownCalcStart],Tasks[[#This Row],[_Row]]+1):INDEX(Tasks[_ShownCalcStart],Tasks[[#This Row],[_Row]]+Tasks[[#This Row],[_Descendants]])),Tasks[[#This Row],[_ShownCalcStart]]))</f>
        <v/>
      </c>
      <c r="FE171" s="89" t="str">
        <f aca="false">IF(Tasks[[#This Row],[Task Name]]="","",IF(Tasks[[#This Row],[_IsSummary]],MAX(INDEX(Tasks[_ShownCalcFinish],Tasks[[#This Row],[_Row]]+1):INDEX(Tasks[_ShownCalcFinish],Tasks[[#This Row],[_Row]]+Tasks[[#This Row],[_Descendants]])),Tasks[[#This Row],[_ShownCalcFinish]]))</f>
        <v/>
      </c>
      <c r="FF17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1" s="42" t="n">
        <f aca="false">IF(AND(Tasks[[#This Row],[_IsLeaf]]=1,Tasks[[#This Row],[_LeafTotalWork]]&gt;0),NETWORKDAYS.INTL(ProjectStart,Tasks[[#This Row],[_ShownFcstStart]],WorkWeek,Holidays),0)</f>
        <v>0</v>
      </c>
      <c r="FS171" s="42" t="n">
        <f aca="false">IF(AND(Tasks[[#This Row],[_IsLeaf]]=1,Tasks[[#This Row],[_LeafTotalWork]]&gt;0),MAX(Tasks[[#This Row],[_StartWorkday]],NETWORKDAYS.INTL(ProjectStart,Tasks[[#This Row],[_ShownFcstFinish]],WorkWeek,Holidays)),0)</f>
        <v>0</v>
      </c>
      <c r="FT171" s="42" t="n">
        <f aca="false">IF(AND(Tasks[[#This Row],[_IsLeaf]]=1,Tasks[[#This Row],[_LeafTotalWork]]&gt;0),Tasks[[#This Row],[_LeafWork]]/(Tasks[[#This Row],[_FinishWorkday]]-Tasks[[#This Row],[_StartWorkday]]+1),0)</f>
        <v>0</v>
      </c>
      <c r="FU171" s="42" t="n">
        <f aca="false">Tasks[[#This Row],[_WorkPerWorkday]]*(Tasks[[#This Row],[_StartWorkday]]-1)</f>
        <v>-0</v>
      </c>
      <c r="FV171" s="42" t="n">
        <f aca="false">IF(Tasks[[#This Row],[_IsLeaf]]=1,MAX(N(Tasks[[#This Row],[_Days]]),0.1),0)</f>
        <v>0</v>
      </c>
      <c r="FW171" s="42" t="n">
        <f aca="false">Tasks[[#This Row],[_WeightDur]]*Tasks[[#This Row],[_LeafProgress]]</f>
        <v>0</v>
      </c>
      <c r="FX171" s="42" t="n">
        <f aca="false">Tasks[[#This Row],[_WeightDur]]*Tasks[[#This Row],[_PlannedPct]]</f>
        <v>0</v>
      </c>
      <c r="FY17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1" s="42" t="str">
        <f aca="false">IF(AND(Tasks[[#This Row],[_IsLeaf]]=1,N(Tasks[[#This Row],[_Days]])=0,Tasks[[#This Row],[_LeafProgress]]&lt;1),Tasks[[#This Row],[_ShownFcstFinish]]+Tasks[[#This Row],[_Row]]/100000,"")</f>
        <v/>
      </c>
      <c r="GA17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1" s="42" t="str">
        <f aca="false">IF(Tasks[[#This Row],[Task Name]]="","",LEFT(Tasks[[#This Row],[WBS]],FIND(".",Tasks[[#This Row],[WBS]]&amp;".")-1))</f>
        <v/>
      </c>
      <c r="GC171" s="42" t="str">
        <f aca="false">IF(AND(Tasks[[#This Row],[Task Name]]&lt;&gt;"",Tasks[[#This Row],[_Level]]=1),Tasks[[#This Row],[_Row]],"")</f>
        <v/>
      </c>
      <c r="GD171" s="42" t="str">
        <f aca="false">IF(AND(Tasks[[#This Row],[_IsLeaf]]=1,N(Tasks[[#This Row],[_Days]])=0),Tasks[[#This Row],[Planned Finish]]+Tasks[[#This Row],[_Row]]/100000,"")</f>
        <v/>
      </c>
      <c r="GE171" s="42" t="str">
        <f aca="false">IF(AND(Tasks[[#This Row],[_IsLeaf]]=1,Tasks[[#This Row],[_LeafProgress]]&lt;1,OR(N(Tasks[[#This Row],[Finish Var]])&gt;0,Tasks[[#This Row],[Status]]="Late Start")),MAX(0,Tasks[[#This Row],[Finish Var]])+1-Tasks[[#This Row],[_Row]]/1000000,"")</f>
        <v/>
      </c>
      <c r="GF171" s="42" t="str">
        <f aca="false">IF(AND(Tasks[[#This Row],[_IsLeaf]]=1,N(Tasks[[#This Row],[Actual Start]])=0,Tasks[[#This Row],[_ShownFcstStart]]&gt;=StatusDate,Tasks[[#This Row],[_ShownFcstStart]]&lt;=LookaheadEnd),Tasks[[#This Row],[_ShownFcstStart]]+Tasks[[#This Row],[_Row]]/100000,"")</f>
        <v/>
      </c>
      <c r="GG171" s="42" t="str">
        <f aca="false">IF(AND(Tasks[[#This Row],[_IsLeaf]]=1,Tasks[[#This Row],[_LeafProgress]]&lt;1,Tasks[[#This Row],[_ShownFcstFinish]]&gt;=StatusDate,Tasks[[#This Row],[_ShownFcstFinish]]&lt;=LookaheadEnd),Tasks[[#This Row],[_ShownFcstFinish]]+Tasks[[#This Row],[_Row]]/100000,"")</f>
        <v/>
      </c>
      <c r="GH171" s="42" t="str">
        <f aca="false">IF(Tasks[[#This Row],[_LeafCritical]],Tasks[[#This Row],[_ShownFcstStart]]+Tasks[[#This Row],[_Row]]/100000,"")</f>
        <v/>
      </c>
      <c r="GI171" s="42" t="n">
        <f aca="false">Tasks[[#This Row],[_LeafWork]]*Tasks[[#This Row],[_LeafProgress]]</f>
        <v>0</v>
      </c>
      <c r="GJ171" s="89" t="str">
        <f aca="false">IF(AND(Tasks[[#This Row],[_IsLeaf]]=1,Tasks[[#This Row],[_LeafProgress]]&gt;=1),IF(N(Tasks[[#This Row],[Actual Finish]])&gt;0,Tasks[[#This Row],[Actual Finish]],Tasks[[#This Row],[_ShownFcstFinish]]),"")</f>
        <v/>
      </c>
      <c r="GK171" s="42" t="n">
        <f aca="false">IF(Tasks[[#This Row],[_IsLeaf]]=1,N(Tasks[[#This Row],[Story Points]]),0)</f>
        <v>0</v>
      </c>
      <c r="GL171" s="42" t="str">
        <f aca="false">""</f>
        <v/>
      </c>
      <c r="GM171" s="88" t="b">
        <f aca="false">IF(Tasks[[#This Row],[Task Name]]="",FALSE(),AND(Tasks[[#This Row],[_IsLeaf]]=1,N(Tasks[[#This Row],[_Days]])=0))</f>
        <v>0</v>
      </c>
      <c r="GN171" s="89" t="n">
        <f aca="false">IF(Tasks[[#This Row],[Task Name]]="",0,IF(AND(Tasks[[#This Row],[_IsLeaf]]=1,NOT(Tasks[[#This Row],[_IsMilestone]]),N(Tasks[[#This Row],[Progress]])&gt;0),Tasks[[#This Row],[Start]],0))</f>
        <v>0</v>
      </c>
      <c r="GO171" s="89" t="n">
        <f aca="false">IF(Tasks[[#This Row],[_DoneFrom]]=0,0,IF(Tasks[[#This Row],[Progress]]&gt;=1,Tasks[[#This Row],[Finish]],MAX(Tasks[[#This Row],[_DoneFrom]],Tasks[[#This Row],[Start]]+ROUND((Tasks[[#This Row],[Finish]]-Tasks[[#This Row],[Start]]+1)*Tasks[[#This Row],[Progress]],0)-1)))</f>
        <v>0</v>
      </c>
      <c r="GP171" s="89" t="n">
        <f aca="false">IF(Tasks[[#This Row],[Task Name]]="",0,IF(OR(NOT(Tasks[[#This Row],[_IsLeaf]]=1),Tasks[[#This Row],[_IsMilestone]],N(Tasks[[#This Row],[Progress]])&gt;=1),0,IF(Tasks[[#This Row],[_DoneTo]]&gt;0,Tasks[[#This Row],[_DoneTo]]+1,Tasks[[#This Row],[Start]])))</f>
        <v>0</v>
      </c>
      <c r="GQ171" s="89" t="n">
        <f aca="false">IF(Tasks[[#This Row],[_RemFrom]]=0,0,Tasks[[#This Row],[Finish]])</f>
        <v>0</v>
      </c>
      <c r="GR171" s="88" t="b">
        <f aca="false">IF(Tasks[[#This Row],[Task Name]]="",FALSE(),OR(NOT(BaselineSet),N(Tasks[[#This Row],[Baseline Start]])&gt;0))</f>
        <v>0</v>
      </c>
      <c r="GS17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1" s="90" t="str">
        <f aca="false">IF(Tasks[[#This Row],[_IsLeaf]]=1,Tasks[[#This Row],[_Row]],"")</f>
        <v/>
      </c>
      <c r="GW171" s="90" t="str">
        <f aca="false">IFERROR(INDEX(Tasks[UID],SMALL(Tasks[_PickKey],Tasks[[#This Row],[_Row]]))&amp;" "&amp;INDEX(Tasks[Task Name],SMALL(Tasks[_PickKey],Tasks[[#This Row],[_Row]])),"")</f>
        <v/>
      </c>
      <c r="GX171" s="42" t="str">
        <f aca="false">IF(Tasks[[#This Row],[Task Name]]="","",IF(Tasks[[#This Row],[_IsSummary]],NETWORKDAYS.INTL(Tasks[[#This Row],[Start]],Tasks[[#This Row],[Finish]],WorkWeek,Holidays),N(Tasks[[#This Row],[_Days]])))</f>
        <v/>
      </c>
    </row>
    <row r="172" customFormat="false" ht="15" hidden="false" customHeight="false" outlineLevel="0" collapsed="false">
      <c r="A172" s="21" t="str">
        <f aca="false">IF(Tasks[[#This Row],[Task Name]]="","",COUNTA(Tasks[[#Headers],[Task Name]]:Tasks[[#This Row],[Task Name]])-1)</f>
        <v/>
      </c>
      <c r="B172" s="22" t="n">
        <v>180</v>
      </c>
      <c r="C172" s="22"/>
      <c r="D172" s="23"/>
      <c r="E172" s="22"/>
      <c r="F172" s="23"/>
      <c r="G172" s="22"/>
      <c r="H172" s="22"/>
      <c r="I172" s="23"/>
      <c r="J172" s="22"/>
      <c r="K172" s="22"/>
      <c r="L172" s="23"/>
      <c r="M172" s="22"/>
      <c r="N172" s="22"/>
      <c r="O172" s="23"/>
      <c r="P172" s="22"/>
      <c r="Q172" s="22"/>
      <c r="R172" s="23"/>
      <c r="S172" s="23"/>
      <c r="T172" s="83"/>
      <c r="U172" s="23"/>
      <c r="V172" s="83"/>
      <c r="W172" s="23"/>
      <c r="X172" s="83"/>
      <c r="Y172" s="23"/>
      <c r="Z172" s="83"/>
      <c r="AA172" s="23"/>
      <c r="AB172" s="23"/>
      <c r="AC172" s="7"/>
      <c r="AD172" s="7"/>
      <c r="AE172" s="62" t="str">
        <f aca="false">IF(Tasks[[#This Row],[Task Name]]="","",IF(Tasks[[#This Row],[_IsSummary]],MIN(INDEX(Tasks[_ShownFcstStart],Tasks[[#This Row],[_Row]]+1):INDEX(Tasks[_ShownFcstStart],Tasks[[#This Row],[_Row]]+Tasks[[#This Row],[_Descendants]])),Tasks[[#This Row],[_ShownFcstStart]]))</f>
        <v/>
      </c>
      <c r="AF172" s="62" t="str">
        <f aca="false">IF(Tasks[[#This Row],[Task Name]]="","",IF(Tasks[[#This Row],[_IsSummary]],MAX(INDEX(Tasks[_ShownFcstFinish],Tasks[[#This Row],[_Row]]+1):INDEX(Tasks[_ShownFcstFinish],Tasks[[#This Row],[_Row]]+Tasks[[#This Row],[_Descendants]])),Tasks[[#This Row],[_ShownFcstFinish]]))</f>
        <v/>
      </c>
      <c r="AG172" s="21" t="str">
        <f aca="false">""</f>
        <v/>
      </c>
      <c r="AH172" s="23"/>
      <c r="AI17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2" s="7"/>
      <c r="AK172" s="22"/>
      <c r="AL172" s="23"/>
      <c r="AM172" s="7"/>
      <c r="AN172" s="46" t="str">
        <f aca="false">IF(Tasks[[#This Row],[Task Name]]="","",IF(Tasks[[#This Row],[Finish]]&gt;=Tasks[[#This Row],[Planned Finish]],NETWORKDAYS.INTL(Tasks[[#This Row],[Planned Finish]],Tasks[[#This Row],[Finish]],WorkWeek,Holidays)-1,1-NETWORKDAYS.INTL(Tasks[[#This Row],[Finish]],Tasks[[#This Row],[Planned Finish]],WorkWeek,Holidays)))</f>
        <v/>
      </c>
      <c r="AO172" s="21" t="str">
        <f aca="false">IF(Tasks[[#This Row],[Task Name]]="","",IF(Tasks[[#This Row],[Progress]]&gt;=1,"Complete",IF(OR(N(Tasks[[#This Row],[Actual Start]])&gt;0,Tasks[[#This Row],[Progress]]&gt;0),IF(Tasks[[#This Row],[Finish Var]]&gt;0,"Behind","In Progress"),IF(Tasks[[#This Row],[Planned Start]]&lt;StatusDate,"Late Start","Not Started"))))</f>
        <v/>
      </c>
      <c r="AP172" s="21" t="str">
        <f aca="false">IF(Tasks[[#This Row],[Task Name]]="","",IF(IF(Tasks[[#This Row],[_IsSummary]],COUNTIF(INDEX(Tasks[_LeafCritical],Tasks[[#This Row],[_Row]]+1):INDEX(Tasks[_LeafCritical],Tasks[[#This Row],[_Row]]+Tasks[[#This Row],[_Descendants]]),TRUE())&gt;0,Tasks[[#This Row],[_LeafCritical]]),"Yes",""))</f>
        <v/>
      </c>
      <c r="AQ172" s="62" t="str">
        <f aca="false">IF(Tasks[[#This Row],[Task Name]]="","",IF(N(Tasks[[#This Row],[Baseline Start]])&gt;0,Tasks[[#This Row],[Baseline Start]],Tasks[[#This Row],[_CalcStart]]))</f>
        <v/>
      </c>
      <c r="AR172" s="62" t="str">
        <f aca="false">IF(Tasks[[#This Row],[Task Name]]="","",IF(N(Tasks[[#This Row],[Baseline Finish]])&gt;0,Tasks[[#This Row],[Baseline Finish]],Tasks[[#This Row],[_CalcFinish]]))</f>
        <v/>
      </c>
      <c r="AS172" s="46" t="str">
        <f aca="false">IF(Tasks[[#This Row],[Task Name]]="","",IF(Tasks[[#This Row],[Start]]&gt;=Tasks[[#This Row],[Planned Start]],NETWORKDAYS.INTL(Tasks[[#This Row],[Planned Start]],Tasks[[#This Row],[Start]],WorkWeek,Holidays)-1,1-NETWORKDAYS.INTL(Tasks[[#This Row],[Start]],Tasks[[#This Row],[Planned Start]],WorkWeek,Holidays)))</f>
        <v/>
      </c>
      <c r="AT172" s="62" t="str">
        <f aca="false">IF(Tasks[[#This Row],[Task Name]]="","",IF(Tasks[[#This Row],[_IsSummary]],MIN(INDEX(Tasks[_LeafLateStart],Tasks[[#This Row],[_Row]]+1):INDEX(Tasks[_LeafLateStart],Tasks[[#This Row],[_Row]]+Tasks[[#This Row],[_Descendants]])),Tasks[[#This Row],[_LeafLateStart]]))</f>
        <v/>
      </c>
      <c r="AU172" s="62" t="str">
        <f aca="false">IF(Tasks[[#This Row],[Task Name]]="","",IF(Tasks[[#This Row],[_IsSummary]],MAX(INDEX(Tasks[_LeafLateFinish],Tasks[[#This Row],[_Row]]+1):INDEX(Tasks[_LeafLateFinish],Tasks[[#This Row],[_Row]]+Tasks[[#This Row],[_Descendants]])),Tasks[[#This Row],[_LeafLateFinish]]))</f>
        <v/>
      </c>
      <c r="AV172" s="46" t="str">
        <f aca="false">IF(Tasks[[#This Row],[Task Name]]="","",IF(Tasks[[#This Row],[_IsSummary]],MIN(INDEX(Tasks[_LeafTotalSlack],Tasks[[#This Row],[_Row]]+1):INDEX(Tasks[_LeafTotalSlack],Tasks[[#This Row],[_Row]]+Tasks[[#This Row],[_Descendants]])),Tasks[[#This Row],[_LeafTotalSlack]]))</f>
        <v/>
      </c>
      <c r="AW17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4"/>
      <c r="BA17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t="str">
        <f aca="false">IF(Tasks[[#This Row],[Task Name]]="","",IF(Tasks[[#This Row],[_Level]]&lt;=OutlineShowLevel,"Yes","No"))</f>
        <v/>
      </c>
      <c r="BE172" s="85" t="str">
        <f aca="false">IF(Tasks[[#This Row],[Task Name]]="","",IF(Tasks[[#This Row],[_IsSummary]],SUM(INDEX(Tasks[_LeafTotalWork],Tasks[[#This Row],[_Row]]+1):INDEX(Tasks[_LeafTotalWork],Tasks[[#This Row],[_Row]]+Tasks[[#This Row],[_Descendants]])),Tasks[[#This Row],[_LeafTotalWork]]))</f>
        <v/>
      </c>
      <c r="BF172" s="23"/>
      <c r="BG17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t="str">
        <f aca="false">""</f>
        <v/>
      </c>
      <c r="BI172" s="86"/>
      <c r="BJ172" s="22"/>
      <c r="BK172" s="46" t="str">
        <f aca="false">IF(OR(Tasks[[#This Row],[Task Name]]="",Tasks[[#This Row],[Baseline Duration]]=""),"",Tasks[[#This Row],[_SpanDays]]-N(Tasks[[#This Row],[Baseline Duration]]))</f>
        <v/>
      </c>
      <c r="BL172" s="85" t="str">
        <f aca="false">IF(OR(Tasks[[#This Row],[Task Name]]="",Tasks[[#This Row],[Baseline Work]]=""),"",Tasks[[#This Row],[Work]]-N(Tasks[[#This Row],[Baseline Work]]))</f>
        <v/>
      </c>
      <c r="BM172" s="62" t="str">
        <f aca="false">IF(Tasks[[#This Row],[Task Name]]="","",IF(OR(TakeBaseline="Yes",N(Tasks[[#This Row],[Baseline Start]])=0),Tasks[[#This Row],[Start]],Tasks[[#This Row],[Baseline Start]]))</f>
        <v/>
      </c>
      <c r="BN172" s="62" t="str">
        <f aca="false">IF(Tasks[[#This Row],[Task Name]]="","",IF(OR(TakeBaseline="Yes",N(Tasks[[#This Row],[Baseline Finish]])=0),Tasks[[#This Row],[Finish]],Tasks[[#This Row],[Baseline Finish]]))</f>
        <v/>
      </c>
      <c r="BO172" s="21" t="str">
        <f aca="false">IF(Tasks[[#This Row],[Task Name]]="","",IF(OR(TakeBaseline="Yes",N(Tasks[[#This Row],[Baseline Duration]])=0),Tasks[[#This Row],[_SpanDays]],Tasks[[#This Row],[Baseline Duration]]))</f>
        <v/>
      </c>
      <c r="BP172" s="85" t="str">
        <f aca="false">IF(Tasks[[#This Row],[Task Name]]="","",IF(OR(TakeBaseline="Yes",N(Tasks[[#This Row],[Baseline Work]])=0),Tasks[[#This Row],[Work]],Tasks[[#This Row],[Baseline Work]]))</f>
        <v/>
      </c>
      <c r="BQ172" s="7"/>
      <c r="BR172" s="7"/>
      <c r="BS172" s="22"/>
      <c r="BT172" s="87"/>
      <c r="BU172" s="42" t="str">
        <f aca="false">IF(Tasks[[#This Row],[Task Name]]="","",MAX(1,N(Tasks[[#This Row],[Level]])))</f>
        <v/>
      </c>
      <c r="BV172" s="42" t="n">
        <f aca="false">ROW()-ROW(Tasks[[#Headers],[ID]])</f>
        <v>167</v>
      </c>
      <c r="BW172" s="42" t="n">
        <f aca="false">IF(OR(Tasks[[#This Row],[Task Name]]="",Tasks[[#This Row],[_Level]]&lt;=1),0,IFERROR(LOOKUP(2,1/(Tasks[[#Headers],[_Level]]:Tasks[[#This Row],[_Level]]=Tasks[[#This Row],[_Level]]-1),ROW(Tasks[[#Headers],[_Level]]:Tasks[[#This Row],[_Level]])),0))</f>
        <v>0</v>
      </c>
      <c r="BX172" s="42" t="n">
        <f aca="false">IFERROR(N(INDEX(Tasks[_Level],Tasks[[#This Row],[_Row]]+1)),0)</f>
        <v>0</v>
      </c>
      <c r="BY172" s="88" t="b">
        <f aca="false">AND(Tasks[[#This Row],[Task Name]]&lt;&gt;"",Tasks[[#This Row],[_NextLevel]]&gt;Tasks[[#This Row],[_Level]])</f>
        <v>0</v>
      </c>
      <c r="BZ172" s="42" t="n">
        <f aca="false">IF(Tasks[[#This Row],[_IsSummary]],COUNTIF(Tasks[WBS],Tasks[[#This Row],[WBS]]&amp;".*"),0)</f>
        <v>0</v>
      </c>
      <c r="CA172" s="42" t="n">
        <f aca="false">IF(AND(Tasks[[#This Row],[Task Name]]&lt;&gt;"",NOT(Tasks[[#This Row],[_IsSummary]])),1,0)</f>
        <v>0</v>
      </c>
      <c r="CB172" s="42" t="n">
        <f aca="false">IF(N(Tasks[[#This Row],[_Pred1UID]])=0,0,IFERROR(MATCH(Tasks[[#This Row],[_Pred1UID]],Tasks[UID],0),-1))</f>
        <v>0</v>
      </c>
      <c r="CC172" s="42" t="n">
        <f aca="false">IF(N(Tasks[[#This Row],[_Pred2UID]])=0,0,IFERROR(MATCH(Tasks[[#This Row],[_Pred2UID]],Tasks[UID],0),-1))</f>
        <v>0</v>
      </c>
      <c r="CD172" s="42" t="n">
        <f aca="false">IF(N(Tasks[[#This Row],[_Pred3UID]])=0,0,IFERROR(MATCH(Tasks[[#This Row],[_Pred3UID]],Tasks[UID],0),-1))</f>
        <v>0</v>
      </c>
      <c r="CE172" s="42" t="n">
        <f aca="false">IF(N(Tasks[[#This Row],[_Pred4UID]])=0,0,IFERROR(MATCH(Tasks[[#This Row],[_Pred4UID]],Tasks[UID],0),-1))</f>
        <v>0</v>
      </c>
      <c r="CF17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2" s="89" t="n">
        <f aca="false">IF(OR(Tasks[[#This Row],[_ConstraintCode]]=2,Tasks[[#This Row],[_ConstraintCode]]=3,Tasks[[#This Row],[_ConstraintCode]]=4,Tasks[[#This Row],[_ConstraintCode]]=6),Tasks[[#This Row],[_ConstraintStart]],0)</f>
        <v>0</v>
      </c>
      <c r="CI172" s="89" t="n">
        <f aca="false">IF(OR(Tasks[[#This Row],[_ConstraintCode]]=2,Tasks[[#This Row],[_ConstraintCode]]=3,Tasks[[#This Row],[_ConstraintCode]]=5,Tasks[[#This Row],[_ConstraintCode]]=7),Tasks[[#This Row],[_ConstraintStart]],2958465)</f>
        <v>2958465</v>
      </c>
      <c r="CJ17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2" s="89" t="str">
        <f aca="false">IF(NOT(Tasks[[#This Row],[_IsLeaf]]=1),"",IF(N(Tasks[[#This Row],[_Days]])&lt;=0,Tasks[[#This Row],[_LeafCalcStart]],WORKDAY.INTL(Tasks[[#This Row],[_LeafCalcStart]],Tasks[[#This Row],[_Days]]-1,WorkWeek,Holidays)))</f>
        <v/>
      </c>
      <c r="CL17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2" s="42" t="str">
        <f aca="false">IF(Tasks[[#This Row],[_Predecessors]]="","",TRIM(MID(SUBSTITUTE(SUBSTITUTE(SUBSTITUTE(UPPER(Tasks[[#This Row],[_Predecessors]]),";",",")," ",""),",",REPT(" ",99)),1,99)))</f>
        <v/>
      </c>
      <c r="CO172" s="42" t="str">
        <f aca="false">IF(Tasks[[#This Row],[_Pred1Text]]="","",IFERROR(VALUE(LEFT(Tasks[[#This Row],[_Pred1Text]],MIN(FIND("F",Tasks[[#This Row],[_Pred1Text]]&amp;"F"),FIND("S",Tasks[[#This Row],[_Pred1Text]]&amp;"S"),FIND("+",Tasks[[#This Row],[_Pred1Text]]&amp;"+"),FIND("-",Tasks[[#This Row],[_Pred1Text]]&amp;"-"))-1)),""))</f>
        <v/>
      </c>
      <c r="CP17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2" s="42" t="str">
        <f aca="false">IF(Tasks[[#This Row],[_Pred1Text]]="","",TRIM(MID(SUBSTITUTE(SUBSTITUTE(SUBSTITUTE(UPPER(Tasks[[#This Row],[_Predecessors]]),";",",")," ",""),",",REPT(" ",99)),100,99)))</f>
        <v/>
      </c>
      <c r="CS172" s="42" t="str">
        <f aca="false">IF(Tasks[[#This Row],[_Pred2Text]]="","",IFERROR(VALUE(LEFT(Tasks[[#This Row],[_Pred2Text]],MIN(FIND("F",Tasks[[#This Row],[_Pred2Text]]&amp;"F"),FIND("S",Tasks[[#This Row],[_Pred2Text]]&amp;"S"),FIND("+",Tasks[[#This Row],[_Pred2Text]]&amp;"+"),FIND("-",Tasks[[#This Row],[_Pred2Text]]&amp;"-"))-1)),""))</f>
        <v/>
      </c>
      <c r="CT17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2" s="42" t="str">
        <f aca="false">IF(Tasks[[#This Row],[_Pred2Text]]="","",TRIM(MID(SUBSTITUTE(SUBSTITUTE(SUBSTITUTE(UPPER(Tasks[[#This Row],[_Predecessors]]),";",",")," ",""),",",REPT(" ",99)),199,99)))</f>
        <v/>
      </c>
      <c r="CW172" s="42" t="str">
        <f aca="false">IF(Tasks[[#This Row],[_Pred3Text]]="","",IFERROR(VALUE(LEFT(Tasks[[#This Row],[_Pred3Text]],MIN(FIND("F",Tasks[[#This Row],[_Pred3Text]]&amp;"F"),FIND("S",Tasks[[#This Row],[_Pred3Text]]&amp;"S"),FIND("+",Tasks[[#This Row],[_Pred3Text]]&amp;"+"),FIND("-",Tasks[[#This Row],[_Pred3Text]]&amp;"-"))-1)),""))</f>
        <v/>
      </c>
      <c r="CX17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2" s="42" t="str">
        <f aca="false">IF(Tasks[[#This Row],[_Pred3Text]]="","",TRIM(MID(SUBSTITUTE(SUBSTITUTE(SUBSTITUTE(UPPER(Tasks[[#This Row],[_Predecessors]]),";",",")," ",""),",",REPT(" ",99)),298,99)))</f>
        <v/>
      </c>
      <c r="DA172" s="42" t="str">
        <f aca="false">IF(Tasks[[#This Row],[_Pred4Text]]="","",IFERROR(VALUE(LEFT(Tasks[[#This Row],[_Pred4Text]],MIN(FIND("F",Tasks[[#This Row],[_Pred4Text]]&amp;"F"),FIND("S",Tasks[[#This Row],[_Pred4Text]]&amp;"S"),FIND("+",Tasks[[#This Row],[_Pred4Text]]&amp;"+"),FIND("-",Tasks[[#This Row],[_Pred4Text]]&amp;"-"))-1)),""))</f>
        <v/>
      </c>
      <c r="DB17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2" s="42" t="str">
        <f aca="false">IF(OR(Tasks[[#This Row],[Task Name]]="",Tasks[[#This Row],[_Resources]]=""),"",TRIM(MID(SUBSTITUTE(Tasks[[#This Row],[_Resources]],",",REPT(" ",99)),1,99)))</f>
        <v/>
      </c>
      <c r="DE172" s="42" t="str">
        <f aca="false">IF(Tasks[[#This Row],[_Res1Text]]="","",TRIM(MID(SUBSTITUTE(Tasks[[#This Row],[_Resources]],",",REPT(" ",99)),100,99)))</f>
        <v/>
      </c>
      <c r="DF172" s="42" t="str">
        <f aca="false">IF(Tasks[[#This Row],[_Res2Text]]="","",TRIM(MID(SUBSTITUTE(Tasks[[#This Row],[_Resources]],",",REPT(" ",99)),199,99)))</f>
        <v/>
      </c>
      <c r="DG172" s="42" t="str">
        <f aca="false">IF(Tasks[[#This Row],[_Res3Text]]="","",TRIM(MID(SUBSTITUTE(Tasks[[#This Row],[_Resources]],",",REPT(" ",99)),298,99)))</f>
        <v/>
      </c>
      <c r="DH172" s="42" t="n">
        <f aca="false">IF(Tasks[[#This Row],[_Res1Text]]="",0,IFERROR(MATCH(TRIM(LEFT(Tasks[[#This Row],[_Res1Text]],FIND("[",Tasks[[#This Row],[_Res1Text]]&amp;"[")-1)),res_Name,0),IFERROR(MATCH(TRIM(LEFT(Tasks[[#This Row],[_Res1Text]],FIND("[",Tasks[[#This Row],[_Res1Text]]&amp;"[")-1)),res_Initials,0),0)))</f>
        <v>0</v>
      </c>
      <c r="DI172" s="42" t="n">
        <f aca="false">IF(Tasks[[#This Row],[_Res2Text]]="",0,IFERROR(MATCH(TRIM(LEFT(Tasks[[#This Row],[_Res2Text]],FIND("[",Tasks[[#This Row],[_Res2Text]]&amp;"[")-1)),res_Name,0),IFERROR(MATCH(TRIM(LEFT(Tasks[[#This Row],[_Res2Text]],FIND("[",Tasks[[#This Row],[_Res2Text]]&amp;"[")-1)),res_Initials,0),0)))</f>
        <v>0</v>
      </c>
      <c r="DJ172" s="42" t="n">
        <f aca="false">IF(Tasks[[#This Row],[_Res3Text]]="",0,IFERROR(MATCH(TRIM(LEFT(Tasks[[#This Row],[_Res3Text]],FIND("[",Tasks[[#This Row],[_Res3Text]]&amp;"[")-1)),res_Name,0),IFERROR(MATCH(TRIM(LEFT(Tasks[[#This Row],[_Res3Text]],FIND("[",Tasks[[#This Row],[_Res3Text]]&amp;"[")-1)),res_Initials,0),0)))</f>
        <v>0</v>
      </c>
      <c r="DK172" s="42" t="n">
        <f aca="false">IF(Tasks[[#This Row],[_Res4Text]]="",0,IFERROR(MATCH(TRIM(LEFT(Tasks[[#This Row],[_Res4Text]],FIND("[",Tasks[[#This Row],[_Res4Text]]&amp;"[")-1)),res_Name,0),IFERROR(MATCH(TRIM(LEFT(Tasks[[#This Row],[_Res4Text]],FIND("[",Tasks[[#This Row],[_Res4Text]]&amp;"[")-1)),res_Initials,0),0)))</f>
        <v>0</v>
      </c>
      <c r="DL172" s="42" t="str">
        <f aca="false">IF(Tasks[[#This Row],[_Res1Text]]="","",IF(Tasks[[#This Row],[_Res1Row]]&gt;0,INDEX(res_Name,Tasks[[#This Row],[_Res1Row]]),TRIM(LEFT(Tasks[[#This Row],[_Res1Text]],FIND("[",Tasks[[#This Row],[_Res1Text]]&amp;"[")-1))))</f>
        <v/>
      </c>
      <c r="DM17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2" s="42" t="n">
        <f aca="false">IF(NOT(Tasks[[#This Row],[_IsLeaf]]=1),0,(Tasks[[#This Row],[_Resource1]]&lt;&gt;"")+(Tasks[[#This Row],[_Res2]]&lt;&gt;"")+(Tasks[[#This Row],[_Res3]]&lt;&gt;"")+(Tasks[[#This Row],[_Res4]]&lt;&gt;""))</f>
        <v>0</v>
      </c>
      <c r="DO172" s="42" t="str">
        <f aca="false">IF(Tasks[[#This Row],[_Res2Text]]="","",IF(Tasks[[#This Row],[_Res2Row]]&gt;0,INDEX(res_Name,Tasks[[#This Row],[_Res2Row]]),TRIM(LEFT(Tasks[[#This Row],[_Res2Text]],FIND("[",Tasks[[#This Row],[_Res2Text]]&amp;"[")-1))))</f>
        <v/>
      </c>
      <c r="DP17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2" s="42" t="n">
        <f aca="false">IF(OR(NOT(Tasks[[#This Row],[_IsLeaf]]=1),Tasks[[#This Row],[_Res2Row]]=0),0,N(Tasks[[#This Row],[_Days]])*HoursPerDay*IF(Tasks[[#This Row],[_Res2Units]]="",DefaultUnits,Tasks[[#This Row],[_Res2Units]]))</f>
        <v>0</v>
      </c>
      <c r="DR172" s="42" t="n">
        <f aca="false">IF(AND(AND(Tasks[[#This Row],[_IsLeaf]]=1,Tasks[[#This Row],[_LeafTotalWork]]&gt;0),Tasks[[#This Row],[_Res2Work]]&gt;0),Tasks[[#This Row],[_Res2Work]]/(Tasks[[#This Row],[_FinishWorkday]]-Tasks[[#This Row],[_StartWorkday]]+1),0)</f>
        <v>0</v>
      </c>
      <c r="DS172" s="42" t="n">
        <f aca="false">Tasks[[#This Row],[_Res2WorkPerWD]]*MAX(0,Tasks[[#This Row],[_StartWorkday]]-1)</f>
        <v>0</v>
      </c>
      <c r="DT172" s="42" t="n">
        <f aca="false">Tasks[[#This Row],[_Res2Work]]*Tasks[[#This Row],[_LeafProgress]]</f>
        <v>0</v>
      </c>
      <c r="DU172" s="42" t="str">
        <f aca="false">IF(Tasks[[#This Row],[_Res3Text]]="","",IF(Tasks[[#This Row],[_Res3Row]]&gt;0,INDEX(res_Name,Tasks[[#This Row],[_Res3Row]]),TRIM(LEFT(Tasks[[#This Row],[_Res3Text]],FIND("[",Tasks[[#This Row],[_Res3Text]]&amp;"[")-1))))</f>
        <v/>
      </c>
      <c r="DV17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2" s="42" t="n">
        <f aca="false">IF(OR(NOT(Tasks[[#This Row],[_IsLeaf]]=1),Tasks[[#This Row],[_Res3Row]]=0),0,N(Tasks[[#This Row],[_Days]])*HoursPerDay*IF(Tasks[[#This Row],[_Res3Units]]="",DefaultUnits,Tasks[[#This Row],[_Res3Units]]))</f>
        <v>0</v>
      </c>
      <c r="DX172" s="42" t="n">
        <f aca="false">IF(AND(AND(Tasks[[#This Row],[_IsLeaf]]=1,Tasks[[#This Row],[_LeafTotalWork]]&gt;0),Tasks[[#This Row],[_Res3Work]]&gt;0),Tasks[[#This Row],[_Res3Work]]/(Tasks[[#This Row],[_FinishWorkday]]-Tasks[[#This Row],[_StartWorkday]]+1),0)</f>
        <v>0</v>
      </c>
      <c r="DY172" s="42" t="n">
        <f aca="false">Tasks[[#This Row],[_Res3WorkPerWD]]*MAX(0,Tasks[[#This Row],[_StartWorkday]]-1)</f>
        <v>0</v>
      </c>
      <c r="DZ172" s="42" t="n">
        <f aca="false">Tasks[[#This Row],[_Res3Work]]*Tasks[[#This Row],[_LeafProgress]]</f>
        <v>0</v>
      </c>
      <c r="EA172" s="42" t="str">
        <f aca="false">IF(Tasks[[#This Row],[_Res4Text]]="","",IF(Tasks[[#This Row],[_Res4Row]]&gt;0,INDEX(res_Name,Tasks[[#This Row],[_Res4Row]]),TRIM(LEFT(Tasks[[#This Row],[_Res4Text]],FIND("[",Tasks[[#This Row],[_Res4Text]]&amp;"[")-1))))</f>
        <v/>
      </c>
      <c r="EB17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2" s="42" t="n">
        <f aca="false">IF(OR(NOT(Tasks[[#This Row],[_IsLeaf]]=1),Tasks[[#This Row],[_Res4Row]]=0),0,N(Tasks[[#This Row],[_Days]])*HoursPerDay*IF(Tasks[[#This Row],[_Res4Units]]="",DefaultUnits,Tasks[[#This Row],[_Res4Units]]))</f>
        <v>0</v>
      </c>
      <c r="ED172" s="42" t="n">
        <f aca="false">IF(AND(AND(Tasks[[#This Row],[_IsLeaf]]=1,Tasks[[#This Row],[_LeafTotalWork]]&gt;0),Tasks[[#This Row],[_Res4Work]]&gt;0),Tasks[[#This Row],[_Res4Work]]/(Tasks[[#This Row],[_FinishWorkday]]-Tasks[[#This Row],[_StartWorkday]]+1),0)</f>
        <v>0</v>
      </c>
      <c r="EE172" s="42" t="n">
        <f aca="false">Tasks[[#This Row],[_Res4WorkPerWD]]*MAX(0,Tasks[[#This Row],[_StartWorkday]]-1)</f>
        <v>0</v>
      </c>
      <c r="EF172" s="42" t="n">
        <f aca="false">Tasks[[#This Row],[_Res4Work]]*Tasks[[#This Row],[_LeafProgress]]</f>
        <v>0</v>
      </c>
      <c r="EG172" s="42" t="n">
        <f aca="false">IF(ISNUMBER(Tasks[[#This Row],[% Complete]]),Tasks[[#This Row],[% Complete]],IF(Tasks[[#This Row],[Stage]]="",0,IFERROR(INDEX(stg_Pct,MATCH(Tasks[[#This Row],[Stage]],stg_Name,0)),0)))</f>
        <v>0</v>
      </c>
      <c r="EH172" s="42" t="n">
        <f aca="false">IF(NOT(Tasks[[#This Row],[_IsLeaf]]=1),0,IF(N(Tasks[[#This Row],[Actual Finish]])&gt;0,1,MIN(1,Tasks[[#This Row],[_Pct]])))</f>
        <v>0</v>
      </c>
      <c r="EI172" s="42" t="n">
        <f aca="false">IF(OR(NOT(Tasks[[#This Row],[_IsLeaf]]=1),Tasks[[#This Row],[_Res1Row]]=0),0,N(Tasks[[#This Row],[_Days]])*HoursPerDay*IF(Tasks[[#This Row],[_Units1]]="",DefaultUnits,Tasks[[#This Row],[_Units1]]))</f>
        <v>0</v>
      </c>
      <c r="EJ172" s="42" t="n">
        <f aca="false">Tasks[[#This Row],[_LeafWork]]+Tasks[[#This Row],[_Res2Work]]+Tasks[[#This Row],[_Res3Work]]+Tasks[[#This Row],[_Res4Work]]</f>
        <v>0</v>
      </c>
      <c r="EK17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2" s="42" t="n">
        <f aca="false">IF(NOT(Tasks[[#This Row],[_IsLeaf]]=1),0,MAX(_xlfn.MAXIFS(Tasks[_Row],Tasks[_Pred1UID],Tasks[[#This Row],[UID]]),_xlfn.MAXIFS(Tasks[_Row],Tasks[_Pred2UID],Tasks[[#This Row],[UID]]),_xlfn.MAXIFS(Tasks[_Row],Tasks[_Pred3UID],Tasks[[#This Row],[UID]]),_xlfn.MAXIFS(Tasks[_Row],Tasks[_Pred4UID],Tasks[[#This Row],[UID]])))</f>
        <v>0</v>
      </c>
      <c r="ET17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2" s="89" t="str">
        <f aca="false">IF(NOT(Tasks[[#This Row],[_IsLeaf]]=1),"",IF(N(Tasks[[#This Row],[_Days]])&lt;=0,Tasks[[#This Row],[_LeafLateFinish]],WORKDAY.INTL(Tasks[[#This Row],[_LeafLateFinish]],-(Tasks[[#This Row],[_Days]]-1),WorkWeek,Holidays)))</f>
        <v/>
      </c>
      <c r="EW17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2" s="88" t="b">
        <f aca="false">AND(Tasks[[#This Row],[_IsLeaf]]=1,Tasks[[#This Row],[_LeafProgress]]&lt;1,N(Tasks[[#This Row],[_LeafTotalSlack]])&lt;=CriticalSlackDays)</f>
        <v>0</v>
      </c>
      <c r="EY172" s="42" t="n">
        <f aca="false">IF(AND(Tasks[[#This Row],[_IsLeaf]]=1,Tasks[[#This Row],[_ConstraintCode]]=1,Tasks[[#This Row],[Mode]]&lt;&gt;"Manual",N(Tasks[[#This Row],[Actual Start]])=0),MAX(0,N(Tasks[[#This Row],[Free Slack]])),0)</f>
        <v>0</v>
      </c>
      <c r="EZ172" s="89" t="str">
        <f aca="false">IF(NOT(Tasks[[#This Row],[_IsLeaf]]=1),"",IF(Tasks[[#This Row],[_AlapShift]]=0,Tasks[[#This Row],[_LeafCalcStart]],WORKDAY.INTL(Tasks[[#This Row],[_LeafCalcStart]],Tasks[[#This Row],[_AlapShift]],WorkWeek,Holidays)))</f>
        <v/>
      </c>
      <c r="FA172" s="89" t="str">
        <f aca="false">IF(NOT(Tasks[[#This Row],[_IsLeaf]]=1),"",IF(Tasks[[#This Row],[_AlapShift]]=0,Tasks[[#This Row],[_LeafCalcFinish]],WORKDAY.INTL(Tasks[[#This Row],[_LeafCalcFinish]],Tasks[[#This Row],[_AlapShift]],WorkWeek,Holidays)))</f>
        <v/>
      </c>
      <c r="FB172" s="89" t="str">
        <f aca="false">IF(NOT(Tasks[[#This Row],[_IsLeaf]]=1),"",IF(Tasks[[#This Row],[_AlapShift]]=0,Tasks[[#This Row],[_LeafFcstStart]],WORKDAY.INTL(Tasks[[#This Row],[_LeafFcstStart]],Tasks[[#This Row],[_AlapShift]],WorkWeek,Holidays)))</f>
        <v/>
      </c>
      <c r="FC172" s="89" t="str">
        <f aca="false">IF(NOT(Tasks[[#This Row],[_IsLeaf]]=1),"",IF(Tasks[[#This Row],[_AlapShift]]=0,Tasks[[#This Row],[_LeafFcstFinish]],WORKDAY.INTL(Tasks[[#This Row],[_LeafFcstFinish]],Tasks[[#This Row],[_AlapShift]],WorkWeek,Holidays)))</f>
        <v/>
      </c>
      <c r="FD172" s="89" t="str">
        <f aca="false">IF(Tasks[[#This Row],[Task Name]]="","",IF(Tasks[[#This Row],[_IsSummary]],MIN(INDEX(Tasks[_ShownCalcStart],Tasks[[#This Row],[_Row]]+1):INDEX(Tasks[_ShownCalcStart],Tasks[[#This Row],[_Row]]+Tasks[[#This Row],[_Descendants]])),Tasks[[#This Row],[_ShownCalcStart]]))</f>
        <v/>
      </c>
      <c r="FE172" s="89" t="str">
        <f aca="false">IF(Tasks[[#This Row],[Task Name]]="","",IF(Tasks[[#This Row],[_IsSummary]],MAX(INDEX(Tasks[_ShownCalcFinish],Tasks[[#This Row],[_Row]]+1):INDEX(Tasks[_ShownCalcFinish],Tasks[[#This Row],[_Row]]+Tasks[[#This Row],[_Descendants]])),Tasks[[#This Row],[_ShownCalcFinish]]))</f>
        <v/>
      </c>
      <c r="FF17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2" s="42" t="n">
        <f aca="false">IF(AND(Tasks[[#This Row],[_IsLeaf]]=1,Tasks[[#This Row],[_LeafTotalWork]]&gt;0),NETWORKDAYS.INTL(ProjectStart,Tasks[[#This Row],[_ShownFcstStart]],WorkWeek,Holidays),0)</f>
        <v>0</v>
      </c>
      <c r="FS172" s="42" t="n">
        <f aca="false">IF(AND(Tasks[[#This Row],[_IsLeaf]]=1,Tasks[[#This Row],[_LeafTotalWork]]&gt;0),MAX(Tasks[[#This Row],[_StartWorkday]],NETWORKDAYS.INTL(ProjectStart,Tasks[[#This Row],[_ShownFcstFinish]],WorkWeek,Holidays)),0)</f>
        <v>0</v>
      </c>
      <c r="FT172" s="42" t="n">
        <f aca="false">IF(AND(Tasks[[#This Row],[_IsLeaf]]=1,Tasks[[#This Row],[_LeafTotalWork]]&gt;0),Tasks[[#This Row],[_LeafWork]]/(Tasks[[#This Row],[_FinishWorkday]]-Tasks[[#This Row],[_StartWorkday]]+1),0)</f>
        <v>0</v>
      </c>
      <c r="FU172" s="42" t="n">
        <f aca="false">Tasks[[#This Row],[_WorkPerWorkday]]*(Tasks[[#This Row],[_StartWorkday]]-1)</f>
        <v>-0</v>
      </c>
      <c r="FV172" s="42" t="n">
        <f aca="false">IF(Tasks[[#This Row],[_IsLeaf]]=1,MAX(N(Tasks[[#This Row],[_Days]]),0.1),0)</f>
        <v>0</v>
      </c>
      <c r="FW172" s="42" t="n">
        <f aca="false">Tasks[[#This Row],[_WeightDur]]*Tasks[[#This Row],[_LeafProgress]]</f>
        <v>0</v>
      </c>
      <c r="FX172" s="42" t="n">
        <f aca="false">Tasks[[#This Row],[_WeightDur]]*Tasks[[#This Row],[_PlannedPct]]</f>
        <v>0</v>
      </c>
      <c r="FY17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2" s="42" t="str">
        <f aca="false">IF(AND(Tasks[[#This Row],[_IsLeaf]]=1,N(Tasks[[#This Row],[_Days]])=0,Tasks[[#This Row],[_LeafProgress]]&lt;1),Tasks[[#This Row],[_ShownFcstFinish]]+Tasks[[#This Row],[_Row]]/100000,"")</f>
        <v/>
      </c>
      <c r="GA17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2" s="42" t="str">
        <f aca="false">IF(Tasks[[#This Row],[Task Name]]="","",LEFT(Tasks[[#This Row],[WBS]],FIND(".",Tasks[[#This Row],[WBS]]&amp;".")-1))</f>
        <v/>
      </c>
      <c r="GC172" s="42" t="str">
        <f aca="false">IF(AND(Tasks[[#This Row],[Task Name]]&lt;&gt;"",Tasks[[#This Row],[_Level]]=1),Tasks[[#This Row],[_Row]],"")</f>
        <v/>
      </c>
      <c r="GD172" s="42" t="str">
        <f aca="false">IF(AND(Tasks[[#This Row],[_IsLeaf]]=1,N(Tasks[[#This Row],[_Days]])=0),Tasks[[#This Row],[Planned Finish]]+Tasks[[#This Row],[_Row]]/100000,"")</f>
        <v/>
      </c>
      <c r="GE172" s="42" t="str">
        <f aca="false">IF(AND(Tasks[[#This Row],[_IsLeaf]]=1,Tasks[[#This Row],[_LeafProgress]]&lt;1,OR(N(Tasks[[#This Row],[Finish Var]])&gt;0,Tasks[[#This Row],[Status]]="Late Start")),MAX(0,Tasks[[#This Row],[Finish Var]])+1-Tasks[[#This Row],[_Row]]/1000000,"")</f>
        <v/>
      </c>
      <c r="GF172" s="42" t="str">
        <f aca="false">IF(AND(Tasks[[#This Row],[_IsLeaf]]=1,N(Tasks[[#This Row],[Actual Start]])=0,Tasks[[#This Row],[_ShownFcstStart]]&gt;=StatusDate,Tasks[[#This Row],[_ShownFcstStart]]&lt;=LookaheadEnd),Tasks[[#This Row],[_ShownFcstStart]]+Tasks[[#This Row],[_Row]]/100000,"")</f>
        <v/>
      </c>
      <c r="GG172" s="42" t="str">
        <f aca="false">IF(AND(Tasks[[#This Row],[_IsLeaf]]=1,Tasks[[#This Row],[_LeafProgress]]&lt;1,Tasks[[#This Row],[_ShownFcstFinish]]&gt;=StatusDate,Tasks[[#This Row],[_ShownFcstFinish]]&lt;=LookaheadEnd),Tasks[[#This Row],[_ShownFcstFinish]]+Tasks[[#This Row],[_Row]]/100000,"")</f>
        <v/>
      </c>
      <c r="GH172" s="42" t="str">
        <f aca="false">IF(Tasks[[#This Row],[_LeafCritical]],Tasks[[#This Row],[_ShownFcstStart]]+Tasks[[#This Row],[_Row]]/100000,"")</f>
        <v/>
      </c>
      <c r="GI172" s="42" t="n">
        <f aca="false">Tasks[[#This Row],[_LeafWork]]*Tasks[[#This Row],[_LeafProgress]]</f>
        <v>0</v>
      </c>
      <c r="GJ172" s="89" t="str">
        <f aca="false">IF(AND(Tasks[[#This Row],[_IsLeaf]]=1,Tasks[[#This Row],[_LeafProgress]]&gt;=1),IF(N(Tasks[[#This Row],[Actual Finish]])&gt;0,Tasks[[#This Row],[Actual Finish]],Tasks[[#This Row],[_ShownFcstFinish]]),"")</f>
        <v/>
      </c>
      <c r="GK172" s="42" t="n">
        <f aca="false">IF(Tasks[[#This Row],[_IsLeaf]]=1,N(Tasks[[#This Row],[Story Points]]),0)</f>
        <v>0</v>
      </c>
      <c r="GL172" s="42" t="str">
        <f aca="false">""</f>
        <v/>
      </c>
      <c r="GM172" s="88" t="b">
        <f aca="false">IF(Tasks[[#This Row],[Task Name]]="",FALSE(),AND(Tasks[[#This Row],[_IsLeaf]]=1,N(Tasks[[#This Row],[_Days]])=0))</f>
        <v>0</v>
      </c>
      <c r="GN172" s="89" t="n">
        <f aca="false">IF(Tasks[[#This Row],[Task Name]]="",0,IF(AND(Tasks[[#This Row],[_IsLeaf]]=1,NOT(Tasks[[#This Row],[_IsMilestone]]),N(Tasks[[#This Row],[Progress]])&gt;0),Tasks[[#This Row],[Start]],0))</f>
        <v>0</v>
      </c>
      <c r="GO172" s="89" t="n">
        <f aca="false">IF(Tasks[[#This Row],[_DoneFrom]]=0,0,IF(Tasks[[#This Row],[Progress]]&gt;=1,Tasks[[#This Row],[Finish]],MAX(Tasks[[#This Row],[_DoneFrom]],Tasks[[#This Row],[Start]]+ROUND((Tasks[[#This Row],[Finish]]-Tasks[[#This Row],[Start]]+1)*Tasks[[#This Row],[Progress]],0)-1)))</f>
        <v>0</v>
      </c>
      <c r="GP172" s="89" t="n">
        <f aca="false">IF(Tasks[[#This Row],[Task Name]]="",0,IF(OR(NOT(Tasks[[#This Row],[_IsLeaf]]=1),Tasks[[#This Row],[_IsMilestone]],N(Tasks[[#This Row],[Progress]])&gt;=1),0,IF(Tasks[[#This Row],[_DoneTo]]&gt;0,Tasks[[#This Row],[_DoneTo]]+1,Tasks[[#This Row],[Start]])))</f>
        <v>0</v>
      </c>
      <c r="GQ172" s="89" t="n">
        <f aca="false">IF(Tasks[[#This Row],[_RemFrom]]=0,0,Tasks[[#This Row],[Finish]])</f>
        <v>0</v>
      </c>
      <c r="GR172" s="88" t="b">
        <f aca="false">IF(Tasks[[#This Row],[Task Name]]="",FALSE(),OR(NOT(BaselineSet),N(Tasks[[#This Row],[Baseline Start]])&gt;0))</f>
        <v>0</v>
      </c>
      <c r="GS17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2" s="90" t="str">
        <f aca="false">IF(Tasks[[#This Row],[_IsLeaf]]=1,Tasks[[#This Row],[_Row]],"")</f>
        <v/>
      </c>
      <c r="GW172" s="90" t="str">
        <f aca="false">IFERROR(INDEX(Tasks[UID],SMALL(Tasks[_PickKey],Tasks[[#This Row],[_Row]]))&amp;" "&amp;INDEX(Tasks[Task Name],SMALL(Tasks[_PickKey],Tasks[[#This Row],[_Row]])),"")</f>
        <v/>
      </c>
      <c r="GX172" s="42" t="str">
        <f aca="false">IF(Tasks[[#This Row],[Task Name]]="","",IF(Tasks[[#This Row],[_IsSummary]],NETWORKDAYS.INTL(Tasks[[#This Row],[Start]],Tasks[[#This Row],[Finish]],WorkWeek,Holidays),N(Tasks[[#This Row],[_Days]])))</f>
        <v/>
      </c>
    </row>
    <row r="173" customFormat="false" ht="15" hidden="false" customHeight="false" outlineLevel="0" collapsed="false">
      <c r="A173" s="21" t="str">
        <f aca="false">IF(Tasks[[#This Row],[Task Name]]="","",COUNTA(Tasks[[#Headers],[Task Name]]:Tasks[[#This Row],[Task Name]])-1)</f>
        <v/>
      </c>
      <c r="B173" s="22" t="n">
        <v>181</v>
      </c>
      <c r="C173" s="22"/>
      <c r="D173" s="23"/>
      <c r="E173" s="22"/>
      <c r="F173" s="23"/>
      <c r="G173" s="22"/>
      <c r="H173" s="22"/>
      <c r="I173" s="23"/>
      <c r="J173" s="22"/>
      <c r="K173" s="22"/>
      <c r="L173" s="23"/>
      <c r="M173" s="22"/>
      <c r="N173" s="22"/>
      <c r="O173" s="23"/>
      <c r="P173" s="22"/>
      <c r="Q173" s="22"/>
      <c r="R173" s="23"/>
      <c r="S173" s="23"/>
      <c r="T173" s="83"/>
      <c r="U173" s="23"/>
      <c r="V173" s="83"/>
      <c r="W173" s="23"/>
      <c r="X173" s="83"/>
      <c r="Y173" s="23"/>
      <c r="Z173" s="83"/>
      <c r="AA173" s="23"/>
      <c r="AB173" s="23"/>
      <c r="AC173" s="7"/>
      <c r="AD173" s="7"/>
      <c r="AE173" s="62" t="str">
        <f aca="false">IF(Tasks[[#This Row],[Task Name]]="","",IF(Tasks[[#This Row],[_IsSummary]],MIN(INDEX(Tasks[_ShownFcstStart],Tasks[[#This Row],[_Row]]+1):INDEX(Tasks[_ShownFcstStart],Tasks[[#This Row],[_Row]]+Tasks[[#This Row],[_Descendants]])),Tasks[[#This Row],[_ShownFcstStart]]))</f>
        <v/>
      </c>
      <c r="AF173" s="62" t="str">
        <f aca="false">IF(Tasks[[#This Row],[Task Name]]="","",IF(Tasks[[#This Row],[_IsSummary]],MAX(INDEX(Tasks[_ShownFcstFinish],Tasks[[#This Row],[_Row]]+1):INDEX(Tasks[_ShownFcstFinish],Tasks[[#This Row],[_Row]]+Tasks[[#This Row],[_Descendants]])),Tasks[[#This Row],[_ShownFcstFinish]]))</f>
        <v/>
      </c>
      <c r="AG173" s="21" t="str">
        <f aca="false">""</f>
        <v/>
      </c>
      <c r="AH173" s="23"/>
      <c r="AI17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3" s="7"/>
      <c r="AK173" s="22"/>
      <c r="AL173" s="23"/>
      <c r="AM173" s="7"/>
      <c r="AN173" s="46" t="str">
        <f aca="false">IF(Tasks[[#This Row],[Task Name]]="","",IF(Tasks[[#This Row],[Finish]]&gt;=Tasks[[#This Row],[Planned Finish]],NETWORKDAYS.INTL(Tasks[[#This Row],[Planned Finish]],Tasks[[#This Row],[Finish]],WorkWeek,Holidays)-1,1-NETWORKDAYS.INTL(Tasks[[#This Row],[Finish]],Tasks[[#This Row],[Planned Finish]],WorkWeek,Holidays)))</f>
        <v/>
      </c>
      <c r="AO173" s="21" t="str">
        <f aca="false">IF(Tasks[[#This Row],[Task Name]]="","",IF(Tasks[[#This Row],[Progress]]&gt;=1,"Complete",IF(OR(N(Tasks[[#This Row],[Actual Start]])&gt;0,Tasks[[#This Row],[Progress]]&gt;0),IF(Tasks[[#This Row],[Finish Var]]&gt;0,"Behind","In Progress"),IF(Tasks[[#This Row],[Planned Start]]&lt;StatusDate,"Late Start","Not Started"))))</f>
        <v/>
      </c>
      <c r="AP173" s="21" t="str">
        <f aca="false">IF(Tasks[[#This Row],[Task Name]]="","",IF(IF(Tasks[[#This Row],[_IsSummary]],COUNTIF(INDEX(Tasks[_LeafCritical],Tasks[[#This Row],[_Row]]+1):INDEX(Tasks[_LeafCritical],Tasks[[#This Row],[_Row]]+Tasks[[#This Row],[_Descendants]]),TRUE())&gt;0,Tasks[[#This Row],[_LeafCritical]]),"Yes",""))</f>
        <v/>
      </c>
      <c r="AQ173" s="62" t="str">
        <f aca="false">IF(Tasks[[#This Row],[Task Name]]="","",IF(N(Tasks[[#This Row],[Baseline Start]])&gt;0,Tasks[[#This Row],[Baseline Start]],Tasks[[#This Row],[_CalcStart]]))</f>
        <v/>
      </c>
      <c r="AR173" s="62" t="str">
        <f aca="false">IF(Tasks[[#This Row],[Task Name]]="","",IF(N(Tasks[[#This Row],[Baseline Finish]])&gt;0,Tasks[[#This Row],[Baseline Finish]],Tasks[[#This Row],[_CalcFinish]]))</f>
        <v/>
      </c>
      <c r="AS173" s="46" t="str">
        <f aca="false">IF(Tasks[[#This Row],[Task Name]]="","",IF(Tasks[[#This Row],[Start]]&gt;=Tasks[[#This Row],[Planned Start]],NETWORKDAYS.INTL(Tasks[[#This Row],[Planned Start]],Tasks[[#This Row],[Start]],WorkWeek,Holidays)-1,1-NETWORKDAYS.INTL(Tasks[[#This Row],[Start]],Tasks[[#This Row],[Planned Start]],WorkWeek,Holidays)))</f>
        <v/>
      </c>
      <c r="AT173" s="62" t="str">
        <f aca="false">IF(Tasks[[#This Row],[Task Name]]="","",IF(Tasks[[#This Row],[_IsSummary]],MIN(INDEX(Tasks[_LeafLateStart],Tasks[[#This Row],[_Row]]+1):INDEX(Tasks[_LeafLateStart],Tasks[[#This Row],[_Row]]+Tasks[[#This Row],[_Descendants]])),Tasks[[#This Row],[_LeafLateStart]]))</f>
        <v/>
      </c>
      <c r="AU173" s="62" t="str">
        <f aca="false">IF(Tasks[[#This Row],[Task Name]]="","",IF(Tasks[[#This Row],[_IsSummary]],MAX(INDEX(Tasks[_LeafLateFinish],Tasks[[#This Row],[_Row]]+1):INDEX(Tasks[_LeafLateFinish],Tasks[[#This Row],[_Row]]+Tasks[[#This Row],[_Descendants]])),Tasks[[#This Row],[_LeafLateFinish]]))</f>
        <v/>
      </c>
      <c r="AV173" s="46" t="str">
        <f aca="false">IF(Tasks[[#This Row],[Task Name]]="","",IF(Tasks[[#This Row],[_IsSummary]],MIN(INDEX(Tasks[_LeafTotalSlack],Tasks[[#This Row],[_Row]]+1):INDEX(Tasks[_LeafTotalSlack],Tasks[[#This Row],[_Row]]+Tasks[[#This Row],[_Descendants]])),Tasks[[#This Row],[_LeafTotalSlack]]))</f>
        <v/>
      </c>
      <c r="AW17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4"/>
      <c r="BA17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t="str">
        <f aca="false">IF(Tasks[[#This Row],[Task Name]]="","",IF(Tasks[[#This Row],[_Level]]&lt;=OutlineShowLevel,"Yes","No"))</f>
        <v/>
      </c>
      <c r="BE173" s="85" t="str">
        <f aca="false">IF(Tasks[[#This Row],[Task Name]]="","",IF(Tasks[[#This Row],[_IsSummary]],SUM(INDEX(Tasks[_LeafTotalWork],Tasks[[#This Row],[_Row]]+1):INDEX(Tasks[_LeafTotalWork],Tasks[[#This Row],[_Row]]+Tasks[[#This Row],[_Descendants]])),Tasks[[#This Row],[_LeafTotalWork]]))</f>
        <v/>
      </c>
      <c r="BF173" s="23"/>
      <c r="BG17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t="str">
        <f aca="false">""</f>
        <v/>
      </c>
      <c r="BI173" s="86"/>
      <c r="BJ173" s="22"/>
      <c r="BK173" s="46" t="str">
        <f aca="false">IF(OR(Tasks[[#This Row],[Task Name]]="",Tasks[[#This Row],[Baseline Duration]]=""),"",Tasks[[#This Row],[_SpanDays]]-N(Tasks[[#This Row],[Baseline Duration]]))</f>
        <v/>
      </c>
      <c r="BL173" s="85" t="str">
        <f aca="false">IF(OR(Tasks[[#This Row],[Task Name]]="",Tasks[[#This Row],[Baseline Work]]=""),"",Tasks[[#This Row],[Work]]-N(Tasks[[#This Row],[Baseline Work]]))</f>
        <v/>
      </c>
      <c r="BM173" s="62" t="str">
        <f aca="false">IF(Tasks[[#This Row],[Task Name]]="","",IF(OR(TakeBaseline="Yes",N(Tasks[[#This Row],[Baseline Start]])=0),Tasks[[#This Row],[Start]],Tasks[[#This Row],[Baseline Start]]))</f>
        <v/>
      </c>
      <c r="BN173" s="62" t="str">
        <f aca="false">IF(Tasks[[#This Row],[Task Name]]="","",IF(OR(TakeBaseline="Yes",N(Tasks[[#This Row],[Baseline Finish]])=0),Tasks[[#This Row],[Finish]],Tasks[[#This Row],[Baseline Finish]]))</f>
        <v/>
      </c>
      <c r="BO173" s="21" t="str">
        <f aca="false">IF(Tasks[[#This Row],[Task Name]]="","",IF(OR(TakeBaseline="Yes",N(Tasks[[#This Row],[Baseline Duration]])=0),Tasks[[#This Row],[_SpanDays]],Tasks[[#This Row],[Baseline Duration]]))</f>
        <v/>
      </c>
      <c r="BP173" s="85" t="str">
        <f aca="false">IF(Tasks[[#This Row],[Task Name]]="","",IF(OR(TakeBaseline="Yes",N(Tasks[[#This Row],[Baseline Work]])=0),Tasks[[#This Row],[Work]],Tasks[[#This Row],[Baseline Work]]))</f>
        <v/>
      </c>
      <c r="BQ173" s="7"/>
      <c r="BR173" s="7"/>
      <c r="BS173" s="22"/>
      <c r="BT173" s="87"/>
      <c r="BU173" s="42" t="str">
        <f aca="false">IF(Tasks[[#This Row],[Task Name]]="","",MAX(1,N(Tasks[[#This Row],[Level]])))</f>
        <v/>
      </c>
      <c r="BV173" s="42" t="n">
        <f aca="false">ROW()-ROW(Tasks[[#Headers],[ID]])</f>
        <v>168</v>
      </c>
      <c r="BW173" s="42" t="n">
        <f aca="false">IF(OR(Tasks[[#This Row],[Task Name]]="",Tasks[[#This Row],[_Level]]&lt;=1),0,IFERROR(LOOKUP(2,1/(Tasks[[#Headers],[_Level]]:Tasks[[#This Row],[_Level]]=Tasks[[#This Row],[_Level]]-1),ROW(Tasks[[#Headers],[_Level]]:Tasks[[#This Row],[_Level]])),0))</f>
        <v>0</v>
      </c>
      <c r="BX173" s="42" t="n">
        <f aca="false">IFERROR(N(INDEX(Tasks[_Level],Tasks[[#This Row],[_Row]]+1)),0)</f>
        <v>0</v>
      </c>
      <c r="BY173" s="88" t="b">
        <f aca="false">AND(Tasks[[#This Row],[Task Name]]&lt;&gt;"",Tasks[[#This Row],[_NextLevel]]&gt;Tasks[[#This Row],[_Level]])</f>
        <v>0</v>
      </c>
      <c r="BZ173" s="42" t="n">
        <f aca="false">IF(Tasks[[#This Row],[_IsSummary]],COUNTIF(Tasks[WBS],Tasks[[#This Row],[WBS]]&amp;".*"),0)</f>
        <v>0</v>
      </c>
      <c r="CA173" s="42" t="n">
        <f aca="false">IF(AND(Tasks[[#This Row],[Task Name]]&lt;&gt;"",NOT(Tasks[[#This Row],[_IsSummary]])),1,0)</f>
        <v>0</v>
      </c>
      <c r="CB173" s="42" t="n">
        <f aca="false">IF(N(Tasks[[#This Row],[_Pred1UID]])=0,0,IFERROR(MATCH(Tasks[[#This Row],[_Pred1UID]],Tasks[UID],0),-1))</f>
        <v>0</v>
      </c>
      <c r="CC173" s="42" t="n">
        <f aca="false">IF(N(Tasks[[#This Row],[_Pred2UID]])=0,0,IFERROR(MATCH(Tasks[[#This Row],[_Pred2UID]],Tasks[UID],0),-1))</f>
        <v>0</v>
      </c>
      <c r="CD173" s="42" t="n">
        <f aca="false">IF(N(Tasks[[#This Row],[_Pred3UID]])=0,0,IFERROR(MATCH(Tasks[[#This Row],[_Pred3UID]],Tasks[UID],0),-1))</f>
        <v>0</v>
      </c>
      <c r="CE173" s="42" t="n">
        <f aca="false">IF(N(Tasks[[#This Row],[_Pred4UID]])=0,0,IFERROR(MATCH(Tasks[[#This Row],[_Pred4UID]],Tasks[UID],0),-1))</f>
        <v>0</v>
      </c>
      <c r="CF17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3" s="89" t="n">
        <f aca="false">IF(OR(Tasks[[#This Row],[_ConstraintCode]]=2,Tasks[[#This Row],[_ConstraintCode]]=3,Tasks[[#This Row],[_ConstraintCode]]=4,Tasks[[#This Row],[_ConstraintCode]]=6),Tasks[[#This Row],[_ConstraintStart]],0)</f>
        <v>0</v>
      </c>
      <c r="CI173" s="89" t="n">
        <f aca="false">IF(OR(Tasks[[#This Row],[_ConstraintCode]]=2,Tasks[[#This Row],[_ConstraintCode]]=3,Tasks[[#This Row],[_ConstraintCode]]=5,Tasks[[#This Row],[_ConstraintCode]]=7),Tasks[[#This Row],[_ConstraintStart]],2958465)</f>
        <v>2958465</v>
      </c>
      <c r="CJ17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3" s="89" t="str">
        <f aca="false">IF(NOT(Tasks[[#This Row],[_IsLeaf]]=1),"",IF(N(Tasks[[#This Row],[_Days]])&lt;=0,Tasks[[#This Row],[_LeafCalcStart]],WORKDAY.INTL(Tasks[[#This Row],[_LeafCalcStart]],Tasks[[#This Row],[_Days]]-1,WorkWeek,Holidays)))</f>
        <v/>
      </c>
      <c r="CL17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3" s="42" t="str">
        <f aca="false">IF(Tasks[[#This Row],[_Predecessors]]="","",TRIM(MID(SUBSTITUTE(SUBSTITUTE(SUBSTITUTE(UPPER(Tasks[[#This Row],[_Predecessors]]),";",",")," ",""),",",REPT(" ",99)),1,99)))</f>
        <v/>
      </c>
      <c r="CO173" s="42" t="str">
        <f aca="false">IF(Tasks[[#This Row],[_Pred1Text]]="","",IFERROR(VALUE(LEFT(Tasks[[#This Row],[_Pred1Text]],MIN(FIND("F",Tasks[[#This Row],[_Pred1Text]]&amp;"F"),FIND("S",Tasks[[#This Row],[_Pred1Text]]&amp;"S"),FIND("+",Tasks[[#This Row],[_Pred1Text]]&amp;"+"),FIND("-",Tasks[[#This Row],[_Pred1Text]]&amp;"-"))-1)),""))</f>
        <v/>
      </c>
      <c r="CP17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3" s="42" t="str">
        <f aca="false">IF(Tasks[[#This Row],[_Pred1Text]]="","",TRIM(MID(SUBSTITUTE(SUBSTITUTE(SUBSTITUTE(UPPER(Tasks[[#This Row],[_Predecessors]]),";",",")," ",""),",",REPT(" ",99)),100,99)))</f>
        <v/>
      </c>
      <c r="CS173" s="42" t="str">
        <f aca="false">IF(Tasks[[#This Row],[_Pred2Text]]="","",IFERROR(VALUE(LEFT(Tasks[[#This Row],[_Pred2Text]],MIN(FIND("F",Tasks[[#This Row],[_Pred2Text]]&amp;"F"),FIND("S",Tasks[[#This Row],[_Pred2Text]]&amp;"S"),FIND("+",Tasks[[#This Row],[_Pred2Text]]&amp;"+"),FIND("-",Tasks[[#This Row],[_Pred2Text]]&amp;"-"))-1)),""))</f>
        <v/>
      </c>
      <c r="CT17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3" s="42" t="str">
        <f aca="false">IF(Tasks[[#This Row],[_Pred2Text]]="","",TRIM(MID(SUBSTITUTE(SUBSTITUTE(SUBSTITUTE(UPPER(Tasks[[#This Row],[_Predecessors]]),";",",")," ",""),",",REPT(" ",99)),199,99)))</f>
        <v/>
      </c>
      <c r="CW173" s="42" t="str">
        <f aca="false">IF(Tasks[[#This Row],[_Pred3Text]]="","",IFERROR(VALUE(LEFT(Tasks[[#This Row],[_Pred3Text]],MIN(FIND("F",Tasks[[#This Row],[_Pred3Text]]&amp;"F"),FIND("S",Tasks[[#This Row],[_Pred3Text]]&amp;"S"),FIND("+",Tasks[[#This Row],[_Pred3Text]]&amp;"+"),FIND("-",Tasks[[#This Row],[_Pred3Text]]&amp;"-"))-1)),""))</f>
        <v/>
      </c>
      <c r="CX17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3" s="42" t="str">
        <f aca="false">IF(Tasks[[#This Row],[_Pred3Text]]="","",TRIM(MID(SUBSTITUTE(SUBSTITUTE(SUBSTITUTE(UPPER(Tasks[[#This Row],[_Predecessors]]),";",",")," ",""),",",REPT(" ",99)),298,99)))</f>
        <v/>
      </c>
      <c r="DA173" s="42" t="str">
        <f aca="false">IF(Tasks[[#This Row],[_Pred4Text]]="","",IFERROR(VALUE(LEFT(Tasks[[#This Row],[_Pred4Text]],MIN(FIND("F",Tasks[[#This Row],[_Pred4Text]]&amp;"F"),FIND("S",Tasks[[#This Row],[_Pred4Text]]&amp;"S"),FIND("+",Tasks[[#This Row],[_Pred4Text]]&amp;"+"),FIND("-",Tasks[[#This Row],[_Pred4Text]]&amp;"-"))-1)),""))</f>
        <v/>
      </c>
      <c r="DB17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3" s="42" t="str">
        <f aca="false">IF(OR(Tasks[[#This Row],[Task Name]]="",Tasks[[#This Row],[_Resources]]=""),"",TRIM(MID(SUBSTITUTE(Tasks[[#This Row],[_Resources]],",",REPT(" ",99)),1,99)))</f>
        <v/>
      </c>
      <c r="DE173" s="42" t="str">
        <f aca="false">IF(Tasks[[#This Row],[_Res1Text]]="","",TRIM(MID(SUBSTITUTE(Tasks[[#This Row],[_Resources]],",",REPT(" ",99)),100,99)))</f>
        <v/>
      </c>
      <c r="DF173" s="42" t="str">
        <f aca="false">IF(Tasks[[#This Row],[_Res2Text]]="","",TRIM(MID(SUBSTITUTE(Tasks[[#This Row],[_Resources]],",",REPT(" ",99)),199,99)))</f>
        <v/>
      </c>
      <c r="DG173" s="42" t="str">
        <f aca="false">IF(Tasks[[#This Row],[_Res3Text]]="","",TRIM(MID(SUBSTITUTE(Tasks[[#This Row],[_Resources]],",",REPT(" ",99)),298,99)))</f>
        <v/>
      </c>
      <c r="DH173" s="42" t="n">
        <f aca="false">IF(Tasks[[#This Row],[_Res1Text]]="",0,IFERROR(MATCH(TRIM(LEFT(Tasks[[#This Row],[_Res1Text]],FIND("[",Tasks[[#This Row],[_Res1Text]]&amp;"[")-1)),res_Name,0),IFERROR(MATCH(TRIM(LEFT(Tasks[[#This Row],[_Res1Text]],FIND("[",Tasks[[#This Row],[_Res1Text]]&amp;"[")-1)),res_Initials,0),0)))</f>
        <v>0</v>
      </c>
      <c r="DI173" s="42" t="n">
        <f aca="false">IF(Tasks[[#This Row],[_Res2Text]]="",0,IFERROR(MATCH(TRIM(LEFT(Tasks[[#This Row],[_Res2Text]],FIND("[",Tasks[[#This Row],[_Res2Text]]&amp;"[")-1)),res_Name,0),IFERROR(MATCH(TRIM(LEFT(Tasks[[#This Row],[_Res2Text]],FIND("[",Tasks[[#This Row],[_Res2Text]]&amp;"[")-1)),res_Initials,0),0)))</f>
        <v>0</v>
      </c>
      <c r="DJ173" s="42" t="n">
        <f aca="false">IF(Tasks[[#This Row],[_Res3Text]]="",0,IFERROR(MATCH(TRIM(LEFT(Tasks[[#This Row],[_Res3Text]],FIND("[",Tasks[[#This Row],[_Res3Text]]&amp;"[")-1)),res_Name,0),IFERROR(MATCH(TRIM(LEFT(Tasks[[#This Row],[_Res3Text]],FIND("[",Tasks[[#This Row],[_Res3Text]]&amp;"[")-1)),res_Initials,0),0)))</f>
        <v>0</v>
      </c>
      <c r="DK173" s="42" t="n">
        <f aca="false">IF(Tasks[[#This Row],[_Res4Text]]="",0,IFERROR(MATCH(TRIM(LEFT(Tasks[[#This Row],[_Res4Text]],FIND("[",Tasks[[#This Row],[_Res4Text]]&amp;"[")-1)),res_Name,0),IFERROR(MATCH(TRIM(LEFT(Tasks[[#This Row],[_Res4Text]],FIND("[",Tasks[[#This Row],[_Res4Text]]&amp;"[")-1)),res_Initials,0),0)))</f>
        <v>0</v>
      </c>
      <c r="DL173" s="42" t="str">
        <f aca="false">IF(Tasks[[#This Row],[_Res1Text]]="","",IF(Tasks[[#This Row],[_Res1Row]]&gt;0,INDEX(res_Name,Tasks[[#This Row],[_Res1Row]]),TRIM(LEFT(Tasks[[#This Row],[_Res1Text]],FIND("[",Tasks[[#This Row],[_Res1Text]]&amp;"[")-1))))</f>
        <v/>
      </c>
      <c r="DM17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3" s="42" t="n">
        <f aca="false">IF(NOT(Tasks[[#This Row],[_IsLeaf]]=1),0,(Tasks[[#This Row],[_Resource1]]&lt;&gt;"")+(Tasks[[#This Row],[_Res2]]&lt;&gt;"")+(Tasks[[#This Row],[_Res3]]&lt;&gt;"")+(Tasks[[#This Row],[_Res4]]&lt;&gt;""))</f>
        <v>0</v>
      </c>
      <c r="DO173" s="42" t="str">
        <f aca="false">IF(Tasks[[#This Row],[_Res2Text]]="","",IF(Tasks[[#This Row],[_Res2Row]]&gt;0,INDEX(res_Name,Tasks[[#This Row],[_Res2Row]]),TRIM(LEFT(Tasks[[#This Row],[_Res2Text]],FIND("[",Tasks[[#This Row],[_Res2Text]]&amp;"[")-1))))</f>
        <v/>
      </c>
      <c r="DP17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3" s="42" t="n">
        <f aca="false">IF(OR(NOT(Tasks[[#This Row],[_IsLeaf]]=1),Tasks[[#This Row],[_Res2Row]]=0),0,N(Tasks[[#This Row],[_Days]])*HoursPerDay*IF(Tasks[[#This Row],[_Res2Units]]="",DefaultUnits,Tasks[[#This Row],[_Res2Units]]))</f>
        <v>0</v>
      </c>
      <c r="DR173" s="42" t="n">
        <f aca="false">IF(AND(AND(Tasks[[#This Row],[_IsLeaf]]=1,Tasks[[#This Row],[_LeafTotalWork]]&gt;0),Tasks[[#This Row],[_Res2Work]]&gt;0),Tasks[[#This Row],[_Res2Work]]/(Tasks[[#This Row],[_FinishWorkday]]-Tasks[[#This Row],[_StartWorkday]]+1),0)</f>
        <v>0</v>
      </c>
      <c r="DS173" s="42" t="n">
        <f aca="false">Tasks[[#This Row],[_Res2WorkPerWD]]*MAX(0,Tasks[[#This Row],[_StartWorkday]]-1)</f>
        <v>0</v>
      </c>
      <c r="DT173" s="42" t="n">
        <f aca="false">Tasks[[#This Row],[_Res2Work]]*Tasks[[#This Row],[_LeafProgress]]</f>
        <v>0</v>
      </c>
      <c r="DU173" s="42" t="str">
        <f aca="false">IF(Tasks[[#This Row],[_Res3Text]]="","",IF(Tasks[[#This Row],[_Res3Row]]&gt;0,INDEX(res_Name,Tasks[[#This Row],[_Res3Row]]),TRIM(LEFT(Tasks[[#This Row],[_Res3Text]],FIND("[",Tasks[[#This Row],[_Res3Text]]&amp;"[")-1))))</f>
        <v/>
      </c>
      <c r="DV17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3" s="42" t="n">
        <f aca="false">IF(OR(NOT(Tasks[[#This Row],[_IsLeaf]]=1),Tasks[[#This Row],[_Res3Row]]=0),0,N(Tasks[[#This Row],[_Days]])*HoursPerDay*IF(Tasks[[#This Row],[_Res3Units]]="",DefaultUnits,Tasks[[#This Row],[_Res3Units]]))</f>
        <v>0</v>
      </c>
      <c r="DX173" s="42" t="n">
        <f aca="false">IF(AND(AND(Tasks[[#This Row],[_IsLeaf]]=1,Tasks[[#This Row],[_LeafTotalWork]]&gt;0),Tasks[[#This Row],[_Res3Work]]&gt;0),Tasks[[#This Row],[_Res3Work]]/(Tasks[[#This Row],[_FinishWorkday]]-Tasks[[#This Row],[_StartWorkday]]+1),0)</f>
        <v>0</v>
      </c>
      <c r="DY173" s="42" t="n">
        <f aca="false">Tasks[[#This Row],[_Res3WorkPerWD]]*MAX(0,Tasks[[#This Row],[_StartWorkday]]-1)</f>
        <v>0</v>
      </c>
      <c r="DZ173" s="42" t="n">
        <f aca="false">Tasks[[#This Row],[_Res3Work]]*Tasks[[#This Row],[_LeafProgress]]</f>
        <v>0</v>
      </c>
      <c r="EA173" s="42" t="str">
        <f aca="false">IF(Tasks[[#This Row],[_Res4Text]]="","",IF(Tasks[[#This Row],[_Res4Row]]&gt;0,INDEX(res_Name,Tasks[[#This Row],[_Res4Row]]),TRIM(LEFT(Tasks[[#This Row],[_Res4Text]],FIND("[",Tasks[[#This Row],[_Res4Text]]&amp;"[")-1))))</f>
        <v/>
      </c>
      <c r="EB17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3" s="42" t="n">
        <f aca="false">IF(OR(NOT(Tasks[[#This Row],[_IsLeaf]]=1),Tasks[[#This Row],[_Res4Row]]=0),0,N(Tasks[[#This Row],[_Days]])*HoursPerDay*IF(Tasks[[#This Row],[_Res4Units]]="",DefaultUnits,Tasks[[#This Row],[_Res4Units]]))</f>
        <v>0</v>
      </c>
      <c r="ED173" s="42" t="n">
        <f aca="false">IF(AND(AND(Tasks[[#This Row],[_IsLeaf]]=1,Tasks[[#This Row],[_LeafTotalWork]]&gt;0),Tasks[[#This Row],[_Res4Work]]&gt;0),Tasks[[#This Row],[_Res4Work]]/(Tasks[[#This Row],[_FinishWorkday]]-Tasks[[#This Row],[_StartWorkday]]+1),0)</f>
        <v>0</v>
      </c>
      <c r="EE173" s="42" t="n">
        <f aca="false">Tasks[[#This Row],[_Res4WorkPerWD]]*MAX(0,Tasks[[#This Row],[_StartWorkday]]-1)</f>
        <v>0</v>
      </c>
      <c r="EF173" s="42" t="n">
        <f aca="false">Tasks[[#This Row],[_Res4Work]]*Tasks[[#This Row],[_LeafProgress]]</f>
        <v>0</v>
      </c>
      <c r="EG173" s="42" t="n">
        <f aca="false">IF(ISNUMBER(Tasks[[#This Row],[% Complete]]),Tasks[[#This Row],[% Complete]],IF(Tasks[[#This Row],[Stage]]="",0,IFERROR(INDEX(stg_Pct,MATCH(Tasks[[#This Row],[Stage]],stg_Name,0)),0)))</f>
        <v>0</v>
      </c>
      <c r="EH173" s="42" t="n">
        <f aca="false">IF(NOT(Tasks[[#This Row],[_IsLeaf]]=1),0,IF(N(Tasks[[#This Row],[Actual Finish]])&gt;0,1,MIN(1,Tasks[[#This Row],[_Pct]])))</f>
        <v>0</v>
      </c>
      <c r="EI173" s="42" t="n">
        <f aca="false">IF(OR(NOT(Tasks[[#This Row],[_IsLeaf]]=1),Tasks[[#This Row],[_Res1Row]]=0),0,N(Tasks[[#This Row],[_Days]])*HoursPerDay*IF(Tasks[[#This Row],[_Units1]]="",DefaultUnits,Tasks[[#This Row],[_Units1]]))</f>
        <v>0</v>
      </c>
      <c r="EJ173" s="42" t="n">
        <f aca="false">Tasks[[#This Row],[_LeafWork]]+Tasks[[#This Row],[_Res2Work]]+Tasks[[#This Row],[_Res3Work]]+Tasks[[#This Row],[_Res4Work]]</f>
        <v>0</v>
      </c>
      <c r="EK17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3" s="42" t="n">
        <f aca="false">IF(NOT(Tasks[[#This Row],[_IsLeaf]]=1),0,MAX(_xlfn.MAXIFS(Tasks[_Row],Tasks[_Pred1UID],Tasks[[#This Row],[UID]]),_xlfn.MAXIFS(Tasks[_Row],Tasks[_Pred2UID],Tasks[[#This Row],[UID]]),_xlfn.MAXIFS(Tasks[_Row],Tasks[_Pred3UID],Tasks[[#This Row],[UID]]),_xlfn.MAXIFS(Tasks[_Row],Tasks[_Pred4UID],Tasks[[#This Row],[UID]])))</f>
        <v>0</v>
      </c>
      <c r="ET17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3" s="89" t="str">
        <f aca="false">IF(NOT(Tasks[[#This Row],[_IsLeaf]]=1),"",IF(N(Tasks[[#This Row],[_Days]])&lt;=0,Tasks[[#This Row],[_LeafLateFinish]],WORKDAY.INTL(Tasks[[#This Row],[_LeafLateFinish]],-(Tasks[[#This Row],[_Days]]-1),WorkWeek,Holidays)))</f>
        <v/>
      </c>
      <c r="EW17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3" s="88" t="b">
        <f aca="false">AND(Tasks[[#This Row],[_IsLeaf]]=1,Tasks[[#This Row],[_LeafProgress]]&lt;1,N(Tasks[[#This Row],[_LeafTotalSlack]])&lt;=CriticalSlackDays)</f>
        <v>0</v>
      </c>
      <c r="EY173" s="42" t="n">
        <f aca="false">IF(AND(Tasks[[#This Row],[_IsLeaf]]=1,Tasks[[#This Row],[_ConstraintCode]]=1,Tasks[[#This Row],[Mode]]&lt;&gt;"Manual",N(Tasks[[#This Row],[Actual Start]])=0),MAX(0,N(Tasks[[#This Row],[Free Slack]])),0)</f>
        <v>0</v>
      </c>
      <c r="EZ173" s="89" t="str">
        <f aca="false">IF(NOT(Tasks[[#This Row],[_IsLeaf]]=1),"",IF(Tasks[[#This Row],[_AlapShift]]=0,Tasks[[#This Row],[_LeafCalcStart]],WORKDAY.INTL(Tasks[[#This Row],[_LeafCalcStart]],Tasks[[#This Row],[_AlapShift]],WorkWeek,Holidays)))</f>
        <v/>
      </c>
      <c r="FA173" s="89" t="str">
        <f aca="false">IF(NOT(Tasks[[#This Row],[_IsLeaf]]=1),"",IF(Tasks[[#This Row],[_AlapShift]]=0,Tasks[[#This Row],[_LeafCalcFinish]],WORKDAY.INTL(Tasks[[#This Row],[_LeafCalcFinish]],Tasks[[#This Row],[_AlapShift]],WorkWeek,Holidays)))</f>
        <v/>
      </c>
      <c r="FB173" s="89" t="str">
        <f aca="false">IF(NOT(Tasks[[#This Row],[_IsLeaf]]=1),"",IF(Tasks[[#This Row],[_AlapShift]]=0,Tasks[[#This Row],[_LeafFcstStart]],WORKDAY.INTL(Tasks[[#This Row],[_LeafFcstStart]],Tasks[[#This Row],[_AlapShift]],WorkWeek,Holidays)))</f>
        <v/>
      </c>
      <c r="FC173" s="89" t="str">
        <f aca="false">IF(NOT(Tasks[[#This Row],[_IsLeaf]]=1),"",IF(Tasks[[#This Row],[_AlapShift]]=0,Tasks[[#This Row],[_LeafFcstFinish]],WORKDAY.INTL(Tasks[[#This Row],[_LeafFcstFinish]],Tasks[[#This Row],[_AlapShift]],WorkWeek,Holidays)))</f>
        <v/>
      </c>
      <c r="FD173" s="89" t="str">
        <f aca="false">IF(Tasks[[#This Row],[Task Name]]="","",IF(Tasks[[#This Row],[_IsSummary]],MIN(INDEX(Tasks[_ShownCalcStart],Tasks[[#This Row],[_Row]]+1):INDEX(Tasks[_ShownCalcStart],Tasks[[#This Row],[_Row]]+Tasks[[#This Row],[_Descendants]])),Tasks[[#This Row],[_ShownCalcStart]]))</f>
        <v/>
      </c>
      <c r="FE173" s="89" t="str">
        <f aca="false">IF(Tasks[[#This Row],[Task Name]]="","",IF(Tasks[[#This Row],[_IsSummary]],MAX(INDEX(Tasks[_ShownCalcFinish],Tasks[[#This Row],[_Row]]+1):INDEX(Tasks[_ShownCalcFinish],Tasks[[#This Row],[_Row]]+Tasks[[#This Row],[_Descendants]])),Tasks[[#This Row],[_ShownCalcFinish]]))</f>
        <v/>
      </c>
      <c r="FF17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3" s="42" t="n">
        <f aca="false">IF(AND(Tasks[[#This Row],[_IsLeaf]]=1,Tasks[[#This Row],[_LeafTotalWork]]&gt;0),NETWORKDAYS.INTL(ProjectStart,Tasks[[#This Row],[_ShownFcstStart]],WorkWeek,Holidays),0)</f>
        <v>0</v>
      </c>
      <c r="FS173" s="42" t="n">
        <f aca="false">IF(AND(Tasks[[#This Row],[_IsLeaf]]=1,Tasks[[#This Row],[_LeafTotalWork]]&gt;0),MAX(Tasks[[#This Row],[_StartWorkday]],NETWORKDAYS.INTL(ProjectStart,Tasks[[#This Row],[_ShownFcstFinish]],WorkWeek,Holidays)),0)</f>
        <v>0</v>
      </c>
      <c r="FT173" s="42" t="n">
        <f aca="false">IF(AND(Tasks[[#This Row],[_IsLeaf]]=1,Tasks[[#This Row],[_LeafTotalWork]]&gt;0),Tasks[[#This Row],[_LeafWork]]/(Tasks[[#This Row],[_FinishWorkday]]-Tasks[[#This Row],[_StartWorkday]]+1),0)</f>
        <v>0</v>
      </c>
      <c r="FU173" s="42" t="n">
        <f aca="false">Tasks[[#This Row],[_WorkPerWorkday]]*(Tasks[[#This Row],[_StartWorkday]]-1)</f>
        <v>-0</v>
      </c>
      <c r="FV173" s="42" t="n">
        <f aca="false">IF(Tasks[[#This Row],[_IsLeaf]]=1,MAX(N(Tasks[[#This Row],[_Days]]),0.1),0)</f>
        <v>0</v>
      </c>
      <c r="FW173" s="42" t="n">
        <f aca="false">Tasks[[#This Row],[_WeightDur]]*Tasks[[#This Row],[_LeafProgress]]</f>
        <v>0</v>
      </c>
      <c r="FX173" s="42" t="n">
        <f aca="false">Tasks[[#This Row],[_WeightDur]]*Tasks[[#This Row],[_PlannedPct]]</f>
        <v>0</v>
      </c>
      <c r="FY17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3" s="42" t="str">
        <f aca="false">IF(AND(Tasks[[#This Row],[_IsLeaf]]=1,N(Tasks[[#This Row],[_Days]])=0,Tasks[[#This Row],[_LeafProgress]]&lt;1),Tasks[[#This Row],[_ShownFcstFinish]]+Tasks[[#This Row],[_Row]]/100000,"")</f>
        <v/>
      </c>
      <c r="GA17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3" s="42" t="str">
        <f aca="false">IF(Tasks[[#This Row],[Task Name]]="","",LEFT(Tasks[[#This Row],[WBS]],FIND(".",Tasks[[#This Row],[WBS]]&amp;".")-1))</f>
        <v/>
      </c>
      <c r="GC173" s="42" t="str">
        <f aca="false">IF(AND(Tasks[[#This Row],[Task Name]]&lt;&gt;"",Tasks[[#This Row],[_Level]]=1),Tasks[[#This Row],[_Row]],"")</f>
        <v/>
      </c>
      <c r="GD173" s="42" t="str">
        <f aca="false">IF(AND(Tasks[[#This Row],[_IsLeaf]]=1,N(Tasks[[#This Row],[_Days]])=0),Tasks[[#This Row],[Planned Finish]]+Tasks[[#This Row],[_Row]]/100000,"")</f>
        <v/>
      </c>
      <c r="GE173" s="42" t="str">
        <f aca="false">IF(AND(Tasks[[#This Row],[_IsLeaf]]=1,Tasks[[#This Row],[_LeafProgress]]&lt;1,OR(N(Tasks[[#This Row],[Finish Var]])&gt;0,Tasks[[#This Row],[Status]]="Late Start")),MAX(0,Tasks[[#This Row],[Finish Var]])+1-Tasks[[#This Row],[_Row]]/1000000,"")</f>
        <v/>
      </c>
      <c r="GF173" s="42" t="str">
        <f aca="false">IF(AND(Tasks[[#This Row],[_IsLeaf]]=1,N(Tasks[[#This Row],[Actual Start]])=0,Tasks[[#This Row],[_ShownFcstStart]]&gt;=StatusDate,Tasks[[#This Row],[_ShownFcstStart]]&lt;=LookaheadEnd),Tasks[[#This Row],[_ShownFcstStart]]+Tasks[[#This Row],[_Row]]/100000,"")</f>
        <v/>
      </c>
      <c r="GG173" s="42" t="str">
        <f aca="false">IF(AND(Tasks[[#This Row],[_IsLeaf]]=1,Tasks[[#This Row],[_LeafProgress]]&lt;1,Tasks[[#This Row],[_ShownFcstFinish]]&gt;=StatusDate,Tasks[[#This Row],[_ShownFcstFinish]]&lt;=LookaheadEnd),Tasks[[#This Row],[_ShownFcstFinish]]+Tasks[[#This Row],[_Row]]/100000,"")</f>
        <v/>
      </c>
      <c r="GH173" s="42" t="str">
        <f aca="false">IF(Tasks[[#This Row],[_LeafCritical]],Tasks[[#This Row],[_ShownFcstStart]]+Tasks[[#This Row],[_Row]]/100000,"")</f>
        <v/>
      </c>
      <c r="GI173" s="42" t="n">
        <f aca="false">Tasks[[#This Row],[_LeafWork]]*Tasks[[#This Row],[_LeafProgress]]</f>
        <v>0</v>
      </c>
      <c r="GJ173" s="89" t="str">
        <f aca="false">IF(AND(Tasks[[#This Row],[_IsLeaf]]=1,Tasks[[#This Row],[_LeafProgress]]&gt;=1),IF(N(Tasks[[#This Row],[Actual Finish]])&gt;0,Tasks[[#This Row],[Actual Finish]],Tasks[[#This Row],[_ShownFcstFinish]]),"")</f>
        <v/>
      </c>
      <c r="GK173" s="42" t="n">
        <f aca="false">IF(Tasks[[#This Row],[_IsLeaf]]=1,N(Tasks[[#This Row],[Story Points]]),0)</f>
        <v>0</v>
      </c>
      <c r="GL173" s="42" t="str">
        <f aca="false">""</f>
        <v/>
      </c>
      <c r="GM173" s="88" t="b">
        <f aca="false">IF(Tasks[[#This Row],[Task Name]]="",FALSE(),AND(Tasks[[#This Row],[_IsLeaf]]=1,N(Tasks[[#This Row],[_Days]])=0))</f>
        <v>0</v>
      </c>
      <c r="GN173" s="89" t="n">
        <f aca="false">IF(Tasks[[#This Row],[Task Name]]="",0,IF(AND(Tasks[[#This Row],[_IsLeaf]]=1,NOT(Tasks[[#This Row],[_IsMilestone]]),N(Tasks[[#This Row],[Progress]])&gt;0),Tasks[[#This Row],[Start]],0))</f>
        <v>0</v>
      </c>
      <c r="GO173" s="89" t="n">
        <f aca="false">IF(Tasks[[#This Row],[_DoneFrom]]=0,0,IF(Tasks[[#This Row],[Progress]]&gt;=1,Tasks[[#This Row],[Finish]],MAX(Tasks[[#This Row],[_DoneFrom]],Tasks[[#This Row],[Start]]+ROUND((Tasks[[#This Row],[Finish]]-Tasks[[#This Row],[Start]]+1)*Tasks[[#This Row],[Progress]],0)-1)))</f>
        <v>0</v>
      </c>
      <c r="GP173" s="89" t="n">
        <f aca="false">IF(Tasks[[#This Row],[Task Name]]="",0,IF(OR(NOT(Tasks[[#This Row],[_IsLeaf]]=1),Tasks[[#This Row],[_IsMilestone]],N(Tasks[[#This Row],[Progress]])&gt;=1),0,IF(Tasks[[#This Row],[_DoneTo]]&gt;0,Tasks[[#This Row],[_DoneTo]]+1,Tasks[[#This Row],[Start]])))</f>
        <v>0</v>
      </c>
      <c r="GQ173" s="89" t="n">
        <f aca="false">IF(Tasks[[#This Row],[_RemFrom]]=0,0,Tasks[[#This Row],[Finish]])</f>
        <v>0</v>
      </c>
      <c r="GR173" s="88" t="b">
        <f aca="false">IF(Tasks[[#This Row],[Task Name]]="",FALSE(),OR(NOT(BaselineSet),N(Tasks[[#This Row],[Baseline Start]])&gt;0))</f>
        <v>0</v>
      </c>
      <c r="GS17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3" s="90" t="str">
        <f aca="false">IF(Tasks[[#This Row],[_IsLeaf]]=1,Tasks[[#This Row],[_Row]],"")</f>
        <v/>
      </c>
      <c r="GW173" s="90" t="str">
        <f aca="false">IFERROR(INDEX(Tasks[UID],SMALL(Tasks[_PickKey],Tasks[[#This Row],[_Row]]))&amp;" "&amp;INDEX(Tasks[Task Name],SMALL(Tasks[_PickKey],Tasks[[#This Row],[_Row]])),"")</f>
        <v/>
      </c>
      <c r="GX173" s="42" t="str">
        <f aca="false">IF(Tasks[[#This Row],[Task Name]]="","",IF(Tasks[[#This Row],[_IsSummary]],NETWORKDAYS.INTL(Tasks[[#This Row],[Start]],Tasks[[#This Row],[Finish]],WorkWeek,Holidays),N(Tasks[[#This Row],[_Days]])))</f>
        <v/>
      </c>
    </row>
    <row r="174" customFormat="false" ht="15" hidden="false" customHeight="false" outlineLevel="0" collapsed="false">
      <c r="A174" s="21" t="str">
        <f aca="false">IF(Tasks[[#This Row],[Task Name]]="","",COUNTA(Tasks[[#Headers],[Task Name]]:Tasks[[#This Row],[Task Name]])-1)</f>
        <v/>
      </c>
      <c r="B174" s="22" t="n">
        <v>182</v>
      </c>
      <c r="C174" s="22"/>
      <c r="D174" s="23"/>
      <c r="E174" s="22"/>
      <c r="F174" s="23"/>
      <c r="G174" s="22"/>
      <c r="H174" s="22"/>
      <c r="I174" s="23"/>
      <c r="J174" s="22"/>
      <c r="K174" s="22"/>
      <c r="L174" s="23"/>
      <c r="M174" s="22"/>
      <c r="N174" s="22"/>
      <c r="O174" s="23"/>
      <c r="P174" s="22"/>
      <c r="Q174" s="22"/>
      <c r="R174" s="23"/>
      <c r="S174" s="23"/>
      <c r="T174" s="83"/>
      <c r="U174" s="23"/>
      <c r="V174" s="83"/>
      <c r="W174" s="23"/>
      <c r="X174" s="83"/>
      <c r="Y174" s="23"/>
      <c r="Z174" s="83"/>
      <c r="AA174" s="23"/>
      <c r="AB174" s="23"/>
      <c r="AC174" s="7"/>
      <c r="AD174" s="7"/>
      <c r="AE174" s="62" t="str">
        <f aca="false">IF(Tasks[[#This Row],[Task Name]]="","",IF(Tasks[[#This Row],[_IsSummary]],MIN(INDEX(Tasks[_ShownFcstStart],Tasks[[#This Row],[_Row]]+1):INDEX(Tasks[_ShownFcstStart],Tasks[[#This Row],[_Row]]+Tasks[[#This Row],[_Descendants]])),Tasks[[#This Row],[_ShownFcstStart]]))</f>
        <v/>
      </c>
      <c r="AF174" s="62" t="str">
        <f aca="false">IF(Tasks[[#This Row],[Task Name]]="","",IF(Tasks[[#This Row],[_IsSummary]],MAX(INDEX(Tasks[_ShownFcstFinish],Tasks[[#This Row],[_Row]]+1):INDEX(Tasks[_ShownFcstFinish],Tasks[[#This Row],[_Row]]+Tasks[[#This Row],[_Descendants]])),Tasks[[#This Row],[_ShownFcstFinish]]))</f>
        <v/>
      </c>
      <c r="AG174" s="21" t="str">
        <f aca="false">""</f>
        <v/>
      </c>
      <c r="AH174" s="23"/>
      <c r="AI17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4" s="7"/>
      <c r="AK174" s="22"/>
      <c r="AL174" s="23"/>
      <c r="AM174" s="7"/>
      <c r="AN174" s="46" t="str">
        <f aca="false">IF(Tasks[[#This Row],[Task Name]]="","",IF(Tasks[[#This Row],[Finish]]&gt;=Tasks[[#This Row],[Planned Finish]],NETWORKDAYS.INTL(Tasks[[#This Row],[Planned Finish]],Tasks[[#This Row],[Finish]],WorkWeek,Holidays)-1,1-NETWORKDAYS.INTL(Tasks[[#This Row],[Finish]],Tasks[[#This Row],[Planned Finish]],WorkWeek,Holidays)))</f>
        <v/>
      </c>
      <c r="AO174" s="21" t="str">
        <f aca="false">IF(Tasks[[#This Row],[Task Name]]="","",IF(Tasks[[#This Row],[Progress]]&gt;=1,"Complete",IF(OR(N(Tasks[[#This Row],[Actual Start]])&gt;0,Tasks[[#This Row],[Progress]]&gt;0),IF(Tasks[[#This Row],[Finish Var]]&gt;0,"Behind","In Progress"),IF(Tasks[[#This Row],[Planned Start]]&lt;StatusDate,"Late Start","Not Started"))))</f>
        <v/>
      </c>
      <c r="AP174" s="21" t="str">
        <f aca="false">IF(Tasks[[#This Row],[Task Name]]="","",IF(IF(Tasks[[#This Row],[_IsSummary]],COUNTIF(INDEX(Tasks[_LeafCritical],Tasks[[#This Row],[_Row]]+1):INDEX(Tasks[_LeafCritical],Tasks[[#This Row],[_Row]]+Tasks[[#This Row],[_Descendants]]),TRUE())&gt;0,Tasks[[#This Row],[_LeafCritical]]),"Yes",""))</f>
        <v/>
      </c>
      <c r="AQ174" s="62" t="str">
        <f aca="false">IF(Tasks[[#This Row],[Task Name]]="","",IF(N(Tasks[[#This Row],[Baseline Start]])&gt;0,Tasks[[#This Row],[Baseline Start]],Tasks[[#This Row],[_CalcStart]]))</f>
        <v/>
      </c>
      <c r="AR174" s="62" t="str">
        <f aca="false">IF(Tasks[[#This Row],[Task Name]]="","",IF(N(Tasks[[#This Row],[Baseline Finish]])&gt;0,Tasks[[#This Row],[Baseline Finish]],Tasks[[#This Row],[_CalcFinish]]))</f>
        <v/>
      </c>
      <c r="AS174" s="46" t="str">
        <f aca="false">IF(Tasks[[#This Row],[Task Name]]="","",IF(Tasks[[#This Row],[Start]]&gt;=Tasks[[#This Row],[Planned Start]],NETWORKDAYS.INTL(Tasks[[#This Row],[Planned Start]],Tasks[[#This Row],[Start]],WorkWeek,Holidays)-1,1-NETWORKDAYS.INTL(Tasks[[#This Row],[Start]],Tasks[[#This Row],[Planned Start]],WorkWeek,Holidays)))</f>
        <v/>
      </c>
      <c r="AT174" s="62" t="str">
        <f aca="false">IF(Tasks[[#This Row],[Task Name]]="","",IF(Tasks[[#This Row],[_IsSummary]],MIN(INDEX(Tasks[_LeafLateStart],Tasks[[#This Row],[_Row]]+1):INDEX(Tasks[_LeafLateStart],Tasks[[#This Row],[_Row]]+Tasks[[#This Row],[_Descendants]])),Tasks[[#This Row],[_LeafLateStart]]))</f>
        <v/>
      </c>
      <c r="AU174" s="62" t="str">
        <f aca="false">IF(Tasks[[#This Row],[Task Name]]="","",IF(Tasks[[#This Row],[_IsSummary]],MAX(INDEX(Tasks[_LeafLateFinish],Tasks[[#This Row],[_Row]]+1):INDEX(Tasks[_LeafLateFinish],Tasks[[#This Row],[_Row]]+Tasks[[#This Row],[_Descendants]])),Tasks[[#This Row],[_LeafLateFinish]]))</f>
        <v/>
      </c>
      <c r="AV174" s="46" t="str">
        <f aca="false">IF(Tasks[[#This Row],[Task Name]]="","",IF(Tasks[[#This Row],[_IsSummary]],MIN(INDEX(Tasks[_LeafTotalSlack],Tasks[[#This Row],[_Row]]+1):INDEX(Tasks[_LeafTotalSlack],Tasks[[#This Row],[_Row]]+Tasks[[#This Row],[_Descendants]])),Tasks[[#This Row],[_LeafTotalSlack]]))</f>
        <v/>
      </c>
      <c r="AW17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4"/>
      <c r="BA17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t="str">
        <f aca="false">IF(Tasks[[#This Row],[Task Name]]="","",IF(Tasks[[#This Row],[_Level]]&lt;=OutlineShowLevel,"Yes","No"))</f>
        <v/>
      </c>
      <c r="BE174" s="85" t="str">
        <f aca="false">IF(Tasks[[#This Row],[Task Name]]="","",IF(Tasks[[#This Row],[_IsSummary]],SUM(INDEX(Tasks[_LeafTotalWork],Tasks[[#This Row],[_Row]]+1):INDEX(Tasks[_LeafTotalWork],Tasks[[#This Row],[_Row]]+Tasks[[#This Row],[_Descendants]])),Tasks[[#This Row],[_LeafTotalWork]]))</f>
        <v/>
      </c>
      <c r="BF174" s="23"/>
      <c r="BG17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t="str">
        <f aca="false">""</f>
        <v/>
      </c>
      <c r="BI174" s="86"/>
      <c r="BJ174" s="22"/>
      <c r="BK174" s="46" t="str">
        <f aca="false">IF(OR(Tasks[[#This Row],[Task Name]]="",Tasks[[#This Row],[Baseline Duration]]=""),"",Tasks[[#This Row],[_SpanDays]]-N(Tasks[[#This Row],[Baseline Duration]]))</f>
        <v/>
      </c>
      <c r="BL174" s="85" t="str">
        <f aca="false">IF(OR(Tasks[[#This Row],[Task Name]]="",Tasks[[#This Row],[Baseline Work]]=""),"",Tasks[[#This Row],[Work]]-N(Tasks[[#This Row],[Baseline Work]]))</f>
        <v/>
      </c>
      <c r="BM174" s="62" t="str">
        <f aca="false">IF(Tasks[[#This Row],[Task Name]]="","",IF(OR(TakeBaseline="Yes",N(Tasks[[#This Row],[Baseline Start]])=0),Tasks[[#This Row],[Start]],Tasks[[#This Row],[Baseline Start]]))</f>
        <v/>
      </c>
      <c r="BN174" s="62" t="str">
        <f aca="false">IF(Tasks[[#This Row],[Task Name]]="","",IF(OR(TakeBaseline="Yes",N(Tasks[[#This Row],[Baseline Finish]])=0),Tasks[[#This Row],[Finish]],Tasks[[#This Row],[Baseline Finish]]))</f>
        <v/>
      </c>
      <c r="BO174" s="21" t="str">
        <f aca="false">IF(Tasks[[#This Row],[Task Name]]="","",IF(OR(TakeBaseline="Yes",N(Tasks[[#This Row],[Baseline Duration]])=0),Tasks[[#This Row],[_SpanDays]],Tasks[[#This Row],[Baseline Duration]]))</f>
        <v/>
      </c>
      <c r="BP174" s="85" t="str">
        <f aca="false">IF(Tasks[[#This Row],[Task Name]]="","",IF(OR(TakeBaseline="Yes",N(Tasks[[#This Row],[Baseline Work]])=0),Tasks[[#This Row],[Work]],Tasks[[#This Row],[Baseline Work]]))</f>
        <v/>
      </c>
      <c r="BQ174" s="7"/>
      <c r="BR174" s="7"/>
      <c r="BS174" s="22"/>
      <c r="BT174" s="87"/>
      <c r="BU174" s="42" t="str">
        <f aca="false">IF(Tasks[[#This Row],[Task Name]]="","",MAX(1,N(Tasks[[#This Row],[Level]])))</f>
        <v/>
      </c>
      <c r="BV174" s="42" t="n">
        <f aca="false">ROW()-ROW(Tasks[[#Headers],[ID]])</f>
        <v>169</v>
      </c>
      <c r="BW174" s="42" t="n">
        <f aca="false">IF(OR(Tasks[[#This Row],[Task Name]]="",Tasks[[#This Row],[_Level]]&lt;=1),0,IFERROR(LOOKUP(2,1/(Tasks[[#Headers],[_Level]]:Tasks[[#This Row],[_Level]]=Tasks[[#This Row],[_Level]]-1),ROW(Tasks[[#Headers],[_Level]]:Tasks[[#This Row],[_Level]])),0))</f>
        <v>0</v>
      </c>
      <c r="BX174" s="42" t="n">
        <f aca="false">IFERROR(N(INDEX(Tasks[_Level],Tasks[[#This Row],[_Row]]+1)),0)</f>
        <v>0</v>
      </c>
      <c r="BY174" s="88" t="b">
        <f aca="false">AND(Tasks[[#This Row],[Task Name]]&lt;&gt;"",Tasks[[#This Row],[_NextLevel]]&gt;Tasks[[#This Row],[_Level]])</f>
        <v>0</v>
      </c>
      <c r="BZ174" s="42" t="n">
        <f aca="false">IF(Tasks[[#This Row],[_IsSummary]],COUNTIF(Tasks[WBS],Tasks[[#This Row],[WBS]]&amp;".*"),0)</f>
        <v>0</v>
      </c>
      <c r="CA174" s="42" t="n">
        <f aca="false">IF(AND(Tasks[[#This Row],[Task Name]]&lt;&gt;"",NOT(Tasks[[#This Row],[_IsSummary]])),1,0)</f>
        <v>0</v>
      </c>
      <c r="CB174" s="42" t="n">
        <f aca="false">IF(N(Tasks[[#This Row],[_Pred1UID]])=0,0,IFERROR(MATCH(Tasks[[#This Row],[_Pred1UID]],Tasks[UID],0),-1))</f>
        <v>0</v>
      </c>
      <c r="CC174" s="42" t="n">
        <f aca="false">IF(N(Tasks[[#This Row],[_Pred2UID]])=0,0,IFERROR(MATCH(Tasks[[#This Row],[_Pred2UID]],Tasks[UID],0),-1))</f>
        <v>0</v>
      </c>
      <c r="CD174" s="42" t="n">
        <f aca="false">IF(N(Tasks[[#This Row],[_Pred3UID]])=0,0,IFERROR(MATCH(Tasks[[#This Row],[_Pred3UID]],Tasks[UID],0),-1))</f>
        <v>0</v>
      </c>
      <c r="CE174" s="42" t="n">
        <f aca="false">IF(N(Tasks[[#This Row],[_Pred4UID]])=0,0,IFERROR(MATCH(Tasks[[#This Row],[_Pred4UID]],Tasks[UID],0),-1))</f>
        <v>0</v>
      </c>
      <c r="CF17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4" s="89" t="n">
        <f aca="false">IF(OR(Tasks[[#This Row],[_ConstraintCode]]=2,Tasks[[#This Row],[_ConstraintCode]]=3,Tasks[[#This Row],[_ConstraintCode]]=4,Tasks[[#This Row],[_ConstraintCode]]=6),Tasks[[#This Row],[_ConstraintStart]],0)</f>
        <v>0</v>
      </c>
      <c r="CI174" s="89" t="n">
        <f aca="false">IF(OR(Tasks[[#This Row],[_ConstraintCode]]=2,Tasks[[#This Row],[_ConstraintCode]]=3,Tasks[[#This Row],[_ConstraintCode]]=5,Tasks[[#This Row],[_ConstraintCode]]=7),Tasks[[#This Row],[_ConstraintStart]],2958465)</f>
        <v>2958465</v>
      </c>
      <c r="CJ17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4" s="89" t="str">
        <f aca="false">IF(NOT(Tasks[[#This Row],[_IsLeaf]]=1),"",IF(N(Tasks[[#This Row],[_Days]])&lt;=0,Tasks[[#This Row],[_LeafCalcStart]],WORKDAY.INTL(Tasks[[#This Row],[_LeafCalcStart]],Tasks[[#This Row],[_Days]]-1,WorkWeek,Holidays)))</f>
        <v/>
      </c>
      <c r="CL17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4" s="42" t="str">
        <f aca="false">IF(Tasks[[#This Row],[_Predecessors]]="","",TRIM(MID(SUBSTITUTE(SUBSTITUTE(SUBSTITUTE(UPPER(Tasks[[#This Row],[_Predecessors]]),";",",")," ",""),",",REPT(" ",99)),1,99)))</f>
        <v/>
      </c>
      <c r="CO174" s="42" t="str">
        <f aca="false">IF(Tasks[[#This Row],[_Pred1Text]]="","",IFERROR(VALUE(LEFT(Tasks[[#This Row],[_Pred1Text]],MIN(FIND("F",Tasks[[#This Row],[_Pred1Text]]&amp;"F"),FIND("S",Tasks[[#This Row],[_Pred1Text]]&amp;"S"),FIND("+",Tasks[[#This Row],[_Pred1Text]]&amp;"+"),FIND("-",Tasks[[#This Row],[_Pred1Text]]&amp;"-"))-1)),""))</f>
        <v/>
      </c>
      <c r="CP17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4" s="42" t="str">
        <f aca="false">IF(Tasks[[#This Row],[_Pred1Text]]="","",TRIM(MID(SUBSTITUTE(SUBSTITUTE(SUBSTITUTE(UPPER(Tasks[[#This Row],[_Predecessors]]),";",",")," ",""),",",REPT(" ",99)),100,99)))</f>
        <v/>
      </c>
      <c r="CS174" s="42" t="str">
        <f aca="false">IF(Tasks[[#This Row],[_Pred2Text]]="","",IFERROR(VALUE(LEFT(Tasks[[#This Row],[_Pred2Text]],MIN(FIND("F",Tasks[[#This Row],[_Pred2Text]]&amp;"F"),FIND("S",Tasks[[#This Row],[_Pred2Text]]&amp;"S"),FIND("+",Tasks[[#This Row],[_Pred2Text]]&amp;"+"),FIND("-",Tasks[[#This Row],[_Pred2Text]]&amp;"-"))-1)),""))</f>
        <v/>
      </c>
      <c r="CT17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4" s="42" t="str">
        <f aca="false">IF(Tasks[[#This Row],[_Pred2Text]]="","",TRIM(MID(SUBSTITUTE(SUBSTITUTE(SUBSTITUTE(UPPER(Tasks[[#This Row],[_Predecessors]]),";",",")," ",""),",",REPT(" ",99)),199,99)))</f>
        <v/>
      </c>
      <c r="CW174" s="42" t="str">
        <f aca="false">IF(Tasks[[#This Row],[_Pred3Text]]="","",IFERROR(VALUE(LEFT(Tasks[[#This Row],[_Pred3Text]],MIN(FIND("F",Tasks[[#This Row],[_Pred3Text]]&amp;"F"),FIND("S",Tasks[[#This Row],[_Pred3Text]]&amp;"S"),FIND("+",Tasks[[#This Row],[_Pred3Text]]&amp;"+"),FIND("-",Tasks[[#This Row],[_Pred3Text]]&amp;"-"))-1)),""))</f>
        <v/>
      </c>
      <c r="CX17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4" s="42" t="str">
        <f aca="false">IF(Tasks[[#This Row],[_Pred3Text]]="","",TRIM(MID(SUBSTITUTE(SUBSTITUTE(SUBSTITUTE(UPPER(Tasks[[#This Row],[_Predecessors]]),";",",")," ",""),",",REPT(" ",99)),298,99)))</f>
        <v/>
      </c>
      <c r="DA174" s="42" t="str">
        <f aca="false">IF(Tasks[[#This Row],[_Pred4Text]]="","",IFERROR(VALUE(LEFT(Tasks[[#This Row],[_Pred4Text]],MIN(FIND("F",Tasks[[#This Row],[_Pred4Text]]&amp;"F"),FIND("S",Tasks[[#This Row],[_Pred4Text]]&amp;"S"),FIND("+",Tasks[[#This Row],[_Pred4Text]]&amp;"+"),FIND("-",Tasks[[#This Row],[_Pred4Text]]&amp;"-"))-1)),""))</f>
        <v/>
      </c>
      <c r="DB17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4" s="42" t="str">
        <f aca="false">IF(OR(Tasks[[#This Row],[Task Name]]="",Tasks[[#This Row],[_Resources]]=""),"",TRIM(MID(SUBSTITUTE(Tasks[[#This Row],[_Resources]],",",REPT(" ",99)),1,99)))</f>
        <v/>
      </c>
      <c r="DE174" s="42" t="str">
        <f aca="false">IF(Tasks[[#This Row],[_Res1Text]]="","",TRIM(MID(SUBSTITUTE(Tasks[[#This Row],[_Resources]],",",REPT(" ",99)),100,99)))</f>
        <v/>
      </c>
      <c r="DF174" s="42" t="str">
        <f aca="false">IF(Tasks[[#This Row],[_Res2Text]]="","",TRIM(MID(SUBSTITUTE(Tasks[[#This Row],[_Resources]],",",REPT(" ",99)),199,99)))</f>
        <v/>
      </c>
      <c r="DG174" s="42" t="str">
        <f aca="false">IF(Tasks[[#This Row],[_Res3Text]]="","",TRIM(MID(SUBSTITUTE(Tasks[[#This Row],[_Resources]],",",REPT(" ",99)),298,99)))</f>
        <v/>
      </c>
      <c r="DH174" s="42" t="n">
        <f aca="false">IF(Tasks[[#This Row],[_Res1Text]]="",0,IFERROR(MATCH(TRIM(LEFT(Tasks[[#This Row],[_Res1Text]],FIND("[",Tasks[[#This Row],[_Res1Text]]&amp;"[")-1)),res_Name,0),IFERROR(MATCH(TRIM(LEFT(Tasks[[#This Row],[_Res1Text]],FIND("[",Tasks[[#This Row],[_Res1Text]]&amp;"[")-1)),res_Initials,0),0)))</f>
        <v>0</v>
      </c>
      <c r="DI174" s="42" t="n">
        <f aca="false">IF(Tasks[[#This Row],[_Res2Text]]="",0,IFERROR(MATCH(TRIM(LEFT(Tasks[[#This Row],[_Res2Text]],FIND("[",Tasks[[#This Row],[_Res2Text]]&amp;"[")-1)),res_Name,0),IFERROR(MATCH(TRIM(LEFT(Tasks[[#This Row],[_Res2Text]],FIND("[",Tasks[[#This Row],[_Res2Text]]&amp;"[")-1)),res_Initials,0),0)))</f>
        <v>0</v>
      </c>
      <c r="DJ174" s="42" t="n">
        <f aca="false">IF(Tasks[[#This Row],[_Res3Text]]="",0,IFERROR(MATCH(TRIM(LEFT(Tasks[[#This Row],[_Res3Text]],FIND("[",Tasks[[#This Row],[_Res3Text]]&amp;"[")-1)),res_Name,0),IFERROR(MATCH(TRIM(LEFT(Tasks[[#This Row],[_Res3Text]],FIND("[",Tasks[[#This Row],[_Res3Text]]&amp;"[")-1)),res_Initials,0),0)))</f>
        <v>0</v>
      </c>
      <c r="DK174" s="42" t="n">
        <f aca="false">IF(Tasks[[#This Row],[_Res4Text]]="",0,IFERROR(MATCH(TRIM(LEFT(Tasks[[#This Row],[_Res4Text]],FIND("[",Tasks[[#This Row],[_Res4Text]]&amp;"[")-1)),res_Name,0),IFERROR(MATCH(TRIM(LEFT(Tasks[[#This Row],[_Res4Text]],FIND("[",Tasks[[#This Row],[_Res4Text]]&amp;"[")-1)),res_Initials,0),0)))</f>
        <v>0</v>
      </c>
      <c r="DL174" s="42" t="str">
        <f aca="false">IF(Tasks[[#This Row],[_Res1Text]]="","",IF(Tasks[[#This Row],[_Res1Row]]&gt;0,INDEX(res_Name,Tasks[[#This Row],[_Res1Row]]),TRIM(LEFT(Tasks[[#This Row],[_Res1Text]],FIND("[",Tasks[[#This Row],[_Res1Text]]&amp;"[")-1))))</f>
        <v/>
      </c>
      <c r="DM17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4" s="42" t="n">
        <f aca="false">IF(NOT(Tasks[[#This Row],[_IsLeaf]]=1),0,(Tasks[[#This Row],[_Resource1]]&lt;&gt;"")+(Tasks[[#This Row],[_Res2]]&lt;&gt;"")+(Tasks[[#This Row],[_Res3]]&lt;&gt;"")+(Tasks[[#This Row],[_Res4]]&lt;&gt;""))</f>
        <v>0</v>
      </c>
      <c r="DO174" s="42" t="str">
        <f aca="false">IF(Tasks[[#This Row],[_Res2Text]]="","",IF(Tasks[[#This Row],[_Res2Row]]&gt;0,INDEX(res_Name,Tasks[[#This Row],[_Res2Row]]),TRIM(LEFT(Tasks[[#This Row],[_Res2Text]],FIND("[",Tasks[[#This Row],[_Res2Text]]&amp;"[")-1))))</f>
        <v/>
      </c>
      <c r="DP17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4" s="42" t="n">
        <f aca="false">IF(OR(NOT(Tasks[[#This Row],[_IsLeaf]]=1),Tasks[[#This Row],[_Res2Row]]=0),0,N(Tasks[[#This Row],[_Days]])*HoursPerDay*IF(Tasks[[#This Row],[_Res2Units]]="",DefaultUnits,Tasks[[#This Row],[_Res2Units]]))</f>
        <v>0</v>
      </c>
      <c r="DR174" s="42" t="n">
        <f aca="false">IF(AND(AND(Tasks[[#This Row],[_IsLeaf]]=1,Tasks[[#This Row],[_LeafTotalWork]]&gt;0),Tasks[[#This Row],[_Res2Work]]&gt;0),Tasks[[#This Row],[_Res2Work]]/(Tasks[[#This Row],[_FinishWorkday]]-Tasks[[#This Row],[_StartWorkday]]+1),0)</f>
        <v>0</v>
      </c>
      <c r="DS174" s="42" t="n">
        <f aca="false">Tasks[[#This Row],[_Res2WorkPerWD]]*MAX(0,Tasks[[#This Row],[_StartWorkday]]-1)</f>
        <v>0</v>
      </c>
      <c r="DT174" s="42" t="n">
        <f aca="false">Tasks[[#This Row],[_Res2Work]]*Tasks[[#This Row],[_LeafProgress]]</f>
        <v>0</v>
      </c>
      <c r="DU174" s="42" t="str">
        <f aca="false">IF(Tasks[[#This Row],[_Res3Text]]="","",IF(Tasks[[#This Row],[_Res3Row]]&gt;0,INDEX(res_Name,Tasks[[#This Row],[_Res3Row]]),TRIM(LEFT(Tasks[[#This Row],[_Res3Text]],FIND("[",Tasks[[#This Row],[_Res3Text]]&amp;"[")-1))))</f>
        <v/>
      </c>
      <c r="DV17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4" s="42" t="n">
        <f aca="false">IF(OR(NOT(Tasks[[#This Row],[_IsLeaf]]=1),Tasks[[#This Row],[_Res3Row]]=0),0,N(Tasks[[#This Row],[_Days]])*HoursPerDay*IF(Tasks[[#This Row],[_Res3Units]]="",DefaultUnits,Tasks[[#This Row],[_Res3Units]]))</f>
        <v>0</v>
      </c>
      <c r="DX174" s="42" t="n">
        <f aca="false">IF(AND(AND(Tasks[[#This Row],[_IsLeaf]]=1,Tasks[[#This Row],[_LeafTotalWork]]&gt;0),Tasks[[#This Row],[_Res3Work]]&gt;0),Tasks[[#This Row],[_Res3Work]]/(Tasks[[#This Row],[_FinishWorkday]]-Tasks[[#This Row],[_StartWorkday]]+1),0)</f>
        <v>0</v>
      </c>
      <c r="DY174" s="42" t="n">
        <f aca="false">Tasks[[#This Row],[_Res3WorkPerWD]]*MAX(0,Tasks[[#This Row],[_StartWorkday]]-1)</f>
        <v>0</v>
      </c>
      <c r="DZ174" s="42" t="n">
        <f aca="false">Tasks[[#This Row],[_Res3Work]]*Tasks[[#This Row],[_LeafProgress]]</f>
        <v>0</v>
      </c>
      <c r="EA174" s="42" t="str">
        <f aca="false">IF(Tasks[[#This Row],[_Res4Text]]="","",IF(Tasks[[#This Row],[_Res4Row]]&gt;0,INDEX(res_Name,Tasks[[#This Row],[_Res4Row]]),TRIM(LEFT(Tasks[[#This Row],[_Res4Text]],FIND("[",Tasks[[#This Row],[_Res4Text]]&amp;"[")-1))))</f>
        <v/>
      </c>
      <c r="EB17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4" s="42" t="n">
        <f aca="false">IF(OR(NOT(Tasks[[#This Row],[_IsLeaf]]=1),Tasks[[#This Row],[_Res4Row]]=0),0,N(Tasks[[#This Row],[_Days]])*HoursPerDay*IF(Tasks[[#This Row],[_Res4Units]]="",DefaultUnits,Tasks[[#This Row],[_Res4Units]]))</f>
        <v>0</v>
      </c>
      <c r="ED174" s="42" t="n">
        <f aca="false">IF(AND(AND(Tasks[[#This Row],[_IsLeaf]]=1,Tasks[[#This Row],[_LeafTotalWork]]&gt;0),Tasks[[#This Row],[_Res4Work]]&gt;0),Tasks[[#This Row],[_Res4Work]]/(Tasks[[#This Row],[_FinishWorkday]]-Tasks[[#This Row],[_StartWorkday]]+1),0)</f>
        <v>0</v>
      </c>
      <c r="EE174" s="42" t="n">
        <f aca="false">Tasks[[#This Row],[_Res4WorkPerWD]]*MAX(0,Tasks[[#This Row],[_StartWorkday]]-1)</f>
        <v>0</v>
      </c>
      <c r="EF174" s="42" t="n">
        <f aca="false">Tasks[[#This Row],[_Res4Work]]*Tasks[[#This Row],[_LeafProgress]]</f>
        <v>0</v>
      </c>
      <c r="EG174" s="42" t="n">
        <f aca="false">IF(ISNUMBER(Tasks[[#This Row],[% Complete]]),Tasks[[#This Row],[% Complete]],IF(Tasks[[#This Row],[Stage]]="",0,IFERROR(INDEX(stg_Pct,MATCH(Tasks[[#This Row],[Stage]],stg_Name,0)),0)))</f>
        <v>0</v>
      </c>
      <c r="EH174" s="42" t="n">
        <f aca="false">IF(NOT(Tasks[[#This Row],[_IsLeaf]]=1),0,IF(N(Tasks[[#This Row],[Actual Finish]])&gt;0,1,MIN(1,Tasks[[#This Row],[_Pct]])))</f>
        <v>0</v>
      </c>
      <c r="EI174" s="42" t="n">
        <f aca="false">IF(OR(NOT(Tasks[[#This Row],[_IsLeaf]]=1),Tasks[[#This Row],[_Res1Row]]=0),0,N(Tasks[[#This Row],[_Days]])*HoursPerDay*IF(Tasks[[#This Row],[_Units1]]="",DefaultUnits,Tasks[[#This Row],[_Units1]]))</f>
        <v>0</v>
      </c>
      <c r="EJ174" s="42" t="n">
        <f aca="false">Tasks[[#This Row],[_LeafWork]]+Tasks[[#This Row],[_Res2Work]]+Tasks[[#This Row],[_Res3Work]]+Tasks[[#This Row],[_Res4Work]]</f>
        <v>0</v>
      </c>
      <c r="EK17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4" s="42" t="n">
        <f aca="false">IF(NOT(Tasks[[#This Row],[_IsLeaf]]=1),0,MAX(_xlfn.MAXIFS(Tasks[_Row],Tasks[_Pred1UID],Tasks[[#This Row],[UID]]),_xlfn.MAXIFS(Tasks[_Row],Tasks[_Pred2UID],Tasks[[#This Row],[UID]]),_xlfn.MAXIFS(Tasks[_Row],Tasks[_Pred3UID],Tasks[[#This Row],[UID]]),_xlfn.MAXIFS(Tasks[_Row],Tasks[_Pred4UID],Tasks[[#This Row],[UID]])))</f>
        <v>0</v>
      </c>
      <c r="ET17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4" s="89" t="str">
        <f aca="false">IF(NOT(Tasks[[#This Row],[_IsLeaf]]=1),"",IF(N(Tasks[[#This Row],[_Days]])&lt;=0,Tasks[[#This Row],[_LeafLateFinish]],WORKDAY.INTL(Tasks[[#This Row],[_LeafLateFinish]],-(Tasks[[#This Row],[_Days]]-1),WorkWeek,Holidays)))</f>
        <v/>
      </c>
      <c r="EW17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4" s="88" t="b">
        <f aca="false">AND(Tasks[[#This Row],[_IsLeaf]]=1,Tasks[[#This Row],[_LeafProgress]]&lt;1,N(Tasks[[#This Row],[_LeafTotalSlack]])&lt;=CriticalSlackDays)</f>
        <v>0</v>
      </c>
      <c r="EY174" s="42" t="n">
        <f aca="false">IF(AND(Tasks[[#This Row],[_IsLeaf]]=1,Tasks[[#This Row],[_ConstraintCode]]=1,Tasks[[#This Row],[Mode]]&lt;&gt;"Manual",N(Tasks[[#This Row],[Actual Start]])=0),MAX(0,N(Tasks[[#This Row],[Free Slack]])),0)</f>
        <v>0</v>
      </c>
      <c r="EZ174" s="89" t="str">
        <f aca="false">IF(NOT(Tasks[[#This Row],[_IsLeaf]]=1),"",IF(Tasks[[#This Row],[_AlapShift]]=0,Tasks[[#This Row],[_LeafCalcStart]],WORKDAY.INTL(Tasks[[#This Row],[_LeafCalcStart]],Tasks[[#This Row],[_AlapShift]],WorkWeek,Holidays)))</f>
        <v/>
      </c>
      <c r="FA174" s="89" t="str">
        <f aca="false">IF(NOT(Tasks[[#This Row],[_IsLeaf]]=1),"",IF(Tasks[[#This Row],[_AlapShift]]=0,Tasks[[#This Row],[_LeafCalcFinish]],WORKDAY.INTL(Tasks[[#This Row],[_LeafCalcFinish]],Tasks[[#This Row],[_AlapShift]],WorkWeek,Holidays)))</f>
        <v/>
      </c>
      <c r="FB174" s="89" t="str">
        <f aca="false">IF(NOT(Tasks[[#This Row],[_IsLeaf]]=1),"",IF(Tasks[[#This Row],[_AlapShift]]=0,Tasks[[#This Row],[_LeafFcstStart]],WORKDAY.INTL(Tasks[[#This Row],[_LeafFcstStart]],Tasks[[#This Row],[_AlapShift]],WorkWeek,Holidays)))</f>
        <v/>
      </c>
      <c r="FC174" s="89" t="str">
        <f aca="false">IF(NOT(Tasks[[#This Row],[_IsLeaf]]=1),"",IF(Tasks[[#This Row],[_AlapShift]]=0,Tasks[[#This Row],[_LeafFcstFinish]],WORKDAY.INTL(Tasks[[#This Row],[_LeafFcstFinish]],Tasks[[#This Row],[_AlapShift]],WorkWeek,Holidays)))</f>
        <v/>
      </c>
      <c r="FD174" s="89" t="str">
        <f aca="false">IF(Tasks[[#This Row],[Task Name]]="","",IF(Tasks[[#This Row],[_IsSummary]],MIN(INDEX(Tasks[_ShownCalcStart],Tasks[[#This Row],[_Row]]+1):INDEX(Tasks[_ShownCalcStart],Tasks[[#This Row],[_Row]]+Tasks[[#This Row],[_Descendants]])),Tasks[[#This Row],[_ShownCalcStart]]))</f>
        <v/>
      </c>
      <c r="FE174" s="89" t="str">
        <f aca="false">IF(Tasks[[#This Row],[Task Name]]="","",IF(Tasks[[#This Row],[_IsSummary]],MAX(INDEX(Tasks[_ShownCalcFinish],Tasks[[#This Row],[_Row]]+1):INDEX(Tasks[_ShownCalcFinish],Tasks[[#This Row],[_Row]]+Tasks[[#This Row],[_Descendants]])),Tasks[[#This Row],[_ShownCalcFinish]]))</f>
        <v/>
      </c>
      <c r="FF17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4" s="42" t="n">
        <f aca="false">IF(AND(Tasks[[#This Row],[_IsLeaf]]=1,Tasks[[#This Row],[_LeafTotalWork]]&gt;0),NETWORKDAYS.INTL(ProjectStart,Tasks[[#This Row],[_ShownFcstStart]],WorkWeek,Holidays),0)</f>
        <v>0</v>
      </c>
      <c r="FS174" s="42" t="n">
        <f aca="false">IF(AND(Tasks[[#This Row],[_IsLeaf]]=1,Tasks[[#This Row],[_LeafTotalWork]]&gt;0),MAX(Tasks[[#This Row],[_StartWorkday]],NETWORKDAYS.INTL(ProjectStart,Tasks[[#This Row],[_ShownFcstFinish]],WorkWeek,Holidays)),0)</f>
        <v>0</v>
      </c>
      <c r="FT174" s="42" t="n">
        <f aca="false">IF(AND(Tasks[[#This Row],[_IsLeaf]]=1,Tasks[[#This Row],[_LeafTotalWork]]&gt;0),Tasks[[#This Row],[_LeafWork]]/(Tasks[[#This Row],[_FinishWorkday]]-Tasks[[#This Row],[_StartWorkday]]+1),0)</f>
        <v>0</v>
      </c>
      <c r="FU174" s="42" t="n">
        <f aca="false">Tasks[[#This Row],[_WorkPerWorkday]]*(Tasks[[#This Row],[_StartWorkday]]-1)</f>
        <v>-0</v>
      </c>
      <c r="FV174" s="42" t="n">
        <f aca="false">IF(Tasks[[#This Row],[_IsLeaf]]=1,MAX(N(Tasks[[#This Row],[_Days]]),0.1),0)</f>
        <v>0</v>
      </c>
      <c r="FW174" s="42" t="n">
        <f aca="false">Tasks[[#This Row],[_WeightDur]]*Tasks[[#This Row],[_LeafProgress]]</f>
        <v>0</v>
      </c>
      <c r="FX174" s="42" t="n">
        <f aca="false">Tasks[[#This Row],[_WeightDur]]*Tasks[[#This Row],[_PlannedPct]]</f>
        <v>0</v>
      </c>
      <c r="FY17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4" s="42" t="str">
        <f aca="false">IF(AND(Tasks[[#This Row],[_IsLeaf]]=1,N(Tasks[[#This Row],[_Days]])=0,Tasks[[#This Row],[_LeafProgress]]&lt;1),Tasks[[#This Row],[_ShownFcstFinish]]+Tasks[[#This Row],[_Row]]/100000,"")</f>
        <v/>
      </c>
      <c r="GA17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4" s="42" t="str">
        <f aca="false">IF(Tasks[[#This Row],[Task Name]]="","",LEFT(Tasks[[#This Row],[WBS]],FIND(".",Tasks[[#This Row],[WBS]]&amp;".")-1))</f>
        <v/>
      </c>
      <c r="GC174" s="42" t="str">
        <f aca="false">IF(AND(Tasks[[#This Row],[Task Name]]&lt;&gt;"",Tasks[[#This Row],[_Level]]=1),Tasks[[#This Row],[_Row]],"")</f>
        <v/>
      </c>
      <c r="GD174" s="42" t="str">
        <f aca="false">IF(AND(Tasks[[#This Row],[_IsLeaf]]=1,N(Tasks[[#This Row],[_Days]])=0),Tasks[[#This Row],[Planned Finish]]+Tasks[[#This Row],[_Row]]/100000,"")</f>
        <v/>
      </c>
      <c r="GE174" s="42" t="str">
        <f aca="false">IF(AND(Tasks[[#This Row],[_IsLeaf]]=1,Tasks[[#This Row],[_LeafProgress]]&lt;1,OR(N(Tasks[[#This Row],[Finish Var]])&gt;0,Tasks[[#This Row],[Status]]="Late Start")),MAX(0,Tasks[[#This Row],[Finish Var]])+1-Tasks[[#This Row],[_Row]]/1000000,"")</f>
        <v/>
      </c>
      <c r="GF174" s="42" t="str">
        <f aca="false">IF(AND(Tasks[[#This Row],[_IsLeaf]]=1,N(Tasks[[#This Row],[Actual Start]])=0,Tasks[[#This Row],[_ShownFcstStart]]&gt;=StatusDate,Tasks[[#This Row],[_ShownFcstStart]]&lt;=LookaheadEnd),Tasks[[#This Row],[_ShownFcstStart]]+Tasks[[#This Row],[_Row]]/100000,"")</f>
        <v/>
      </c>
      <c r="GG174" s="42" t="str">
        <f aca="false">IF(AND(Tasks[[#This Row],[_IsLeaf]]=1,Tasks[[#This Row],[_LeafProgress]]&lt;1,Tasks[[#This Row],[_ShownFcstFinish]]&gt;=StatusDate,Tasks[[#This Row],[_ShownFcstFinish]]&lt;=LookaheadEnd),Tasks[[#This Row],[_ShownFcstFinish]]+Tasks[[#This Row],[_Row]]/100000,"")</f>
        <v/>
      </c>
      <c r="GH174" s="42" t="str">
        <f aca="false">IF(Tasks[[#This Row],[_LeafCritical]],Tasks[[#This Row],[_ShownFcstStart]]+Tasks[[#This Row],[_Row]]/100000,"")</f>
        <v/>
      </c>
      <c r="GI174" s="42" t="n">
        <f aca="false">Tasks[[#This Row],[_LeafWork]]*Tasks[[#This Row],[_LeafProgress]]</f>
        <v>0</v>
      </c>
      <c r="GJ174" s="89" t="str">
        <f aca="false">IF(AND(Tasks[[#This Row],[_IsLeaf]]=1,Tasks[[#This Row],[_LeafProgress]]&gt;=1),IF(N(Tasks[[#This Row],[Actual Finish]])&gt;0,Tasks[[#This Row],[Actual Finish]],Tasks[[#This Row],[_ShownFcstFinish]]),"")</f>
        <v/>
      </c>
      <c r="GK174" s="42" t="n">
        <f aca="false">IF(Tasks[[#This Row],[_IsLeaf]]=1,N(Tasks[[#This Row],[Story Points]]),0)</f>
        <v>0</v>
      </c>
      <c r="GL174" s="42" t="str">
        <f aca="false">""</f>
        <v/>
      </c>
      <c r="GM174" s="88" t="b">
        <f aca="false">IF(Tasks[[#This Row],[Task Name]]="",FALSE(),AND(Tasks[[#This Row],[_IsLeaf]]=1,N(Tasks[[#This Row],[_Days]])=0))</f>
        <v>0</v>
      </c>
      <c r="GN174" s="89" t="n">
        <f aca="false">IF(Tasks[[#This Row],[Task Name]]="",0,IF(AND(Tasks[[#This Row],[_IsLeaf]]=1,NOT(Tasks[[#This Row],[_IsMilestone]]),N(Tasks[[#This Row],[Progress]])&gt;0),Tasks[[#This Row],[Start]],0))</f>
        <v>0</v>
      </c>
      <c r="GO174" s="89" t="n">
        <f aca="false">IF(Tasks[[#This Row],[_DoneFrom]]=0,0,IF(Tasks[[#This Row],[Progress]]&gt;=1,Tasks[[#This Row],[Finish]],MAX(Tasks[[#This Row],[_DoneFrom]],Tasks[[#This Row],[Start]]+ROUND((Tasks[[#This Row],[Finish]]-Tasks[[#This Row],[Start]]+1)*Tasks[[#This Row],[Progress]],0)-1)))</f>
        <v>0</v>
      </c>
      <c r="GP174" s="89" t="n">
        <f aca="false">IF(Tasks[[#This Row],[Task Name]]="",0,IF(OR(NOT(Tasks[[#This Row],[_IsLeaf]]=1),Tasks[[#This Row],[_IsMilestone]],N(Tasks[[#This Row],[Progress]])&gt;=1),0,IF(Tasks[[#This Row],[_DoneTo]]&gt;0,Tasks[[#This Row],[_DoneTo]]+1,Tasks[[#This Row],[Start]])))</f>
        <v>0</v>
      </c>
      <c r="GQ174" s="89" t="n">
        <f aca="false">IF(Tasks[[#This Row],[_RemFrom]]=0,0,Tasks[[#This Row],[Finish]])</f>
        <v>0</v>
      </c>
      <c r="GR174" s="88" t="b">
        <f aca="false">IF(Tasks[[#This Row],[Task Name]]="",FALSE(),OR(NOT(BaselineSet),N(Tasks[[#This Row],[Baseline Start]])&gt;0))</f>
        <v>0</v>
      </c>
      <c r="GS17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4" s="90" t="str">
        <f aca="false">IF(Tasks[[#This Row],[_IsLeaf]]=1,Tasks[[#This Row],[_Row]],"")</f>
        <v/>
      </c>
      <c r="GW174" s="90" t="str">
        <f aca="false">IFERROR(INDEX(Tasks[UID],SMALL(Tasks[_PickKey],Tasks[[#This Row],[_Row]]))&amp;" "&amp;INDEX(Tasks[Task Name],SMALL(Tasks[_PickKey],Tasks[[#This Row],[_Row]])),"")</f>
        <v/>
      </c>
      <c r="GX174" s="42" t="str">
        <f aca="false">IF(Tasks[[#This Row],[Task Name]]="","",IF(Tasks[[#This Row],[_IsSummary]],NETWORKDAYS.INTL(Tasks[[#This Row],[Start]],Tasks[[#This Row],[Finish]],WorkWeek,Holidays),N(Tasks[[#This Row],[_Days]])))</f>
        <v/>
      </c>
    </row>
    <row r="175" customFormat="false" ht="15" hidden="false" customHeight="false" outlineLevel="0" collapsed="false">
      <c r="A175" s="21" t="str">
        <f aca="false">IF(Tasks[[#This Row],[Task Name]]="","",COUNTA(Tasks[[#Headers],[Task Name]]:Tasks[[#This Row],[Task Name]])-1)</f>
        <v/>
      </c>
      <c r="B175" s="22" t="n">
        <v>183</v>
      </c>
      <c r="C175" s="22"/>
      <c r="D175" s="23"/>
      <c r="E175" s="22"/>
      <c r="F175" s="23"/>
      <c r="G175" s="22"/>
      <c r="H175" s="22"/>
      <c r="I175" s="23"/>
      <c r="J175" s="22"/>
      <c r="K175" s="22"/>
      <c r="L175" s="23"/>
      <c r="M175" s="22"/>
      <c r="N175" s="22"/>
      <c r="O175" s="23"/>
      <c r="P175" s="22"/>
      <c r="Q175" s="22"/>
      <c r="R175" s="23"/>
      <c r="S175" s="23"/>
      <c r="T175" s="83"/>
      <c r="U175" s="23"/>
      <c r="V175" s="83"/>
      <c r="W175" s="23"/>
      <c r="X175" s="83"/>
      <c r="Y175" s="23"/>
      <c r="Z175" s="83"/>
      <c r="AA175" s="23"/>
      <c r="AB175" s="23"/>
      <c r="AC175" s="7"/>
      <c r="AD175" s="7"/>
      <c r="AE175" s="62" t="str">
        <f aca="false">IF(Tasks[[#This Row],[Task Name]]="","",IF(Tasks[[#This Row],[_IsSummary]],MIN(INDEX(Tasks[_ShownFcstStart],Tasks[[#This Row],[_Row]]+1):INDEX(Tasks[_ShownFcstStart],Tasks[[#This Row],[_Row]]+Tasks[[#This Row],[_Descendants]])),Tasks[[#This Row],[_ShownFcstStart]]))</f>
        <v/>
      </c>
      <c r="AF175" s="62" t="str">
        <f aca="false">IF(Tasks[[#This Row],[Task Name]]="","",IF(Tasks[[#This Row],[_IsSummary]],MAX(INDEX(Tasks[_ShownFcstFinish],Tasks[[#This Row],[_Row]]+1):INDEX(Tasks[_ShownFcstFinish],Tasks[[#This Row],[_Row]]+Tasks[[#This Row],[_Descendants]])),Tasks[[#This Row],[_ShownFcstFinish]]))</f>
        <v/>
      </c>
      <c r="AG175" s="21" t="str">
        <f aca="false">""</f>
        <v/>
      </c>
      <c r="AH175" s="23"/>
      <c r="AI17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5" s="7"/>
      <c r="AK175" s="22"/>
      <c r="AL175" s="23"/>
      <c r="AM175" s="7"/>
      <c r="AN175" s="46" t="str">
        <f aca="false">IF(Tasks[[#This Row],[Task Name]]="","",IF(Tasks[[#This Row],[Finish]]&gt;=Tasks[[#This Row],[Planned Finish]],NETWORKDAYS.INTL(Tasks[[#This Row],[Planned Finish]],Tasks[[#This Row],[Finish]],WorkWeek,Holidays)-1,1-NETWORKDAYS.INTL(Tasks[[#This Row],[Finish]],Tasks[[#This Row],[Planned Finish]],WorkWeek,Holidays)))</f>
        <v/>
      </c>
      <c r="AO175" s="21" t="str">
        <f aca="false">IF(Tasks[[#This Row],[Task Name]]="","",IF(Tasks[[#This Row],[Progress]]&gt;=1,"Complete",IF(OR(N(Tasks[[#This Row],[Actual Start]])&gt;0,Tasks[[#This Row],[Progress]]&gt;0),IF(Tasks[[#This Row],[Finish Var]]&gt;0,"Behind","In Progress"),IF(Tasks[[#This Row],[Planned Start]]&lt;StatusDate,"Late Start","Not Started"))))</f>
        <v/>
      </c>
      <c r="AP175" s="21" t="str">
        <f aca="false">IF(Tasks[[#This Row],[Task Name]]="","",IF(IF(Tasks[[#This Row],[_IsSummary]],COUNTIF(INDEX(Tasks[_LeafCritical],Tasks[[#This Row],[_Row]]+1):INDEX(Tasks[_LeafCritical],Tasks[[#This Row],[_Row]]+Tasks[[#This Row],[_Descendants]]),TRUE())&gt;0,Tasks[[#This Row],[_LeafCritical]]),"Yes",""))</f>
        <v/>
      </c>
      <c r="AQ175" s="62" t="str">
        <f aca="false">IF(Tasks[[#This Row],[Task Name]]="","",IF(N(Tasks[[#This Row],[Baseline Start]])&gt;0,Tasks[[#This Row],[Baseline Start]],Tasks[[#This Row],[_CalcStart]]))</f>
        <v/>
      </c>
      <c r="AR175" s="62" t="str">
        <f aca="false">IF(Tasks[[#This Row],[Task Name]]="","",IF(N(Tasks[[#This Row],[Baseline Finish]])&gt;0,Tasks[[#This Row],[Baseline Finish]],Tasks[[#This Row],[_CalcFinish]]))</f>
        <v/>
      </c>
      <c r="AS175" s="46" t="str">
        <f aca="false">IF(Tasks[[#This Row],[Task Name]]="","",IF(Tasks[[#This Row],[Start]]&gt;=Tasks[[#This Row],[Planned Start]],NETWORKDAYS.INTL(Tasks[[#This Row],[Planned Start]],Tasks[[#This Row],[Start]],WorkWeek,Holidays)-1,1-NETWORKDAYS.INTL(Tasks[[#This Row],[Start]],Tasks[[#This Row],[Planned Start]],WorkWeek,Holidays)))</f>
        <v/>
      </c>
      <c r="AT175" s="62" t="str">
        <f aca="false">IF(Tasks[[#This Row],[Task Name]]="","",IF(Tasks[[#This Row],[_IsSummary]],MIN(INDEX(Tasks[_LeafLateStart],Tasks[[#This Row],[_Row]]+1):INDEX(Tasks[_LeafLateStart],Tasks[[#This Row],[_Row]]+Tasks[[#This Row],[_Descendants]])),Tasks[[#This Row],[_LeafLateStart]]))</f>
        <v/>
      </c>
      <c r="AU175" s="62" t="str">
        <f aca="false">IF(Tasks[[#This Row],[Task Name]]="","",IF(Tasks[[#This Row],[_IsSummary]],MAX(INDEX(Tasks[_LeafLateFinish],Tasks[[#This Row],[_Row]]+1):INDEX(Tasks[_LeafLateFinish],Tasks[[#This Row],[_Row]]+Tasks[[#This Row],[_Descendants]])),Tasks[[#This Row],[_LeafLateFinish]]))</f>
        <v/>
      </c>
      <c r="AV175" s="46" t="str">
        <f aca="false">IF(Tasks[[#This Row],[Task Name]]="","",IF(Tasks[[#This Row],[_IsSummary]],MIN(INDEX(Tasks[_LeafTotalSlack],Tasks[[#This Row],[_Row]]+1):INDEX(Tasks[_LeafTotalSlack],Tasks[[#This Row],[_Row]]+Tasks[[#This Row],[_Descendants]])),Tasks[[#This Row],[_LeafTotalSlack]]))</f>
        <v/>
      </c>
      <c r="AW17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4"/>
      <c r="BA17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t="str">
        <f aca="false">IF(Tasks[[#This Row],[Task Name]]="","",IF(Tasks[[#This Row],[_Level]]&lt;=OutlineShowLevel,"Yes","No"))</f>
        <v/>
      </c>
      <c r="BE175" s="85" t="str">
        <f aca="false">IF(Tasks[[#This Row],[Task Name]]="","",IF(Tasks[[#This Row],[_IsSummary]],SUM(INDEX(Tasks[_LeafTotalWork],Tasks[[#This Row],[_Row]]+1):INDEX(Tasks[_LeafTotalWork],Tasks[[#This Row],[_Row]]+Tasks[[#This Row],[_Descendants]])),Tasks[[#This Row],[_LeafTotalWork]]))</f>
        <v/>
      </c>
      <c r="BF175" s="23"/>
      <c r="BG17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t="str">
        <f aca="false">""</f>
        <v/>
      </c>
      <c r="BI175" s="86"/>
      <c r="BJ175" s="22"/>
      <c r="BK175" s="46" t="str">
        <f aca="false">IF(OR(Tasks[[#This Row],[Task Name]]="",Tasks[[#This Row],[Baseline Duration]]=""),"",Tasks[[#This Row],[_SpanDays]]-N(Tasks[[#This Row],[Baseline Duration]]))</f>
        <v/>
      </c>
      <c r="BL175" s="85" t="str">
        <f aca="false">IF(OR(Tasks[[#This Row],[Task Name]]="",Tasks[[#This Row],[Baseline Work]]=""),"",Tasks[[#This Row],[Work]]-N(Tasks[[#This Row],[Baseline Work]]))</f>
        <v/>
      </c>
      <c r="BM175" s="62" t="str">
        <f aca="false">IF(Tasks[[#This Row],[Task Name]]="","",IF(OR(TakeBaseline="Yes",N(Tasks[[#This Row],[Baseline Start]])=0),Tasks[[#This Row],[Start]],Tasks[[#This Row],[Baseline Start]]))</f>
        <v/>
      </c>
      <c r="BN175" s="62" t="str">
        <f aca="false">IF(Tasks[[#This Row],[Task Name]]="","",IF(OR(TakeBaseline="Yes",N(Tasks[[#This Row],[Baseline Finish]])=0),Tasks[[#This Row],[Finish]],Tasks[[#This Row],[Baseline Finish]]))</f>
        <v/>
      </c>
      <c r="BO175" s="21" t="str">
        <f aca="false">IF(Tasks[[#This Row],[Task Name]]="","",IF(OR(TakeBaseline="Yes",N(Tasks[[#This Row],[Baseline Duration]])=0),Tasks[[#This Row],[_SpanDays]],Tasks[[#This Row],[Baseline Duration]]))</f>
        <v/>
      </c>
      <c r="BP175" s="85" t="str">
        <f aca="false">IF(Tasks[[#This Row],[Task Name]]="","",IF(OR(TakeBaseline="Yes",N(Tasks[[#This Row],[Baseline Work]])=0),Tasks[[#This Row],[Work]],Tasks[[#This Row],[Baseline Work]]))</f>
        <v/>
      </c>
      <c r="BQ175" s="7"/>
      <c r="BR175" s="7"/>
      <c r="BS175" s="22"/>
      <c r="BT175" s="87"/>
      <c r="BU175" s="42" t="str">
        <f aca="false">IF(Tasks[[#This Row],[Task Name]]="","",MAX(1,N(Tasks[[#This Row],[Level]])))</f>
        <v/>
      </c>
      <c r="BV175" s="42" t="n">
        <f aca="false">ROW()-ROW(Tasks[[#Headers],[ID]])</f>
        <v>170</v>
      </c>
      <c r="BW175" s="42" t="n">
        <f aca="false">IF(OR(Tasks[[#This Row],[Task Name]]="",Tasks[[#This Row],[_Level]]&lt;=1),0,IFERROR(LOOKUP(2,1/(Tasks[[#Headers],[_Level]]:Tasks[[#This Row],[_Level]]=Tasks[[#This Row],[_Level]]-1),ROW(Tasks[[#Headers],[_Level]]:Tasks[[#This Row],[_Level]])),0))</f>
        <v>0</v>
      </c>
      <c r="BX175" s="42" t="n">
        <f aca="false">IFERROR(N(INDEX(Tasks[_Level],Tasks[[#This Row],[_Row]]+1)),0)</f>
        <v>0</v>
      </c>
      <c r="BY175" s="88" t="b">
        <f aca="false">AND(Tasks[[#This Row],[Task Name]]&lt;&gt;"",Tasks[[#This Row],[_NextLevel]]&gt;Tasks[[#This Row],[_Level]])</f>
        <v>0</v>
      </c>
      <c r="BZ175" s="42" t="n">
        <f aca="false">IF(Tasks[[#This Row],[_IsSummary]],COUNTIF(Tasks[WBS],Tasks[[#This Row],[WBS]]&amp;".*"),0)</f>
        <v>0</v>
      </c>
      <c r="CA175" s="42" t="n">
        <f aca="false">IF(AND(Tasks[[#This Row],[Task Name]]&lt;&gt;"",NOT(Tasks[[#This Row],[_IsSummary]])),1,0)</f>
        <v>0</v>
      </c>
      <c r="CB175" s="42" t="n">
        <f aca="false">IF(N(Tasks[[#This Row],[_Pred1UID]])=0,0,IFERROR(MATCH(Tasks[[#This Row],[_Pred1UID]],Tasks[UID],0),-1))</f>
        <v>0</v>
      </c>
      <c r="CC175" s="42" t="n">
        <f aca="false">IF(N(Tasks[[#This Row],[_Pred2UID]])=0,0,IFERROR(MATCH(Tasks[[#This Row],[_Pred2UID]],Tasks[UID],0),-1))</f>
        <v>0</v>
      </c>
      <c r="CD175" s="42" t="n">
        <f aca="false">IF(N(Tasks[[#This Row],[_Pred3UID]])=0,0,IFERROR(MATCH(Tasks[[#This Row],[_Pred3UID]],Tasks[UID],0),-1))</f>
        <v>0</v>
      </c>
      <c r="CE175" s="42" t="n">
        <f aca="false">IF(N(Tasks[[#This Row],[_Pred4UID]])=0,0,IFERROR(MATCH(Tasks[[#This Row],[_Pred4UID]],Tasks[UID],0),-1))</f>
        <v>0</v>
      </c>
      <c r="CF17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5" s="89" t="n">
        <f aca="false">IF(OR(Tasks[[#This Row],[_ConstraintCode]]=2,Tasks[[#This Row],[_ConstraintCode]]=3,Tasks[[#This Row],[_ConstraintCode]]=4,Tasks[[#This Row],[_ConstraintCode]]=6),Tasks[[#This Row],[_ConstraintStart]],0)</f>
        <v>0</v>
      </c>
      <c r="CI175" s="89" t="n">
        <f aca="false">IF(OR(Tasks[[#This Row],[_ConstraintCode]]=2,Tasks[[#This Row],[_ConstraintCode]]=3,Tasks[[#This Row],[_ConstraintCode]]=5,Tasks[[#This Row],[_ConstraintCode]]=7),Tasks[[#This Row],[_ConstraintStart]],2958465)</f>
        <v>2958465</v>
      </c>
      <c r="CJ17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5" s="89" t="str">
        <f aca="false">IF(NOT(Tasks[[#This Row],[_IsLeaf]]=1),"",IF(N(Tasks[[#This Row],[_Days]])&lt;=0,Tasks[[#This Row],[_LeafCalcStart]],WORKDAY.INTL(Tasks[[#This Row],[_LeafCalcStart]],Tasks[[#This Row],[_Days]]-1,WorkWeek,Holidays)))</f>
        <v/>
      </c>
      <c r="CL17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5" s="42" t="str">
        <f aca="false">IF(Tasks[[#This Row],[_Predecessors]]="","",TRIM(MID(SUBSTITUTE(SUBSTITUTE(SUBSTITUTE(UPPER(Tasks[[#This Row],[_Predecessors]]),";",",")," ",""),",",REPT(" ",99)),1,99)))</f>
        <v/>
      </c>
      <c r="CO175" s="42" t="str">
        <f aca="false">IF(Tasks[[#This Row],[_Pred1Text]]="","",IFERROR(VALUE(LEFT(Tasks[[#This Row],[_Pred1Text]],MIN(FIND("F",Tasks[[#This Row],[_Pred1Text]]&amp;"F"),FIND("S",Tasks[[#This Row],[_Pred1Text]]&amp;"S"),FIND("+",Tasks[[#This Row],[_Pred1Text]]&amp;"+"),FIND("-",Tasks[[#This Row],[_Pred1Text]]&amp;"-"))-1)),""))</f>
        <v/>
      </c>
      <c r="CP17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5" s="42" t="str">
        <f aca="false">IF(Tasks[[#This Row],[_Pred1Text]]="","",TRIM(MID(SUBSTITUTE(SUBSTITUTE(SUBSTITUTE(UPPER(Tasks[[#This Row],[_Predecessors]]),";",",")," ",""),",",REPT(" ",99)),100,99)))</f>
        <v/>
      </c>
      <c r="CS175" s="42" t="str">
        <f aca="false">IF(Tasks[[#This Row],[_Pred2Text]]="","",IFERROR(VALUE(LEFT(Tasks[[#This Row],[_Pred2Text]],MIN(FIND("F",Tasks[[#This Row],[_Pred2Text]]&amp;"F"),FIND("S",Tasks[[#This Row],[_Pred2Text]]&amp;"S"),FIND("+",Tasks[[#This Row],[_Pred2Text]]&amp;"+"),FIND("-",Tasks[[#This Row],[_Pred2Text]]&amp;"-"))-1)),""))</f>
        <v/>
      </c>
      <c r="CT17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5" s="42" t="str">
        <f aca="false">IF(Tasks[[#This Row],[_Pred2Text]]="","",TRIM(MID(SUBSTITUTE(SUBSTITUTE(SUBSTITUTE(UPPER(Tasks[[#This Row],[_Predecessors]]),";",",")," ",""),",",REPT(" ",99)),199,99)))</f>
        <v/>
      </c>
      <c r="CW175" s="42" t="str">
        <f aca="false">IF(Tasks[[#This Row],[_Pred3Text]]="","",IFERROR(VALUE(LEFT(Tasks[[#This Row],[_Pred3Text]],MIN(FIND("F",Tasks[[#This Row],[_Pred3Text]]&amp;"F"),FIND("S",Tasks[[#This Row],[_Pred3Text]]&amp;"S"),FIND("+",Tasks[[#This Row],[_Pred3Text]]&amp;"+"),FIND("-",Tasks[[#This Row],[_Pred3Text]]&amp;"-"))-1)),""))</f>
        <v/>
      </c>
      <c r="CX17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5" s="42" t="str">
        <f aca="false">IF(Tasks[[#This Row],[_Pred3Text]]="","",TRIM(MID(SUBSTITUTE(SUBSTITUTE(SUBSTITUTE(UPPER(Tasks[[#This Row],[_Predecessors]]),";",",")," ",""),",",REPT(" ",99)),298,99)))</f>
        <v/>
      </c>
      <c r="DA175" s="42" t="str">
        <f aca="false">IF(Tasks[[#This Row],[_Pred4Text]]="","",IFERROR(VALUE(LEFT(Tasks[[#This Row],[_Pred4Text]],MIN(FIND("F",Tasks[[#This Row],[_Pred4Text]]&amp;"F"),FIND("S",Tasks[[#This Row],[_Pred4Text]]&amp;"S"),FIND("+",Tasks[[#This Row],[_Pred4Text]]&amp;"+"),FIND("-",Tasks[[#This Row],[_Pred4Text]]&amp;"-"))-1)),""))</f>
        <v/>
      </c>
      <c r="DB17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5" s="42" t="str">
        <f aca="false">IF(OR(Tasks[[#This Row],[Task Name]]="",Tasks[[#This Row],[_Resources]]=""),"",TRIM(MID(SUBSTITUTE(Tasks[[#This Row],[_Resources]],",",REPT(" ",99)),1,99)))</f>
        <v/>
      </c>
      <c r="DE175" s="42" t="str">
        <f aca="false">IF(Tasks[[#This Row],[_Res1Text]]="","",TRIM(MID(SUBSTITUTE(Tasks[[#This Row],[_Resources]],",",REPT(" ",99)),100,99)))</f>
        <v/>
      </c>
      <c r="DF175" s="42" t="str">
        <f aca="false">IF(Tasks[[#This Row],[_Res2Text]]="","",TRIM(MID(SUBSTITUTE(Tasks[[#This Row],[_Resources]],",",REPT(" ",99)),199,99)))</f>
        <v/>
      </c>
      <c r="DG175" s="42" t="str">
        <f aca="false">IF(Tasks[[#This Row],[_Res3Text]]="","",TRIM(MID(SUBSTITUTE(Tasks[[#This Row],[_Resources]],",",REPT(" ",99)),298,99)))</f>
        <v/>
      </c>
      <c r="DH175" s="42" t="n">
        <f aca="false">IF(Tasks[[#This Row],[_Res1Text]]="",0,IFERROR(MATCH(TRIM(LEFT(Tasks[[#This Row],[_Res1Text]],FIND("[",Tasks[[#This Row],[_Res1Text]]&amp;"[")-1)),res_Name,0),IFERROR(MATCH(TRIM(LEFT(Tasks[[#This Row],[_Res1Text]],FIND("[",Tasks[[#This Row],[_Res1Text]]&amp;"[")-1)),res_Initials,0),0)))</f>
        <v>0</v>
      </c>
      <c r="DI175" s="42" t="n">
        <f aca="false">IF(Tasks[[#This Row],[_Res2Text]]="",0,IFERROR(MATCH(TRIM(LEFT(Tasks[[#This Row],[_Res2Text]],FIND("[",Tasks[[#This Row],[_Res2Text]]&amp;"[")-1)),res_Name,0),IFERROR(MATCH(TRIM(LEFT(Tasks[[#This Row],[_Res2Text]],FIND("[",Tasks[[#This Row],[_Res2Text]]&amp;"[")-1)),res_Initials,0),0)))</f>
        <v>0</v>
      </c>
      <c r="DJ175" s="42" t="n">
        <f aca="false">IF(Tasks[[#This Row],[_Res3Text]]="",0,IFERROR(MATCH(TRIM(LEFT(Tasks[[#This Row],[_Res3Text]],FIND("[",Tasks[[#This Row],[_Res3Text]]&amp;"[")-1)),res_Name,0),IFERROR(MATCH(TRIM(LEFT(Tasks[[#This Row],[_Res3Text]],FIND("[",Tasks[[#This Row],[_Res3Text]]&amp;"[")-1)),res_Initials,0),0)))</f>
        <v>0</v>
      </c>
      <c r="DK175" s="42" t="n">
        <f aca="false">IF(Tasks[[#This Row],[_Res4Text]]="",0,IFERROR(MATCH(TRIM(LEFT(Tasks[[#This Row],[_Res4Text]],FIND("[",Tasks[[#This Row],[_Res4Text]]&amp;"[")-1)),res_Name,0),IFERROR(MATCH(TRIM(LEFT(Tasks[[#This Row],[_Res4Text]],FIND("[",Tasks[[#This Row],[_Res4Text]]&amp;"[")-1)),res_Initials,0),0)))</f>
        <v>0</v>
      </c>
      <c r="DL175" s="42" t="str">
        <f aca="false">IF(Tasks[[#This Row],[_Res1Text]]="","",IF(Tasks[[#This Row],[_Res1Row]]&gt;0,INDEX(res_Name,Tasks[[#This Row],[_Res1Row]]),TRIM(LEFT(Tasks[[#This Row],[_Res1Text]],FIND("[",Tasks[[#This Row],[_Res1Text]]&amp;"[")-1))))</f>
        <v/>
      </c>
      <c r="DM17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5" s="42" t="n">
        <f aca="false">IF(NOT(Tasks[[#This Row],[_IsLeaf]]=1),0,(Tasks[[#This Row],[_Resource1]]&lt;&gt;"")+(Tasks[[#This Row],[_Res2]]&lt;&gt;"")+(Tasks[[#This Row],[_Res3]]&lt;&gt;"")+(Tasks[[#This Row],[_Res4]]&lt;&gt;""))</f>
        <v>0</v>
      </c>
      <c r="DO175" s="42" t="str">
        <f aca="false">IF(Tasks[[#This Row],[_Res2Text]]="","",IF(Tasks[[#This Row],[_Res2Row]]&gt;0,INDEX(res_Name,Tasks[[#This Row],[_Res2Row]]),TRIM(LEFT(Tasks[[#This Row],[_Res2Text]],FIND("[",Tasks[[#This Row],[_Res2Text]]&amp;"[")-1))))</f>
        <v/>
      </c>
      <c r="DP17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5" s="42" t="n">
        <f aca="false">IF(OR(NOT(Tasks[[#This Row],[_IsLeaf]]=1),Tasks[[#This Row],[_Res2Row]]=0),0,N(Tasks[[#This Row],[_Days]])*HoursPerDay*IF(Tasks[[#This Row],[_Res2Units]]="",DefaultUnits,Tasks[[#This Row],[_Res2Units]]))</f>
        <v>0</v>
      </c>
      <c r="DR175" s="42" t="n">
        <f aca="false">IF(AND(AND(Tasks[[#This Row],[_IsLeaf]]=1,Tasks[[#This Row],[_LeafTotalWork]]&gt;0),Tasks[[#This Row],[_Res2Work]]&gt;0),Tasks[[#This Row],[_Res2Work]]/(Tasks[[#This Row],[_FinishWorkday]]-Tasks[[#This Row],[_StartWorkday]]+1),0)</f>
        <v>0</v>
      </c>
      <c r="DS175" s="42" t="n">
        <f aca="false">Tasks[[#This Row],[_Res2WorkPerWD]]*MAX(0,Tasks[[#This Row],[_StartWorkday]]-1)</f>
        <v>0</v>
      </c>
      <c r="DT175" s="42" t="n">
        <f aca="false">Tasks[[#This Row],[_Res2Work]]*Tasks[[#This Row],[_LeafProgress]]</f>
        <v>0</v>
      </c>
      <c r="DU175" s="42" t="str">
        <f aca="false">IF(Tasks[[#This Row],[_Res3Text]]="","",IF(Tasks[[#This Row],[_Res3Row]]&gt;0,INDEX(res_Name,Tasks[[#This Row],[_Res3Row]]),TRIM(LEFT(Tasks[[#This Row],[_Res3Text]],FIND("[",Tasks[[#This Row],[_Res3Text]]&amp;"[")-1))))</f>
        <v/>
      </c>
      <c r="DV17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5" s="42" t="n">
        <f aca="false">IF(OR(NOT(Tasks[[#This Row],[_IsLeaf]]=1),Tasks[[#This Row],[_Res3Row]]=0),0,N(Tasks[[#This Row],[_Days]])*HoursPerDay*IF(Tasks[[#This Row],[_Res3Units]]="",DefaultUnits,Tasks[[#This Row],[_Res3Units]]))</f>
        <v>0</v>
      </c>
      <c r="DX175" s="42" t="n">
        <f aca="false">IF(AND(AND(Tasks[[#This Row],[_IsLeaf]]=1,Tasks[[#This Row],[_LeafTotalWork]]&gt;0),Tasks[[#This Row],[_Res3Work]]&gt;0),Tasks[[#This Row],[_Res3Work]]/(Tasks[[#This Row],[_FinishWorkday]]-Tasks[[#This Row],[_StartWorkday]]+1),0)</f>
        <v>0</v>
      </c>
      <c r="DY175" s="42" t="n">
        <f aca="false">Tasks[[#This Row],[_Res3WorkPerWD]]*MAX(0,Tasks[[#This Row],[_StartWorkday]]-1)</f>
        <v>0</v>
      </c>
      <c r="DZ175" s="42" t="n">
        <f aca="false">Tasks[[#This Row],[_Res3Work]]*Tasks[[#This Row],[_LeafProgress]]</f>
        <v>0</v>
      </c>
      <c r="EA175" s="42" t="str">
        <f aca="false">IF(Tasks[[#This Row],[_Res4Text]]="","",IF(Tasks[[#This Row],[_Res4Row]]&gt;0,INDEX(res_Name,Tasks[[#This Row],[_Res4Row]]),TRIM(LEFT(Tasks[[#This Row],[_Res4Text]],FIND("[",Tasks[[#This Row],[_Res4Text]]&amp;"[")-1))))</f>
        <v/>
      </c>
      <c r="EB17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5" s="42" t="n">
        <f aca="false">IF(OR(NOT(Tasks[[#This Row],[_IsLeaf]]=1),Tasks[[#This Row],[_Res4Row]]=0),0,N(Tasks[[#This Row],[_Days]])*HoursPerDay*IF(Tasks[[#This Row],[_Res4Units]]="",DefaultUnits,Tasks[[#This Row],[_Res4Units]]))</f>
        <v>0</v>
      </c>
      <c r="ED175" s="42" t="n">
        <f aca="false">IF(AND(AND(Tasks[[#This Row],[_IsLeaf]]=1,Tasks[[#This Row],[_LeafTotalWork]]&gt;0),Tasks[[#This Row],[_Res4Work]]&gt;0),Tasks[[#This Row],[_Res4Work]]/(Tasks[[#This Row],[_FinishWorkday]]-Tasks[[#This Row],[_StartWorkday]]+1),0)</f>
        <v>0</v>
      </c>
      <c r="EE175" s="42" t="n">
        <f aca="false">Tasks[[#This Row],[_Res4WorkPerWD]]*MAX(0,Tasks[[#This Row],[_StartWorkday]]-1)</f>
        <v>0</v>
      </c>
      <c r="EF175" s="42" t="n">
        <f aca="false">Tasks[[#This Row],[_Res4Work]]*Tasks[[#This Row],[_LeafProgress]]</f>
        <v>0</v>
      </c>
      <c r="EG175" s="42" t="n">
        <f aca="false">IF(ISNUMBER(Tasks[[#This Row],[% Complete]]),Tasks[[#This Row],[% Complete]],IF(Tasks[[#This Row],[Stage]]="",0,IFERROR(INDEX(stg_Pct,MATCH(Tasks[[#This Row],[Stage]],stg_Name,0)),0)))</f>
        <v>0</v>
      </c>
      <c r="EH175" s="42" t="n">
        <f aca="false">IF(NOT(Tasks[[#This Row],[_IsLeaf]]=1),0,IF(N(Tasks[[#This Row],[Actual Finish]])&gt;0,1,MIN(1,Tasks[[#This Row],[_Pct]])))</f>
        <v>0</v>
      </c>
      <c r="EI175" s="42" t="n">
        <f aca="false">IF(OR(NOT(Tasks[[#This Row],[_IsLeaf]]=1),Tasks[[#This Row],[_Res1Row]]=0),0,N(Tasks[[#This Row],[_Days]])*HoursPerDay*IF(Tasks[[#This Row],[_Units1]]="",DefaultUnits,Tasks[[#This Row],[_Units1]]))</f>
        <v>0</v>
      </c>
      <c r="EJ175" s="42" t="n">
        <f aca="false">Tasks[[#This Row],[_LeafWork]]+Tasks[[#This Row],[_Res2Work]]+Tasks[[#This Row],[_Res3Work]]+Tasks[[#This Row],[_Res4Work]]</f>
        <v>0</v>
      </c>
      <c r="EK17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5" s="42" t="n">
        <f aca="false">IF(NOT(Tasks[[#This Row],[_IsLeaf]]=1),0,MAX(_xlfn.MAXIFS(Tasks[_Row],Tasks[_Pred1UID],Tasks[[#This Row],[UID]]),_xlfn.MAXIFS(Tasks[_Row],Tasks[_Pred2UID],Tasks[[#This Row],[UID]]),_xlfn.MAXIFS(Tasks[_Row],Tasks[_Pred3UID],Tasks[[#This Row],[UID]]),_xlfn.MAXIFS(Tasks[_Row],Tasks[_Pred4UID],Tasks[[#This Row],[UID]])))</f>
        <v>0</v>
      </c>
      <c r="ET17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5" s="89" t="str">
        <f aca="false">IF(NOT(Tasks[[#This Row],[_IsLeaf]]=1),"",IF(N(Tasks[[#This Row],[_Days]])&lt;=0,Tasks[[#This Row],[_LeafLateFinish]],WORKDAY.INTL(Tasks[[#This Row],[_LeafLateFinish]],-(Tasks[[#This Row],[_Days]]-1),WorkWeek,Holidays)))</f>
        <v/>
      </c>
      <c r="EW17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5" s="88" t="b">
        <f aca="false">AND(Tasks[[#This Row],[_IsLeaf]]=1,Tasks[[#This Row],[_LeafProgress]]&lt;1,N(Tasks[[#This Row],[_LeafTotalSlack]])&lt;=CriticalSlackDays)</f>
        <v>0</v>
      </c>
      <c r="EY175" s="42" t="n">
        <f aca="false">IF(AND(Tasks[[#This Row],[_IsLeaf]]=1,Tasks[[#This Row],[_ConstraintCode]]=1,Tasks[[#This Row],[Mode]]&lt;&gt;"Manual",N(Tasks[[#This Row],[Actual Start]])=0),MAX(0,N(Tasks[[#This Row],[Free Slack]])),0)</f>
        <v>0</v>
      </c>
      <c r="EZ175" s="89" t="str">
        <f aca="false">IF(NOT(Tasks[[#This Row],[_IsLeaf]]=1),"",IF(Tasks[[#This Row],[_AlapShift]]=0,Tasks[[#This Row],[_LeafCalcStart]],WORKDAY.INTL(Tasks[[#This Row],[_LeafCalcStart]],Tasks[[#This Row],[_AlapShift]],WorkWeek,Holidays)))</f>
        <v/>
      </c>
      <c r="FA175" s="89" t="str">
        <f aca="false">IF(NOT(Tasks[[#This Row],[_IsLeaf]]=1),"",IF(Tasks[[#This Row],[_AlapShift]]=0,Tasks[[#This Row],[_LeafCalcFinish]],WORKDAY.INTL(Tasks[[#This Row],[_LeafCalcFinish]],Tasks[[#This Row],[_AlapShift]],WorkWeek,Holidays)))</f>
        <v/>
      </c>
      <c r="FB175" s="89" t="str">
        <f aca="false">IF(NOT(Tasks[[#This Row],[_IsLeaf]]=1),"",IF(Tasks[[#This Row],[_AlapShift]]=0,Tasks[[#This Row],[_LeafFcstStart]],WORKDAY.INTL(Tasks[[#This Row],[_LeafFcstStart]],Tasks[[#This Row],[_AlapShift]],WorkWeek,Holidays)))</f>
        <v/>
      </c>
      <c r="FC175" s="89" t="str">
        <f aca="false">IF(NOT(Tasks[[#This Row],[_IsLeaf]]=1),"",IF(Tasks[[#This Row],[_AlapShift]]=0,Tasks[[#This Row],[_LeafFcstFinish]],WORKDAY.INTL(Tasks[[#This Row],[_LeafFcstFinish]],Tasks[[#This Row],[_AlapShift]],WorkWeek,Holidays)))</f>
        <v/>
      </c>
      <c r="FD175" s="89" t="str">
        <f aca="false">IF(Tasks[[#This Row],[Task Name]]="","",IF(Tasks[[#This Row],[_IsSummary]],MIN(INDEX(Tasks[_ShownCalcStart],Tasks[[#This Row],[_Row]]+1):INDEX(Tasks[_ShownCalcStart],Tasks[[#This Row],[_Row]]+Tasks[[#This Row],[_Descendants]])),Tasks[[#This Row],[_ShownCalcStart]]))</f>
        <v/>
      </c>
      <c r="FE175" s="89" t="str">
        <f aca="false">IF(Tasks[[#This Row],[Task Name]]="","",IF(Tasks[[#This Row],[_IsSummary]],MAX(INDEX(Tasks[_ShownCalcFinish],Tasks[[#This Row],[_Row]]+1):INDEX(Tasks[_ShownCalcFinish],Tasks[[#This Row],[_Row]]+Tasks[[#This Row],[_Descendants]])),Tasks[[#This Row],[_ShownCalcFinish]]))</f>
        <v/>
      </c>
      <c r="FF17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5" s="42" t="n">
        <f aca="false">IF(AND(Tasks[[#This Row],[_IsLeaf]]=1,Tasks[[#This Row],[_LeafTotalWork]]&gt;0),NETWORKDAYS.INTL(ProjectStart,Tasks[[#This Row],[_ShownFcstStart]],WorkWeek,Holidays),0)</f>
        <v>0</v>
      </c>
      <c r="FS175" s="42" t="n">
        <f aca="false">IF(AND(Tasks[[#This Row],[_IsLeaf]]=1,Tasks[[#This Row],[_LeafTotalWork]]&gt;0),MAX(Tasks[[#This Row],[_StartWorkday]],NETWORKDAYS.INTL(ProjectStart,Tasks[[#This Row],[_ShownFcstFinish]],WorkWeek,Holidays)),0)</f>
        <v>0</v>
      </c>
      <c r="FT175" s="42" t="n">
        <f aca="false">IF(AND(Tasks[[#This Row],[_IsLeaf]]=1,Tasks[[#This Row],[_LeafTotalWork]]&gt;0),Tasks[[#This Row],[_LeafWork]]/(Tasks[[#This Row],[_FinishWorkday]]-Tasks[[#This Row],[_StartWorkday]]+1),0)</f>
        <v>0</v>
      </c>
      <c r="FU175" s="42" t="n">
        <f aca="false">Tasks[[#This Row],[_WorkPerWorkday]]*(Tasks[[#This Row],[_StartWorkday]]-1)</f>
        <v>-0</v>
      </c>
      <c r="FV175" s="42" t="n">
        <f aca="false">IF(Tasks[[#This Row],[_IsLeaf]]=1,MAX(N(Tasks[[#This Row],[_Days]]),0.1),0)</f>
        <v>0</v>
      </c>
      <c r="FW175" s="42" t="n">
        <f aca="false">Tasks[[#This Row],[_WeightDur]]*Tasks[[#This Row],[_LeafProgress]]</f>
        <v>0</v>
      </c>
      <c r="FX175" s="42" t="n">
        <f aca="false">Tasks[[#This Row],[_WeightDur]]*Tasks[[#This Row],[_PlannedPct]]</f>
        <v>0</v>
      </c>
      <c r="FY17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5" s="42" t="str">
        <f aca="false">IF(AND(Tasks[[#This Row],[_IsLeaf]]=1,N(Tasks[[#This Row],[_Days]])=0,Tasks[[#This Row],[_LeafProgress]]&lt;1),Tasks[[#This Row],[_ShownFcstFinish]]+Tasks[[#This Row],[_Row]]/100000,"")</f>
        <v/>
      </c>
      <c r="GA17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5" s="42" t="str">
        <f aca="false">IF(Tasks[[#This Row],[Task Name]]="","",LEFT(Tasks[[#This Row],[WBS]],FIND(".",Tasks[[#This Row],[WBS]]&amp;".")-1))</f>
        <v/>
      </c>
      <c r="GC175" s="42" t="str">
        <f aca="false">IF(AND(Tasks[[#This Row],[Task Name]]&lt;&gt;"",Tasks[[#This Row],[_Level]]=1),Tasks[[#This Row],[_Row]],"")</f>
        <v/>
      </c>
      <c r="GD175" s="42" t="str">
        <f aca="false">IF(AND(Tasks[[#This Row],[_IsLeaf]]=1,N(Tasks[[#This Row],[_Days]])=0),Tasks[[#This Row],[Planned Finish]]+Tasks[[#This Row],[_Row]]/100000,"")</f>
        <v/>
      </c>
      <c r="GE175" s="42" t="str">
        <f aca="false">IF(AND(Tasks[[#This Row],[_IsLeaf]]=1,Tasks[[#This Row],[_LeafProgress]]&lt;1,OR(N(Tasks[[#This Row],[Finish Var]])&gt;0,Tasks[[#This Row],[Status]]="Late Start")),MAX(0,Tasks[[#This Row],[Finish Var]])+1-Tasks[[#This Row],[_Row]]/1000000,"")</f>
        <v/>
      </c>
      <c r="GF175" s="42" t="str">
        <f aca="false">IF(AND(Tasks[[#This Row],[_IsLeaf]]=1,N(Tasks[[#This Row],[Actual Start]])=0,Tasks[[#This Row],[_ShownFcstStart]]&gt;=StatusDate,Tasks[[#This Row],[_ShownFcstStart]]&lt;=LookaheadEnd),Tasks[[#This Row],[_ShownFcstStart]]+Tasks[[#This Row],[_Row]]/100000,"")</f>
        <v/>
      </c>
      <c r="GG175" s="42" t="str">
        <f aca="false">IF(AND(Tasks[[#This Row],[_IsLeaf]]=1,Tasks[[#This Row],[_LeafProgress]]&lt;1,Tasks[[#This Row],[_ShownFcstFinish]]&gt;=StatusDate,Tasks[[#This Row],[_ShownFcstFinish]]&lt;=LookaheadEnd),Tasks[[#This Row],[_ShownFcstFinish]]+Tasks[[#This Row],[_Row]]/100000,"")</f>
        <v/>
      </c>
      <c r="GH175" s="42" t="str">
        <f aca="false">IF(Tasks[[#This Row],[_LeafCritical]],Tasks[[#This Row],[_ShownFcstStart]]+Tasks[[#This Row],[_Row]]/100000,"")</f>
        <v/>
      </c>
      <c r="GI175" s="42" t="n">
        <f aca="false">Tasks[[#This Row],[_LeafWork]]*Tasks[[#This Row],[_LeafProgress]]</f>
        <v>0</v>
      </c>
      <c r="GJ175" s="89" t="str">
        <f aca="false">IF(AND(Tasks[[#This Row],[_IsLeaf]]=1,Tasks[[#This Row],[_LeafProgress]]&gt;=1),IF(N(Tasks[[#This Row],[Actual Finish]])&gt;0,Tasks[[#This Row],[Actual Finish]],Tasks[[#This Row],[_ShownFcstFinish]]),"")</f>
        <v/>
      </c>
      <c r="GK175" s="42" t="n">
        <f aca="false">IF(Tasks[[#This Row],[_IsLeaf]]=1,N(Tasks[[#This Row],[Story Points]]),0)</f>
        <v>0</v>
      </c>
      <c r="GL175" s="42" t="str">
        <f aca="false">""</f>
        <v/>
      </c>
      <c r="GM175" s="88" t="b">
        <f aca="false">IF(Tasks[[#This Row],[Task Name]]="",FALSE(),AND(Tasks[[#This Row],[_IsLeaf]]=1,N(Tasks[[#This Row],[_Days]])=0))</f>
        <v>0</v>
      </c>
      <c r="GN175" s="89" t="n">
        <f aca="false">IF(Tasks[[#This Row],[Task Name]]="",0,IF(AND(Tasks[[#This Row],[_IsLeaf]]=1,NOT(Tasks[[#This Row],[_IsMilestone]]),N(Tasks[[#This Row],[Progress]])&gt;0),Tasks[[#This Row],[Start]],0))</f>
        <v>0</v>
      </c>
      <c r="GO175" s="89" t="n">
        <f aca="false">IF(Tasks[[#This Row],[_DoneFrom]]=0,0,IF(Tasks[[#This Row],[Progress]]&gt;=1,Tasks[[#This Row],[Finish]],MAX(Tasks[[#This Row],[_DoneFrom]],Tasks[[#This Row],[Start]]+ROUND((Tasks[[#This Row],[Finish]]-Tasks[[#This Row],[Start]]+1)*Tasks[[#This Row],[Progress]],0)-1)))</f>
        <v>0</v>
      </c>
      <c r="GP175" s="89" t="n">
        <f aca="false">IF(Tasks[[#This Row],[Task Name]]="",0,IF(OR(NOT(Tasks[[#This Row],[_IsLeaf]]=1),Tasks[[#This Row],[_IsMilestone]],N(Tasks[[#This Row],[Progress]])&gt;=1),0,IF(Tasks[[#This Row],[_DoneTo]]&gt;0,Tasks[[#This Row],[_DoneTo]]+1,Tasks[[#This Row],[Start]])))</f>
        <v>0</v>
      </c>
      <c r="GQ175" s="89" t="n">
        <f aca="false">IF(Tasks[[#This Row],[_RemFrom]]=0,0,Tasks[[#This Row],[Finish]])</f>
        <v>0</v>
      </c>
      <c r="GR175" s="88" t="b">
        <f aca="false">IF(Tasks[[#This Row],[Task Name]]="",FALSE(),OR(NOT(BaselineSet),N(Tasks[[#This Row],[Baseline Start]])&gt;0))</f>
        <v>0</v>
      </c>
      <c r="GS17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5" s="90" t="str">
        <f aca="false">IF(Tasks[[#This Row],[_IsLeaf]]=1,Tasks[[#This Row],[_Row]],"")</f>
        <v/>
      </c>
      <c r="GW175" s="90" t="str">
        <f aca="false">IFERROR(INDEX(Tasks[UID],SMALL(Tasks[_PickKey],Tasks[[#This Row],[_Row]]))&amp;" "&amp;INDEX(Tasks[Task Name],SMALL(Tasks[_PickKey],Tasks[[#This Row],[_Row]])),"")</f>
        <v/>
      </c>
      <c r="GX175" s="42" t="str">
        <f aca="false">IF(Tasks[[#This Row],[Task Name]]="","",IF(Tasks[[#This Row],[_IsSummary]],NETWORKDAYS.INTL(Tasks[[#This Row],[Start]],Tasks[[#This Row],[Finish]],WorkWeek,Holidays),N(Tasks[[#This Row],[_Days]])))</f>
        <v/>
      </c>
    </row>
    <row r="176" customFormat="false" ht="15" hidden="false" customHeight="false" outlineLevel="0" collapsed="false">
      <c r="A176" s="21" t="str">
        <f aca="false">IF(Tasks[[#This Row],[Task Name]]="","",COUNTA(Tasks[[#Headers],[Task Name]]:Tasks[[#This Row],[Task Name]])-1)</f>
        <v/>
      </c>
      <c r="B176" s="22" t="n">
        <v>184</v>
      </c>
      <c r="C176" s="22"/>
      <c r="D176" s="23"/>
      <c r="E176" s="22"/>
      <c r="F176" s="23"/>
      <c r="G176" s="22"/>
      <c r="H176" s="22"/>
      <c r="I176" s="23"/>
      <c r="J176" s="22"/>
      <c r="K176" s="22"/>
      <c r="L176" s="23"/>
      <c r="M176" s="22"/>
      <c r="N176" s="22"/>
      <c r="O176" s="23"/>
      <c r="P176" s="22"/>
      <c r="Q176" s="22"/>
      <c r="R176" s="23"/>
      <c r="S176" s="23"/>
      <c r="T176" s="83"/>
      <c r="U176" s="23"/>
      <c r="V176" s="83"/>
      <c r="W176" s="23"/>
      <c r="X176" s="83"/>
      <c r="Y176" s="23"/>
      <c r="Z176" s="83"/>
      <c r="AA176" s="23"/>
      <c r="AB176" s="23"/>
      <c r="AC176" s="7"/>
      <c r="AD176" s="7"/>
      <c r="AE176" s="62" t="str">
        <f aca="false">IF(Tasks[[#This Row],[Task Name]]="","",IF(Tasks[[#This Row],[_IsSummary]],MIN(INDEX(Tasks[_ShownFcstStart],Tasks[[#This Row],[_Row]]+1):INDEX(Tasks[_ShownFcstStart],Tasks[[#This Row],[_Row]]+Tasks[[#This Row],[_Descendants]])),Tasks[[#This Row],[_ShownFcstStart]]))</f>
        <v/>
      </c>
      <c r="AF176" s="62" t="str">
        <f aca="false">IF(Tasks[[#This Row],[Task Name]]="","",IF(Tasks[[#This Row],[_IsSummary]],MAX(INDEX(Tasks[_ShownFcstFinish],Tasks[[#This Row],[_Row]]+1):INDEX(Tasks[_ShownFcstFinish],Tasks[[#This Row],[_Row]]+Tasks[[#This Row],[_Descendants]])),Tasks[[#This Row],[_ShownFcstFinish]]))</f>
        <v/>
      </c>
      <c r="AG176" s="21" t="str">
        <f aca="false">""</f>
        <v/>
      </c>
      <c r="AH176" s="23"/>
      <c r="AI17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6" s="7"/>
      <c r="AK176" s="22"/>
      <c r="AL176" s="23"/>
      <c r="AM176" s="7"/>
      <c r="AN176" s="46" t="str">
        <f aca="false">IF(Tasks[[#This Row],[Task Name]]="","",IF(Tasks[[#This Row],[Finish]]&gt;=Tasks[[#This Row],[Planned Finish]],NETWORKDAYS.INTL(Tasks[[#This Row],[Planned Finish]],Tasks[[#This Row],[Finish]],WorkWeek,Holidays)-1,1-NETWORKDAYS.INTL(Tasks[[#This Row],[Finish]],Tasks[[#This Row],[Planned Finish]],WorkWeek,Holidays)))</f>
        <v/>
      </c>
      <c r="AO176" s="21" t="str">
        <f aca="false">IF(Tasks[[#This Row],[Task Name]]="","",IF(Tasks[[#This Row],[Progress]]&gt;=1,"Complete",IF(OR(N(Tasks[[#This Row],[Actual Start]])&gt;0,Tasks[[#This Row],[Progress]]&gt;0),IF(Tasks[[#This Row],[Finish Var]]&gt;0,"Behind","In Progress"),IF(Tasks[[#This Row],[Planned Start]]&lt;StatusDate,"Late Start","Not Started"))))</f>
        <v/>
      </c>
      <c r="AP176" s="21" t="str">
        <f aca="false">IF(Tasks[[#This Row],[Task Name]]="","",IF(IF(Tasks[[#This Row],[_IsSummary]],COUNTIF(INDEX(Tasks[_LeafCritical],Tasks[[#This Row],[_Row]]+1):INDEX(Tasks[_LeafCritical],Tasks[[#This Row],[_Row]]+Tasks[[#This Row],[_Descendants]]),TRUE())&gt;0,Tasks[[#This Row],[_LeafCritical]]),"Yes",""))</f>
        <v/>
      </c>
      <c r="AQ176" s="62" t="str">
        <f aca="false">IF(Tasks[[#This Row],[Task Name]]="","",IF(N(Tasks[[#This Row],[Baseline Start]])&gt;0,Tasks[[#This Row],[Baseline Start]],Tasks[[#This Row],[_CalcStart]]))</f>
        <v/>
      </c>
      <c r="AR176" s="62" t="str">
        <f aca="false">IF(Tasks[[#This Row],[Task Name]]="","",IF(N(Tasks[[#This Row],[Baseline Finish]])&gt;0,Tasks[[#This Row],[Baseline Finish]],Tasks[[#This Row],[_CalcFinish]]))</f>
        <v/>
      </c>
      <c r="AS176" s="46" t="str">
        <f aca="false">IF(Tasks[[#This Row],[Task Name]]="","",IF(Tasks[[#This Row],[Start]]&gt;=Tasks[[#This Row],[Planned Start]],NETWORKDAYS.INTL(Tasks[[#This Row],[Planned Start]],Tasks[[#This Row],[Start]],WorkWeek,Holidays)-1,1-NETWORKDAYS.INTL(Tasks[[#This Row],[Start]],Tasks[[#This Row],[Planned Start]],WorkWeek,Holidays)))</f>
        <v/>
      </c>
      <c r="AT176" s="62" t="str">
        <f aca="false">IF(Tasks[[#This Row],[Task Name]]="","",IF(Tasks[[#This Row],[_IsSummary]],MIN(INDEX(Tasks[_LeafLateStart],Tasks[[#This Row],[_Row]]+1):INDEX(Tasks[_LeafLateStart],Tasks[[#This Row],[_Row]]+Tasks[[#This Row],[_Descendants]])),Tasks[[#This Row],[_LeafLateStart]]))</f>
        <v/>
      </c>
      <c r="AU176" s="62" t="str">
        <f aca="false">IF(Tasks[[#This Row],[Task Name]]="","",IF(Tasks[[#This Row],[_IsSummary]],MAX(INDEX(Tasks[_LeafLateFinish],Tasks[[#This Row],[_Row]]+1):INDEX(Tasks[_LeafLateFinish],Tasks[[#This Row],[_Row]]+Tasks[[#This Row],[_Descendants]])),Tasks[[#This Row],[_LeafLateFinish]]))</f>
        <v/>
      </c>
      <c r="AV176" s="46" t="str">
        <f aca="false">IF(Tasks[[#This Row],[Task Name]]="","",IF(Tasks[[#This Row],[_IsSummary]],MIN(INDEX(Tasks[_LeafTotalSlack],Tasks[[#This Row],[_Row]]+1):INDEX(Tasks[_LeafTotalSlack],Tasks[[#This Row],[_Row]]+Tasks[[#This Row],[_Descendants]])),Tasks[[#This Row],[_LeafTotalSlack]]))</f>
        <v/>
      </c>
      <c r="AW17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4"/>
      <c r="BA17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t="str">
        <f aca="false">IF(Tasks[[#This Row],[Task Name]]="","",IF(Tasks[[#This Row],[_Level]]&lt;=OutlineShowLevel,"Yes","No"))</f>
        <v/>
      </c>
      <c r="BE176" s="85" t="str">
        <f aca="false">IF(Tasks[[#This Row],[Task Name]]="","",IF(Tasks[[#This Row],[_IsSummary]],SUM(INDEX(Tasks[_LeafTotalWork],Tasks[[#This Row],[_Row]]+1):INDEX(Tasks[_LeafTotalWork],Tasks[[#This Row],[_Row]]+Tasks[[#This Row],[_Descendants]])),Tasks[[#This Row],[_LeafTotalWork]]))</f>
        <v/>
      </c>
      <c r="BF176" s="23"/>
      <c r="BG17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t="str">
        <f aca="false">""</f>
        <v/>
      </c>
      <c r="BI176" s="86"/>
      <c r="BJ176" s="22"/>
      <c r="BK176" s="46" t="str">
        <f aca="false">IF(OR(Tasks[[#This Row],[Task Name]]="",Tasks[[#This Row],[Baseline Duration]]=""),"",Tasks[[#This Row],[_SpanDays]]-N(Tasks[[#This Row],[Baseline Duration]]))</f>
        <v/>
      </c>
      <c r="BL176" s="85" t="str">
        <f aca="false">IF(OR(Tasks[[#This Row],[Task Name]]="",Tasks[[#This Row],[Baseline Work]]=""),"",Tasks[[#This Row],[Work]]-N(Tasks[[#This Row],[Baseline Work]]))</f>
        <v/>
      </c>
      <c r="BM176" s="62" t="str">
        <f aca="false">IF(Tasks[[#This Row],[Task Name]]="","",IF(OR(TakeBaseline="Yes",N(Tasks[[#This Row],[Baseline Start]])=0),Tasks[[#This Row],[Start]],Tasks[[#This Row],[Baseline Start]]))</f>
        <v/>
      </c>
      <c r="BN176" s="62" t="str">
        <f aca="false">IF(Tasks[[#This Row],[Task Name]]="","",IF(OR(TakeBaseline="Yes",N(Tasks[[#This Row],[Baseline Finish]])=0),Tasks[[#This Row],[Finish]],Tasks[[#This Row],[Baseline Finish]]))</f>
        <v/>
      </c>
      <c r="BO176" s="21" t="str">
        <f aca="false">IF(Tasks[[#This Row],[Task Name]]="","",IF(OR(TakeBaseline="Yes",N(Tasks[[#This Row],[Baseline Duration]])=0),Tasks[[#This Row],[_SpanDays]],Tasks[[#This Row],[Baseline Duration]]))</f>
        <v/>
      </c>
      <c r="BP176" s="85" t="str">
        <f aca="false">IF(Tasks[[#This Row],[Task Name]]="","",IF(OR(TakeBaseline="Yes",N(Tasks[[#This Row],[Baseline Work]])=0),Tasks[[#This Row],[Work]],Tasks[[#This Row],[Baseline Work]]))</f>
        <v/>
      </c>
      <c r="BQ176" s="7"/>
      <c r="BR176" s="7"/>
      <c r="BS176" s="22"/>
      <c r="BT176" s="87"/>
      <c r="BU176" s="42" t="str">
        <f aca="false">IF(Tasks[[#This Row],[Task Name]]="","",MAX(1,N(Tasks[[#This Row],[Level]])))</f>
        <v/>
      </c>
      <c r="BV176" s="42" t="n">
        <f aca="false">ROW()-ROW(Tasks[[#Headers],[ID]])</f>
        <v>171</v>
      </c>
      <c r="BW176" s="42" t="n">
        <f aca="false">IF(OR(Tasks[[#This Row],[Task Name]]="",Tasks[[#This Row],[_Level]]&lt;=1),0,IFERROR(LOOKUP(2,1/(Tasks[[#Headers],[_Level]]:Tasks[[#This Row],[_Level]]=Tasks[[#This Row],[_Level]]-1),ROW(Tasks[[#Headers],[_Level]]:Tasks[[#This Row],[_Level]])),0))</f>
        <v>0</v>
      </c>
      <c r="BX176" s="42" t="n">
        <f aca="false">IFERROR(N(INDEX(Tasks[_Level],Tasks[[#This Row],[_Row]]+1)),0)</f>
        <v>0</v>
      </c>
      <c r="BY176" s="88" t="b">
        <f aca="false">AND(Tasks[[#This Row],[Task Name]]&lt;&gt;"",Tasks[[#This Row],[_NextLevel]]&gt;Tasks[[#This Row],[_Level]])</f>
        <v>0</v>
      </c>
      <c r="BZ176" s="42" t="n">
        <f aca="false">IF(Tasks[[#This Row],[_IsSummary]],COUNTIF(Tasks[WBS],Tasks[[#This Row],[WBS]]&amp;".*"),0)</f>
        <v>0</v>
      </c>
      <c r="CA176" s="42" t="n">
        <f aca="false">IF(AND(Tasks[[#This Row],[Task Name]]&lt;&gt;"",NOT(Tasks[[#This Row],[_IsSummary]])),1,0)</f>
        <v>0</v>
      </c>
      <c r="CB176" s="42" t="n">
        <f aca="false">IF(N(Tasks[[#This Row],[_Pred1UID]])=0,0,IFERROR(MATCH(Tasks[[#This Row],[_Pred1UID]],Tasks[UID],0),-1))</f>
        <v>0</v>
      </c>
      <c r="CC176" s="42" t="n">
        <f aca="false">IF(N(Tasks[[#This Row],[_Pred2UID]])=0,0,IFERROR(MATCH(Tasks[[#This Row],[_Pred2UID]],Tasks[UID],0),-1))</f>
        <v>0</v>
      </c>
      <c r="CD176" s="42" t="n">
        <f aca="false">IF(N(Tasks[[#This Row],[_Pred3UID]])=0,0,IFERROR(MATCH(Tasks[[#This Row],[_Pred3UID]],Tasks[UID],0),-1))</f>
        <v>0</v>
      </c>
      <c r="CE176" s="42" t="n">
        <f aca="false">IF(N(Tasks[[#This Row],[_Pred4UID]])=0,0,IFERROR(MATCH(Tasks[[#This Row],[_Pred4UID]],Tasks[UID],0),-1))</f>
        <v>0</v>
      </c>
      <c r="CF17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6" s="89" t="n">
        <f aca="false">IF(OR(Tasks[[#This Row],[_ConstraintCode]]=2,Tasks[[#This Row],[_ConstraintCode]]=3,Tasks[[#This Row],[_ConstraintCode]]=4,Tasks[[#This Row],[_ConstraintCode]]=6),Tasks[[#This Row],[_ConstraintStart]],0)</f>
        <v>0</v>
      </c>
      <c r="CI176" s="89" t="n">
        <f aca="false">IF(OR(Tasks[[#This Row],[_ConstraintCode]]=2,Tasks[[#This Row],[_ConstraintCode]]=3,Tasks[[#This Row],[_ConstraintCode]]=5,Tasks[[#This Row],[_ConstraintCode]]=7),Tasks[[#This Row],[_ConstraintStart]],2958465)</f>
        <v>2958465</v>
      </c>
      <c r="CJ17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6" s="89" t="str">
        <f aca="false">IF(NOT(Tasks[[#This Row],[_IsLeaf]]=1),"",IF(N(Tasks[[#This Row],[_Days]])&lt;=0,Tasks[[#This Row],[_LeafCalcStart]],WORKDAY.INTL(Tasks[[#This Row],[_LeafCalcStart]],Tasks[[#This Row],[_Days]]-1,WorkWeek,Holidays)))</f>
        <v/>
      </c>
      <c r="CL17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6" s="42" t="str">
        <f aca="false">IF(Tasks[[#This Row],[_Predecessors]]="","",TRIM(MID(SUBSTITUTE(SUBSTITUTE(SUBSTITUTE(UPPER(Tasks[[#This Row],[_Predecessors]]),";",",")," ",""),",",REPT(" ",99)),1,99)))</f>
        <v/>
      </c>
      <c r="CO176" s="42" t="str">
        <f aca="false">IF(Tasks[[#This Row],[_Pred1Text]]="","",IFERROR(VALUE(LEFT(Tasks[[#This Row],[_Pred1Text]],MIN(FIND("F",Tasks[[#This Row],[_Pred1Text]]&amp;"F"),FIND("S",Tasks[[#This Row],[_Pred1Text]]&amp;"S"),FIND("+",Tasks[[#This Row],[_Pred1Text]]&amp;"+"),FIND("-",Tasks[[#This Row],[_Pred1Text]]&amp;"-"))-1)),""))</f>
        <v/>
      </c>
      <c r="CP17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6" s="42" t="str">
        <f aca="false">IF(Tasks[[#This Row],[_Pred1Text]]="","",TRIM(MID(SUBSTITUTE(SUBSTITUTE(SUBSTITUTE(UPPER(Tasks[[#This Row],[_Predecessors]]),";",",")," ",""),",",REPT(" ",99)),100,99)))</f>
        <v/>
      </c>
      <c r="CS176" s="42" t="str">
        <f aca="false">IF(Tasks[[#This Row],[_Pred2Text]]="","",IFERROR(VALUE(LEFT(Tasks[[#This Row],[_Pred2Text]],MIN(FIND("F",Tasks[[#This Row],[_Pred2Text]]&amp;"F"),FIND("S",Tasks[[#This Row],[_Pred2Text]]&amp;"S"),FIND("+",Tasks[[#This Row],[_Pred2Text]]&amp;"+"),FIND("-",Tasks[[#This Row],[_Pred2Text]]&amp;"-"))-1)),""))</f>
        <v/>
      </c>
      <c r="CT17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6" s="42" t="str">
        <f aca="false">IF(Tasks[[#This Row],[_Pred2Text]]="","",TRIM(MID(SUBSTITUTE(SUBSTITUTE(SUBSTITUTE(UPPER(Tasks[[#This Row],[_Predecessors]]),";",",")," ",""),",",REPT(" ",99)),199,99)))</f>
        <v/>
      </c>
      <c r="CW176" s="42" t="str">
        <f aca="false">IF(Tasks[[#This Row],[_Pred3Text]]="","",IFERROR(VALUE(LEFT(Tasks[[#This Row],[_Pred3Text]],MIN(FIND("F",Tasks[[#This Row],[_Pred3Text]]&amp;"F"),FIND("S",Tasks[[#This Row],[_Pred3Text]]&amp;"S"),FIND("+",Tasks[[#This Row],[_Pred3Text]]&amp;"+"),FIND("-",Tasks[[#This Row],[_Pred3Text]]&amp;"-"))-1)),""))</f>
        <v/>
      </c>
      <c r="CX17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6" s="42" t="str">
        <f aca="false">IF(Tasks[[#This Row],[_Pred3Text]]="","",TRIM(MID(SUBSTITUTE(SUBSTITUTE(SUBSTITUTE(UPPER(Tasks[[#This Row],[_Predecessors]]),";",",")," ",""),",",REPT(" ",99)),298,99)))</f>
        <v/>
      </c>
      <c r="DA176" s="42" t="str">
        <f aca="false">IF(Tasks[[#This Row],[_Pred4Text]]="","",IFERROR(VALUE(LEFT(Tasks[[#This Row],[_Pred4Text]],MIN(FIND("F",Tasks[[#This Row],[_Pred4Text]]&amp;"F"),FIND("S",Tasks[[#This Row],[_Pred4Text]]&amp;"S"),FIND("+",Tasks[[#This Row],[_Pred4Text]]&amp;"+"),FIND("-",Tasks[[#This Row],[_Pred4Text]]&amp;"-"))-1)),""))</f>
        <v/>
      </c>
      <c r="DB17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6" s="42" t="str">
        <f aca="false">IF(OR(Tasks[[#This Row],[Task Name]]="",Tasks[[#This Row],[_Resources]]=""),"",TRIM(MID(SUBSTITUTE(Tasks[[#This Row],[_Resources]],",",REPT(" ",99)),1,99)))</f>
        <v/>
      </c>
      <c r="DE176" s="42" t="str">
        <f aca="false">IF(Tasks[[#This Row],[_Res1Text]]="","",TRIM(MID(SUBSTITUTE(Tasks[[#This Row],[_Resources]],",",REPT(" ",99)),100,99)))</f>
        <v/>
      </c>
      <c r="DF176" s="42" t="str">
        <f aca="false">IF(Tasks[[#This Row],[_Res2Text]]="","",TRIM(MID(SUBSTITUTE(Tasks[[#This Row],[_Resources]],",",REPT(" ",99)),199,99)))</f>
        <v/>
      </c>
      <c r="DG176" s="42" t="str">
        <f aca="false">IF(Tasks[[#This Row],[_Res3Text]]="","",TRIM(MID(SUBSTITUTE(Tasks[[#This Row],[_Resources]],",",REPT(" ",99)),298,99)))</f>
        <v/>
      </c>
      <c r="DH176" s="42" t="n">
        <f aca="false">IF(Tasks[[#This Row],[_Res1Text]]="",0,IFERROR(MATCH(TRIM(LEFT(Tasks[[#This Row],[_Res1Text]],FIND("[",Tasks[[#This Row],[_Res1Text]]&amp;"[")-1)),res_Name,0),IFERROR(MATCH(TRIM(LEFT(Tasks[[#This Row],[_Res1Text]],FIND("[",Tasks[[#This Row],[_Res1Text]]&amp;"[")-1)),res_Initials,0),0)))</f>
        <v>0</v>
      </c>
      <c r="DI176" s="42" t="n">
        <f aca="false">IF(Tasks[[#This Row],[_Res2Text]]="",0,IFERROR(MATCH(TRIM(LEFT(Tasks[[#This Row],[_Res2Text]],FIND("[",Tasks[[#This Row],[_Res2Text]]&amp;"[")-1)),res_Name,0),IFERROR(MATCH(TRIM(LEFT(Tasks[[#This Row],[_Res2Text]],FIND("[",Tasks[[#This Row],[_Res2Text]]&amp;"[")-1)),res_Initials,0),0)))</f>
        <v>0</v>
      </c>
      <c r="DJ176" s="42" t="n">
        <f aca="false">IF(Tasks[[#This Row],[_Res3Text]]="",0,IFERROR(MATCH(TRIM(LEFT(Tasks[[#This Row],[_Res3Text]],FIND("[",Tasks[[#This Row],[_Res3Text]]&amp;"[")-1)),res_Name,0),IFERROR(MATCH(TRIM(LEFT(Tasks[[#This Row],[_Res3Text]],FIND("[",Tasks[[#This Row],[_Res3Text]]&amp;"[")-1)),res_Initials,0),0)))</f>
        <v>0</v>
      </c>
      <c r="DK176" s="42" t="n">
        <f aca="false">IF(Tasks[[#This Row],[_Res4Text]]="",0,IFERROR(MATCH(TRIM(LEFT(Tasks[[#This Row],[_Res4Text]],FIND("[",Tasks[[#This Row],[_Res4Text]]&amp;"[")-1)),res_Name,0),IFERROR(MATCH(TRIM(LEFT(Tasks[[#This Row],[_Res4Text]],FIND("[",Tasks[[#This Row],[_Res4Text]]&amp;"[")-1)),res_Initials,0),0)))</f>
        <v>0</v>
      </c>
      <c r="DL176" s="42" t="str">
        <f aca="false">IF(Tasks[[#This Row],[_Res1Text]]="","",IF(Tasks[[#This Row],[_Res1Row]]&gt;0,INDEX(res_Name,Tasks[[#This Row],[_Res1Row]]),TRIM(LEFT(Tasks[[#This Row],[_Res1Text]],FIND("[",Tasks[[#This Row],[_Res1Text]]&amp;"[")-1))))</f>
        <v/>
      </c>
      <c r="DM17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6" s="42" t="n">
        <f aca="false">IF(NOT(Tasks[[#This Row],[_IsLeaf]]=1),0,(Tasks[[#This Row],[_Resource1]]&lt;&gt;"")+(Tasks[[#This Row],[_Res2]]&lt;&gt;"")+(Tasks[[#This Row],[_Res3]]&lt;&gt;"")+(Tasks[[#This Row],[_Res4]]&lt;&gt;""))</f>
        <v>0</v>
      </c>
      <c r="DO176" s="42" t="str">
        <f aca="false">IF(Tasks[[#This Row],[_Res2Text]]="","",IF(Tasks[[#This Row],[_Res2Row]]&gt;0,INDEX(res_Name,Tasks[[#This Row],[_Res2Row]]),TRIM(LEFT(Tasks[[#This Row],[_Res2Text]],FIND("[",Tasks[[#This Row],[_Res2Text]]&amp;"[")-1))))</f>
        <v/>
      </c>
      <c r="DP17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6" s="42" t="n">
        <f aca="false">IF(OR(NOT(Tasks[[#This Row],[_IsLeaf]]=1),Tasks[[#This Row],[_Res2Row]]=0),0,N(Tasks[[#This Row],[_Days]])*HoursPerDay*IF(Tasks[[#This Row],[_Res2Units]]="",DefaultUnits,Tasks[[#This Row],[_Res2Units]]))</f>
        <v>0</v>
      </c>
      <c r="DR176" s="42" t="n">
        <f aca="false">IF(AND(AND(Tasks[[#This Row],[_IsLeaf]]=1,Tasks[[#This Row],[_LeafTotalWork]]&gt;0),Tasks[[#This Row],[_Res2Work]]&gt;0),Tasks[[#This Row],[_Res2Work]]/(Tasks[[#This Row],[_FinishWorkday]]-Tasks[[#This Row],[_StartWorkday]]+1),0)</f>
        <v>0</v>
      </c>
      <c r="DS176" s="42" t="n">
        <f aca="false">Tasks[[#This Row],[_Res2WorkPerWD]]*MAX(0,Tasks[[#This Row],[_StartWorkday]]-1)</f>
        <v>0</v>
      </c>
      <c r="DT176" s="42" t="n">
        <f aca="false">Tasks[[#This Row],[_Res2Work]]*Tasks[[#This Row],[_LeafProgress]]</f>
        <v>0</v>
      </c>
      <c r="DU176" s="42" t="str">
        <f aca="false">IF(Tasks[[#This Row],[_Res3Text]]="","",IF(Tasks[[#This Row],[_Res3Row]]&gt;0,INDEX(res_Name,Tasks[[#This Row],[_Res3Row]]),TRIM(LEFT(Tasks[[#This Row],[_Res3Text]],FIND("[",Tasks[[#This Row],[_Res3Text]]&amp;"[")-1))))</f>
        <v/>
      </c>
      <c r="DV17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6" s="42" t="n">
        <f aca="false">IF(OR(NOT(Tasks[[#This Row],[_IsLeaf]]=1),Tasks[[#This Row],[_Res3Row]]=0),0,N(Tasks[[#This Row],[_Days]])*HoursPerDay*IF(Tasks[[#This Row],[_Res3Units]]="",DefaultUnits,Tasks[[#This Row],[_Res3Units]]))</f>
        <v>0</v>
      </c>
      <c r="DX176" s="42" t="n">
        <f aca="false">IF(AND(AND(Tasks[[#This Row],[_IsLeaf]]=1,Tasks[[#This Row],[_LeafTotalWork]]&gt;0),Tasks[[#This Row],[_Res3Work]]&gt;0),Tasks[[#This Row],[_Res3Work]]/(Tasks[[#This Row],[_FinishWorkday]]-Tasks[[#This Row],[_StartWorkday]]+1),0)</f>
        <v>0</v>
      </c>
      <c r="DY176" s="42" t="n">
        <f aca="false">Tasks[[#This Row],[_Res3WorkPerWD]]*MAX(0,Tasks[[#This Row],[_StartWorkday]]-1)</f>
        <v>0</v>
      </c>
      <c r="DZ176" s="42" t="n">
        <f aca="false">Tasks[[#This Row],[_Res3Work]]*Tasks[[#This Row],[_LeafProgress]]</f>
        <v>0</v>
      </c>
      <c r="EA176" s="42" t="str">
        <f aca="false">IF(Tasks[[#This Row],[_Res4Text]]="","",IF(Tasks[[#This Row],[_Res4Row]]&gt;0,INDEX(res_Name,Tasks[[#This Row],[_Res4Row]]),TRIM(LEFT(Tasks[[#This Row],[_Res4Text]],FIND("[",Tasks[[#This Row],[_Res4Text]]&amp;"[")-1))))</f>
        <v/>
      </c>
      <c r="EB17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6" s="42" t="n">
        <f aca="false">IF(OR(NOT(Tasks[[#This Row],[_IsLeaf]]=1),Tasks[[#This Row],[_Res4Row]]=0),0,N(Tasks[[#This Row],[_Days]])*HoursPerDay*IF(Tasks[[#This Row],[_Res4Units]]="",DefaultUnits,Tasks[[#This Row],[_Res4Units]]))</f>
        <v>0</v>
      </c>
      <c r="ED176" s="42" t="n">
        <f aca="false">IF(AND(AND(Tasks[[#This Row],[_IsLeaf]]=1,Tasks[[#This Row],[_LeafTotalWork]]&gt;0),Tasks[[#This Row],[_Res4Work]]&gt;0),Tasks[[#This Row],[_Res4Work]]/(Tasks[[#This Row],[_FinishWorkday]]-Tasks[[#This Row],[_StartWorkday]]+1),0)</f>
        <v>0</v>
      </c>
      <c r="EE176" s="42" t="n">
        <f aca="false">Tasks[[#This Row],[_Res4WorkPerWD]]*MAX(0,Tasks[[#This Row],[_StartWorkday]]-1)</f>
        <v>0</v>
      </c>
      <c r="EF176" s="42" t="n">
        <f aca="false">Tasks[[#This Row],[_Res4Work]]*Tasks[[#This Row],[_LeafProgress]]</f>
        <v>0</v>
      </c>
      <c r="EG176" s="42" t="n">
        <f aca="false">IF(ISNUMBER(Tasks[[#This Row],[% Complete]]),Tasks[[#This Row],[% Complete]],IF(Tasks[[#This Row],[Stage]]="",0,IFERROR(INDEX(stg_Pct,MATCH(Tasks[[#This Row],[Stage]],stg_Name,0)),0)))</f>
        <v>0</v>
      </c>
      <c r="EH176" s="42" t="n">
        <f aca="false">IF(NOT(Tasks[[#This Row],[_IsLeaf]]=1),0,IF(N(Tasks[[#This Row],[Actual Finish]])&gt;0,1,MIN(1,Tasks[[#This Row],[_Pct]])))</f>
        <v>0</v>
      </c>
      <c r="EI176" s="42" t="n">
        <f aca="false">IF(OR(NOT(Tasks[[#This Row],[_IsLeaf]]=1),Tasks[[#This Row],[_Res1Row]]=0),0,N(Tasks[[#This Row],[_Days]])*HoursPerDay*IF(Tasks[[#This Row],[_Units1]]="",DefaultUnits,Tasks[[#This Row],[_Units1]]))</f>
        <v>0</v>
      </c>
      <c r="EJ176" s="42" t="n">
        <f aca="false">Tasks[[#This Row],[_LeafWork]]+Tasks[[#This Row],[_Res2Work]]+Tasks[[#This Row],[_Res3Work]]+Tasks[[#This Row],[_Res4Work]]</f>
        <v>0</v>
      </c>
      <c r="EK17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6" s="42" t="n">
        <f aca="false">IF(NOT(Tasks[[#This Row],[_IsLeaf]]=1),0,MAX(_xlfn.MAXIFS(Tasks[_Row],Tasks[_Pred1UID],Tasks[[#This Row],[UID]]),_xlfn.MAXIFS(Tasks[_Row],Tasks[_Pred2UID],Tasks[[#This Row],[UID]]),_xlfn.MAXIFS(Tasks[_Row],Tasks[_Pred3UID],Tasks[[#This Row],[UID]]),_xlfn.MAXIFS(Tasks[_Row],Tasks[_Pred4UID],Tasks[[#This Row],[UID]])))</f>
        <v>0</v>
      </c>
      <c r="ET17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6" s="89" t="str">
        <f aca="false">IF(NOT(Tasks[[#This Row],[_IsLeaf]]=1),"",IF(N(Tasks[[#This Row],[_Days]])&lt;=0,Tasks[[#This Row],[_LeafLateFinish]],WORKDAY.INTL(Tasks[[#This Row],[_LeafLateFinish]],-(Tasks[[#This Row],[_Days]]-1),WorkWeek,Holidays)))</f>
        <v/>
      </c>
      <c r="EW17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6" s="88" t="b">
        <f aca="false">AND(Tasks[[#This Row],[_IsLeaf]]=1,Tasks[[#This Row],[_LeafProgress]]&lt;1,N(Tasks[[#This Row],[_LeafTotalSlack]])&lt;=CriticalSlackDays)</f>
        <v>0</v>
      </c>
      <c r="EY176" s="42" t="n">
        <f aca="false">IF(AND(Tasks[[#This Row],[_IsLeaf]]=1,Tasks[[#This Row],[_ConstraintCode]]=1,Tasks[[#This Row],[Mode]]&lt;&gt;"Manual",N(Tasks[[#This Row],[Actual Start]])=0),MAX(0,N(Tasks[[#This Row],[Free Slack]])),0)</f>
        <v>0</v>
      </c>
      <c r="EZ176" s="89" t="str">
        <f aca="false">IF(NOT(Tasks[[#This Row],[_IsLeaf]]=1),"",IF(Tasks[[#This Row],[_AlapShift]]=0,Tasks[[#This Row],[_LeafCalcStart]],WORKDAY.INTL(Tasks[[#This Row],[_LeafCalcStart]],Tasks[[#This Row],[_AlapShift]],WorkWeek,Holidays)))</f>
        <v/>
      </c>
      <c r="FA176" s="89" t="str">
        <f aca="false">IF(NOT(Tasks[[#This Row],[_IsLeaf]]=1),"",IF(Tasks[[#This Row],[_AlapShift]]=0,Tasks[[#This Row],[_LeafCalcFinish]],WORKDAY.INTL(Tasks[[#This Row],[_LeafCalcFinish]],Tasks[[#This Row],[_AlapShift]],WorkWeek,Holidays)))</f>
        <v/>
      </c>
      <c r="FB176" s="89" t="str">
        <f aca="false">IF(NOT(Tasks[[#This Row],[_IsLeaf]]=1),"",IF(Tasks[[#This Row],[_AlapShift]]=0,Tasks[[#This Row],[_LeafFcstStart]],WORKDAY.INTL(Tasks[[#This Row],[_LeafFcstStart]],Tasks[[#This Row],[_AlapShift]],WorkWeek,Holidays)))</f>
        <v/>
      </c>
      <c r="FC176" s="89" t="str">
        <f aca="false">IF(NOT(Tasks[[#This Row],[_IsLeaf]]=1),"",IF(Tasks[[#This Row],[_AlapShift]]=0,Tasks[[#This Row],[_LeafFcstFinish]],WORKDAY.INTL(Tasks[[#This Row],[_LeafFcstFinish]],Tasks[[#This Row],[_AlapShift]],WorkWeek,Holidays)))</f>
        <v/>
      </c>
      <c r="FD176" s="89" t="str">
        <f aca="false">IF(Tasks[[#This Row],[Task Name]]="","",IF(Tasks[[#This Row],[_IsSummary]],MIN(INDEX(Tasks[_ShownCalcStart],Tasks[[#This Row],[_Row]]+1):INDEX(Tasks[_ShownCalcStart],Tasks[[#This Row],[_Row]]+Tasks[[#This Row],[_Descendants]])),Tasks[[#This Row],[_ShownCalcStart]]))</f>
        <v/>
      </c>
      <c r="FE176" s="89" t="str">
        <f aca="false">IF(Tasks[[#This Row],[Task Name]]="","",IF(Tasks[[#This Row],[_IsSummary]],MAX(INDEX(Tasks[_ShownCalcFinish],Tasks[[#This Row],[_Row]]+1):INDEX(Tasks[_ShownCalcFinish],Tasks[[#This Row],[_Row]]+Tasks[[#This Row],[_Descendants]])),Tasks[[#This Row],[_ShownCalcFinish]]))</f>
        <v/>
      </c>
      <c r="FF17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6" s="42" t="n">
        <f aca="false">IF(AND(Tasks[[#This Row],[_IsLeaf]]=1,Tasks[[#This Row],[_LeafTotalWork]]&gt;0),NETWORKDAYS.INTL(ProjectStart,Tasks[[#This Row],[_ShownFcstStart]],WorkWeek,Holidays),0)</f>
        <v>0</v>
      </c>
      <c r="FS176" s="42" t="n">
        <f aca="false">IF(AND(Tasks[[#This Row],[_IsLeaf]]=1,Tasks[[#This Row],[_LeafTotalWork]]&gt;0),MAX(Tasks[[#This Row],[_StartWorkday]],NETWORKDAYS.INTL(ProjectStart,Tasks[[#This Row],[_ShownFcstFinish]],WorkWeek,Holidays)),0)</f>
        <v>0</v>
      </c>
      <c r="FT176" s="42" t="n">
        <f aca="false">IF(AND(Tasks[[#This Row],[_IsLeaf]]=1,Tasks[[#This Row],[_LeafTotalWork]]&gt;0),Tasks[[#This Row],[_LeafWork]]/(Tasks[[#This Row],[_FinishWorkday]]-Tasks[[#This Row],[_StartWorkday]]+1),0)</f>
        <v>0</v>
      </c>
      <c r="FU176" s="42" t="n">
        <f aca="false">Tasks[[#This Row],[_WorkPerWorkday]]*(Tasks[[#This Row],[_StartWorkday]]-1)</f>
        <v>-0</v>
      </c>
      <c r="FV176" s="42" t="n">
        <f aca="false">IF(Tasks[[#This Row],[_IsLeaf]]=1,MAX(N(Tasks[[#This Row],[_Days]]),0.1),0)</f>
        <v>0</v>
      </c>
      <c r="FW176" s="42" t="n">
        <f aca="false">Tasks[[#This Row],[_WeightDur]]*Tasks[[#This Row],[_LeafProgress]]</f>
        <v>0</v>
      </c>
      <c r="FX176" s="42" t="n">
        <f aca="false">Tasks[[#This Row],[_WeightDur]]*Tasks[[#This Row],[_PlannedPct]]</f>
        <v>0</v>
      </c>
      <c r="FY17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6" s="42" t="str">
        <f aca="false">IF(AND(Tasks[[#This Row],[_IsLeaf]]=1,N(Tasks[[#This Row],[_Days]])=0,Tasks[[#This Row],[_LeafProgress]]&lt;1),Tasks[[#This Row],[_ShownFcstFinish]]+Tasks[[#This Row],[_Row]]/100000,"")</f>
        <v/>
      </c>
      <c r="GA17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6" s="42" t="str">
        <f aca="false">IF(Tasks[[#This Row],[Task Name]]="","",LEFT(Tasks[[#This Row],[WBS]],FIND(".",Tasks[[#This Row],[WBS]]&amp;".")-1))</f>
        <v/>
      </c>
      <c r="GC176" s="42" t="str">
        <f aca="false">IF(AND(Tasks[[#This Row],[Task Name]]&lt;&gt;"",Tasks[[#This Row],[_Level]]=1),Tasks[[#This Row],[_Row]],"")</f>
        <v/>
      </c>
      <c r="GD176" s="42" t="str">
        <f aca="false">IF(AND(Tasks[[#This Row],[_IsLeaf]]=1,N(Tasks[[#This Row],[_Days]])=0),Tasks[[#This Row],[Planned Finish]]+Tasks[[#This Row],[_Row]]/100000,"")</f>
        <v/>
      </c>
      <c r="GE176" s="42" t="str">
        <f aca="false">IF(AND(Tasks[[#This Row],[_IsLeaf]]=1,Tasks[[#This Row],[_LeafProgress]]&lt;1,OR(N(Tasks[[#This Row],[Finish Var]])&gt;0,Tasks[[#This Row],[Status]]="Late Start")),MAX(0,Tasks[[#This Row],[Finish Var]])+1-Tasks[[#This Row],[_Row]]/1000000,"")</f>
        <v/>
      </c>
      <c r="GF176" s="42" t="str">
        <f aca="false">IF(AND(Tasks[[#This Row],[_IsLeaf]]=1,N(Tasks[[#This Row],[Actual Start]])=0,Tasks[[#This Row],[_ShownFcstStart]]&gt;=StatusDate,Tasks[[#This Row],[_ShownFcstStart]]&lt;=LookaheadEnd),Tasks[[#This Row],[_ShownFcstStart]]+Tasks[[#This Row],[_Row]]/100000,"")</f>
        <v/>
      </c>
      <c r="GG176" s="42" t="str">
        <f aca="false">IF(AND(Tasks[[#This Row],[_IsLeaf]]=1,Tasks[[#This Row],[_LeafProgress]]&lt;1,Tasks[[#This Row],[_ShownFcstFinish]]&gt;=StatusDate,Tasks[[#This Row],[_ShownFcstFinish]]&lt;=LookaheadEnd),Tasks[[#This Row],[_ShownFcstFinish]]+Tasks[[#This Row],[_Row]]/100000,"")</f>
        <v/>
      </c>
      <c r="GH176" s="42" t="str">
        <f aca="false">IF(Tasks[[#This Row],[_LeafCritical]],Tasks[[#This Row],[_ShownFcstStart]]+Tasks[[#This Row],[_Row]]/100000,"")</f>
        <v/>
      </c>
      <c r="GI176" s="42" t="n">
        <f aca="false">Tasks[[#This Row],[_LeafWork]]*Tasks[[#This Row],[_LeafProgress]]</f>
        <v>0</v>
      </c>
      <c r="GJ176" s="89" t="str">
        <f aca="false">IF(AND(Tasks[[#This Row],[_IsLeaf]]=1,Tasks[[#This Row],[_LeafProgress]]&gt;=1),IF(N(Tasks[[#This Row],[Actual Finish]])&gt;0,Tasks[[#This Row],[Actual Finish]],Tasks[[#This Row],[_ShownFcstFinish]]),"")</f>
        <v/>
      </c>
      <c r="GK176" s="42" t="n">
        <f aca="false">IF(Tasks[[#This Row],[_IsLeaf]]=1,N(Tasks[[#This Row],[Story Points]]),0)</f>
        <v>0</v>
      </c>
      <c r="GL176" s="42" t="str">
        <f aca="false">""</f>
        <v/>
      </c>
      <c r="GM176" s="88" t="b">
        <f aca="false">IF(Tasks[[#This Row],[Task Name]]="",FALSE(),AND(Tasks[[#This Row],[_IsLeaf]]=1,N(Tasks[[#This Row],[_Days]])=0))</f>
        <v>0</v>
      </c>
      <c r="GN176" s="89" t="n">
        <f aca="false">IF(Tasks[[#This Row],[Task Name]]="",0,IF(AND(Tasks[[#This Row],[_IsLeaf]]=1,NOT(Tasks[[#This Row],[_IsMilestone]]),N(Tasks[[#This Row],[Progress]])&gt;0),Tasks[[#This Row],[Start]],0))</f>
        <v>0</v>
      </c>
      <c r="GO176" s="89" t="n">
        <f aca="false">IF(Tasks[[#This Row],[_DoneFrom]]=0,0,IF(Tasks[[#This Row],[Progress]]&gt;=1,Tasks[[#This Row],[Finish]],MAX(Tasks[[#This Row],[_DoneFrom]],Tasks[[#This Row],[Start]]+ROUND((Tasks[[#This Row],[Finish]]-Tasks[[#This Row],[Start]]+1)*Tasks[[#This Row],[Progress]],0)-1)))</f>
        <v>0</v>
      </c>
      <c r="GP176" s="89" t="n">
        <f aca="false">IF(Tasks[[#This Row],[Task Name]]="",0,IF(OR(NOT(Tasks[[#This Row],[_IsLeaf]]=1),Tasks[[#This Row],[_IsMilestone]],N(Tasks[[#This Row],[Progress]])&gt;=1),0,IF(Tasks[[#This Row],[_DoneTo]]&gt;0,Tasks[[#This Row],[_DoneTo]]+1,Tasks[[#This Row],[Start]])))</f>
        <v>0</v>
      </c>
      <c r="GQ176" s="89" t="n">
        <f aca="false">IF(Tasks[[#This Row],[_RemFrom]]=0,0,Tasks[[#This Row],[Finish]])</f>
        <v>0</v>
      </c>
      <c r="GR176" s="88" t="b">
        <f aca="false">IF(Tasks[[#This Row],[Task Name]]="",FALSE(),OR(NOT(BaselineSet),N(Tasks[[#This Row],[Baseline Start]])&gt;0))</f>
        <v>0</v>
      </c>
      <c r="GS17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6" s="90" t="str">
        <f aca="false">IF(Tasks[[#This Row],[_IsLeaf]]=1,Tasks[[#This Row],[_Row]],"")</f>
        <v/>
      </c>
      <c r="GW176" s="90" t="str">
        <f aca="false">IFERROR(INDEX(Tasks[UID],SMALL(Tasks[_PickKey],Tasks[[#This Row],[_Row]]))&amp;" "&amp;INDEX(Tasks[Task Name],SMALL(Tasks[_PickKey],Tasks[[#This Row],[_Row]])),"")</f>
        <v/>
      </c>
      <c r="GX176" s="42" t="str">
        <f aca="false">IF(Tasks[[#This Row],[Task Name]]="","",IF(Tasks[[#This Row],[_IsSummary]],NETWORKDAYS.INTL(Tasks[[#This Row],[Start]],Tasks[[#This Row],[Finish]],WorkWeek,Holidays),N(Tasks[[#This Row],[_Days]])))</f>
        <v/>
      </c>
    </row>
    <row r="177" customFormat="false" ht="15" hidden="false" customHeight="false" outlineLevel="0" collapsed="false">
      <c r="A177" s="21" t="str">
        <f aca="false">IF(Tasks[[#This Row],[Task Name]]="","",COUNTA(Tasks[[#Headers],[Task Name]]:Tasks[[#This Row],[Task Name]])-1)</f>
        <v/>
      </c>
      <c r="B177" s="22" t="n">
        <v>185</v>
      </c>
      <c r="C177" s="22"/>
      <c r="D177" s="23"/>
      <c r="E177" s="22"/>
      <c r="F177" s="23"/>
      <c r="G177" s="22"/>
      <c r="H177" s="22"/>
      <c r="I177" s="23"/>
      <c r="J177" s="22"/>
      <c r="K177" s="22"/>
      <c r="L177" s="23"/>
      <c r="M177" s="22"/>
      <c r="N177" s="22"/>
      <c r="O177" s="23"/>
      <c r="P177" s="22"/>
      <c r="Q177" s="22"/>
      <c r="R177" s="23"/>
      <c r="S177" s="23"/>
      <c r="T177" s="83"/>
      <c r="U177" s="23"/>
      <c r="V177" s="83"/>
      <c r="W177" s="23"/>
      <c r="X177" s="83"/>
      <c r="Y177" s="23"/>
      <c r="Z177" s="83"/>
      <c r="AA177" s="23"/>
      <c r="AB177" s="23"/>
      <c r="AC177" s="7"/>
      <c r="AD177" s="7"/>
      <c r="AE177" s="62" t="str">
        <f aca="false">IF(Tasks[[#This Row],[Task Name]]="","",IF(Tasks[[#This Row],[_IsSummary]],MIN(INDEX(Tasks[_ShownFcstStart],Tasks[[#This Row],[_Row]]+1):INDEX(Tasks[_ShownFcstStart],Tasks[[#This Row],[_Row]]+Tasks[[#This Row],[_Descendants]])),Tasks[[#This Row],[_ShownFcstStart]]))</f>
        <v/>
      </c>
      <c r="AF177" s="62" t="str">
        <f aca="false">IF(Tasks[[#This Row],[Task Name]]="","",IF(Tasks[[#This Row],[_IsSummary]],MAX(INDEX(Tasks[_ShownFcstFinish],Tasks[[#This Row],[_Row]]+1):INDEX(Tasks[_ShownFcstFinish],Tasks[[#This Row],[_Row]]+Tasks[[#This Row],[_Descendants]])),Tasks[[#This Row],[_ShownFcstFinish]]))</f>
        <v/>
      </c>
      <c r="AG177" s="21" t="str">
        <f aca="false">""</f>
        <v/>
      </c>
      <c r="AH177" s="23"/>
      <c r="AI17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7" s="7"/>
      <c r="AK177" s="22"/>
      <c r="AL177" s="23"/>
      <c r="AM177" s="7"/>
      <c r="AN177" s="46" t="str">
        <f aca="false">IF(Tasks[[#This Row],[Task Name]]="","",IF(Tasks[[#This Row],[Finish]]&gt;=Tasks[[#This Row],[Planned Finish]],NETWORKDAYS.INTL(Tasks[[#This Row],[Planned Finish]],Tasks[[#This Row],[Finish]],WorkWeek,Holidays)-1,1-NETWORKDAYS.INTL(Tasks[[#This Row],[Finish]],Tasks[[#This Row],[Planned Finish]],WorkWeek,Holidays)))</f>
        <v/>
      </c>
      <c r="AO177" s="21" t="str">
        <f aca="false">IF(Tasks[[#This Row],[Task Name]]="","",IF(Tasks[[#This Row],[Progress]]&gt;=1,"Complete",IF(OR(N(Tasks[[#This Row],[Actual Start]])&gt;0,Tasks[[#This Row],[Progress]]&gt;0),IF(Tasks[[#This Row],[Finish Var]]&gt;0,"Behind","In Progress"),IF(Tasks[[#This Row],[Planned Start]]&lt;StatusDate,"Late Start","Not Started"))))</f>
        <v/>
      </c>
      <c r="AP177" s="21" t="str">
        <f aca="false">IF(Tasks[[#This Row],[Task Name]]="","",IF(IF(Tasks[[#This Row],[_IsSummary]],COUNTIF(INDEX(Tasks[_LeafCritical],Tasks[[#This Row],[_Row]]+1):INDEX(Tasks[_LeafCritical],Tasks[[#This Row],[_Row]]+Tasks[[#This Row],[_Descendants]]),TRUE())&gt;0,Tasks[[#This Row],[_LeafCritical]]),"Yes",""))</f>
        <v/>
      </c>
      <c r="AQ177" s="62" t="str">
        <f aca="false">IF(Tasks[[#This Row],[Task Name]]="","",IF(N(Tasks[[#This Row],[Baseline Start]])&gt;0,Tasks[[#This Row],[Baseline Start]],Tasks[[#This Row],[_CalcStart]]))</f>
        <v/>
      </c>
      <c r="AR177" s="62" t="str">
        <f aca="false">IF(Tasks[[#This Row],[Task Name]]="","",IF(N(Tasks[[#This Row],[Baseline Finish]])&gt;0,Tasks[[#This Row],[Baseline Finish]],Tasks[[#This Row],[_CalcFinish]]))</f>
        <v/>
      </c>
      <c r="AS177" s="46" t="str">
        <f aca="false">IF(Tasks[[#This Row],[Task Name]]="","",IF(Tasks[[#This Row],[Start]]&gt;=Tasks[[#This Row],[Planned Start]],NETWORKDAYS.INTL(Tasks[[#This Row],[Planned Start]],Tasks[[#This Row],[Start]],WorkWeek,Holidays)-1,1-NETWORKDAYS.INTL(Tasks[[#This Row],[Start]],Tasks[[#This Row],[Planned Start]],WorkWeek,Holidays)))</f>
        <v/>
      </c>
      <c r="AT177" s="62" t="str">
        <f aca="false">IF(Tasks[[#This Row],[Task Name]]="","",IF(Tasks[[#This Row],[_IsSummary]],MIN(INDEX(Tasks[_LeafLateStart],Tasks[[#This Row],[_Row]]+1):INDEX(Tasks[_LeafLateStart],Tasks[[#This Row],[_Row]]+Tasks[[#This Row],[_Descendants]])),Tasks[[#This Row],[_LeafLateStart]]))</f>
        <v/>
      </c>
      <c r="AU177" s="62" t="str">
        <f aca="false">IF(Tasks[[#This Row],[Task Name]]="","",IF(Tasks[[#This Row],[_IsSummary]],MAX(INDEX(Tasks[_LeafLateFinish],Tasks[[#This Row],[_Row]]+1):INDEX(Tasks[_LeafLateFinish],Tasks[[#This Row],[_Row]]+Tasks[[#This Row],[_Descendants]])),Tasks[[#This Row],[_LeafLateFinish]]))</f>
        <v/>
      </c>
      <c r="AV177" s="46" t="str">
        <f aca="false">IF(Tasks[[#This Row],[Task Name]]="","",IF(Tasks[[#This Row],[_IsSummary]],MIN(INDEX(Tasks[_LeafTotalSlack],Tasks[[#This Row],[_Row]]+1):INDEX(Tasks[_LeafTotalSlack],Tasks[[#This Row],[_Row]]+Tasks[[#This Row],[_Descendants]])),Tasks[[#This Row],[_LeafTotalSlack]]))</f>
        <v/>
      </c>
      <c r="AW17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4"/>
      <c r="BA17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t="str">
        <f aca="false">IF(Tasks[[#This Row],[Task Name]]="","",IF(Tasks[[#This Row],[_Level]]&lt;=OutlineShowLevel,"Yes","No"))</f>
        <v/>
      </c>
      <c r="BE177" s="85" t="str">
        <f aca="false">IF(Tasks[[#This Row],[Task Name]]="","",IF(Tasks[[#This Row],[_IsSummary]],SUM(INDEX(Tasks[_LeafTotalWork],Tasks[[#This Row],[_Row]]+1):INDEX(Tasks[_LeafTotalWork],Tasks[[#This Row],[_Row]]+Tasks[[#This Row],[_Descendants]])),Tasks[[#This Row],[_LeafTotalWork]]))</f>
        <v/>
      </c>
      <c r="BF177" s="23"/>
      <c r="BG17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t="str">
        <f aca="false">""</f>
        <v/>
      </c>
      <c r="BI177" s="86"/>
      <c r="BJ177" s="22"/>
      <c r="BK177" s="46" t="str">
        <f aca="false">IF(OR(Tasks[[#This Row],[Task Name]]="",Tasks[[#This Row],[Baseline Duration]]=""),"",Tasks[[#This Row],[_SpanDays]]-N(Tasks[[#This Row],[Baseline Duration]]))</f>
        <v/>
      </c>
      <c r="BL177" s="85" t="str">
        <f aca="false">IF(OR(Tasks[[#This Row],[Task Name]]="",Tasks[[#This Row],[Baseline Work]]=""),"",Tasks[[#This Row],[Work]]-N(Tasks[[#This Row],[Baseline Work]]))</f>
        <v/>
      </c>
      <c r="BM177" s="62" t="str">
        <f aca="false">IF(Tasks[[#This Row],[Task Name]]="","",IF(OR(TakeBaseline="Yes",N(Tasks[[#This Row],[Baseline Start]])=0),Tasks[[#This Row],[Start]],Tasks[[#This Row],[Baseline Start]]))</f>
        <v/>
      </c>
      <c r="BN177" s="62" t="str">
        <f aca="false">IF(Tasks[[#This Row],[Task Name]]="","",IF(OR(TakeBaseline="Yes",N(Tasks[[#This Row],[Baseline Finish]])=0),Tasks[[#This Row],[Finish]],Tasks[[#This Row],[Baseline Finish]]))</f>
        <v/>
      </c>
      <c r="BO177" s="21" t="str">
        <f aca="false">IF(Tasks[[#This Row],[Task Name]]="","",IF(OR(TakeBaseline="Yes",N(Tasks[[#This Row],[Baseline Duration]])=0),Tasks[[#This Row],[_SpanDays]],Tasks[[#This Row],[Baseline Duration]]))</f>
        <v/>
      </c>
      <c r="BP177" s="85" t="str">
        <f aca="false">IF(Tasks[[#This Row],[Task Name]]="","",IF(OR(TakeBaseline="Yes",N(Tasks[[#This Row],[Baseline Work]])=0),Tasks[[#This Row],[Work]],Tasks[[#This Row],[Baseline Work]]))</f>
        <v/>
      </c>
      <c r="BQ177" s="7"/>
      <c r="BR177" s="7"/>
      <c r="BS177" s="22"/>
      <c r="BT177" s="87"/>
      <c r="BU177" s="42" t="str">
        <f aca="false">IF(Tasks[[#This Row],[Task Name]]="","",MAX(1,N(Tasks[[#This Row],[Level]])))</f>
        <v/>
      </c>
      <c r="BV177" s="42" t="n">
        <f aca="false">ROW()-ROW(Tasks[[#Headers],[ID]])</f>
        <v>172</v>
      </c>
      <c r="BW177" s="42" t="n">
        <f aca="false">IF(OR(Tasks[[#This Row],[Task Name]]="",Tasks[[#This Row],[_Level]]&lt;=1),0,IFERROR(LOOKUP(2,1/(Tasks[[#Headers],[_Level]]:Tasks[[#This Row],[_Level]]=Tasks[[#This Row],[_Level]]-1),ROW(Tasks[[#Headers],[_Level]]:Tasks[[#This Row],[_Level]])),0))</f>
        <v>0</v>
      </c>
      <c r="BX177" s="42" t="n">
        <f aca="false">IFERROR(N(INDEX(Tasks[_Level],Tasks[[#This Row],[_Row]]+1)),0)</f>
        <v>0</v>
      </c>
      <c r="BY177" s="88" t="b">
        <f aca="false">AND(Tasks[[#This Row],[Task Name]]&lt;&gt;"",Tasks[[#This Row],[_NextLevel]]&gt;Tasks[[#This Row],[_Level]])</f>
        <v>0</v>
      </c>
      <c r="BZ177" s="42" t="n">
        <f aca="false">IF(Tasks[[#This Row],[_IsSummary]],COUNTIF(Tasks[WBS],Tasks[[#This Row],[WBS]]&amp;".*"),0)</f>
        <v>0</v>
      </c>
      <c r="CA177" s="42" t="n">
        <f aca="false">IF(AND(Tasks[[#This Row],[Task Name]]&lt;&gt;"",NOT(Tasks[[#This Row],[_IsSummary]])),1,0)</f>
        <v>0</v>
      </c>
      <c r="CB177" s="42" t="n">
        <f aca="false">IF(N(Tasks[[#This Row],[_Pred1UID]])=0,0,IFERROR(MATCH(Tasks[[#This Row],[_Pred1UID]],Tasks[UID],0),-1))</f>
        <v>0</v>
      </c>
      <c r="CC177" s="42" t="n">
        <f aca="false">IF(N(Tasks[[#This Row],[_Pred2UID]])=0,0,IFERROR(MATCH(Tasks[[#This Row],[_Pred2UID]],Tasks[UID],0),-1))</f>
        <v>0</v>
      </c>
      <c r="CD177" s="42" t="n">
        <f aca="false">IF(N(Tasks[[#This Row],[_Pred3UID]])=0,0,IFERROR(MATCH(Tasks[[#This Row],[_Pred3UID]],Tasks[UID],0),-1))</f>
        <v>0</v>
      </c>
      <c r="CE177" s="42" t="n">
        <f aca="false">IF(N(Tasks[[#This Row],[_Pred4UID]])=0,0,IFERROR(MATCH(Tasks[[#This Row],[_Pred4UID]],Tasks[UID],0),-1))</f>
        <v>0</v>
      </c>
      <c r="CF17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7" s="89" t="n">
        <f aca="false">IF(OR(Tasks[[#This Row],[_ConstraintCode]]=2,Tasks[[#This Row],[_ConstraintCode]]=3,Tasks[[#This Row],[_ConstraintCode]]=4,Tasks[[#This Row],[_ConstraintCode]]=6),Tasks[[#This Row],[_ConstraintStart]],0)</f>
        <v>0</v>
      </c>
      <c r="CI177" s="89" t="n">
        <f aca="false">IF(OR(Tasks[[#This Row],[_ConstraintCode]]=2,Tasks[[#This Row],[_ConstraintCode]]=3,Tasks[[#This Row],[_ConstraintCode]]=5,Tasks[[#This Row],[_ConstraintCode]]=7),Tasks[[#This Row],[_ConstraintStart]],2958465)</f>
        <v>2958465</v>
      </c>
      <c r="CJ17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7" s="89" t="str">
        <f aca="false">IF(NOT(Tasks[[#This Row],[_IsLeaf]]=1),"",IF(N(Tasks[[#This Row],[_Days]])&lt;=0,Tasks[[#This Row],[_LeafCalcStart]],WORKDAY.INTL(Tasks[[#This Row],[_LeafCalcStart]],Tasks[[#This Row],[_Days]]-1,WorkWeek,Holidays)))</f>
        <v/>
      </c>
      <c r="CL17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7" s="42" t="str">
        <f aca="false">IF(Tasks[[#This Row],[_Predecessors]]="","",TRIM(MID(SUBSTITUTE(SUBSTITUTE(SUBSTITUTE(UPPER(Tasks[[#This Row],[_Predecessors]]),";",",")," ",""),",",REPT(" ",99)),1,99)))</f>
        <v/>
      </c>
      <c r="CO177" s="42" t="str">
        <f aca="false">IF(Tasks[[#This Row],[_Pred1Text]]="","",IFERROR(VALUE(LEFT(Tasks[[#This Row],[_Pred1Text]],MIN(FIND("F",Tasks[[#This Row],[_Pred1Text]]&amp;"F"),FIND("S",Tasks[[#This Row],[_Pred1Text]]&amp;"S"),FIND("+",Tasks[[#This Row],[_Pred1Text]]&amp;"+"),FIND("-",Tasks[[#This Row],[_Pred1Text]]&amp;"-"))-1)),""))</f>
        <v/>
      </c>
      <c r="CP17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7" s="42" t="str">
        <f aca="false">IF(Tasks[[#This Row],[_Pred1Text]]="","",TRIM(MID(SUBSTITUTE(SUBSTITUTE(SUBSTITUTE(UPPER(Tasks[[#This Row],[_Predecessors]]),";",",")," ",""),",",REPT(" ",99)),100,99)))</f>
        <v/>
      </c>
      <c r="CS177" s="42" t="str">
        <f aca="false">IF(Tasks[[#This Row],[_Pred2Text]]="","",IFERROR(VALUE(LEFT(Tasks[[#This Row],[_Pred2Text]],MIN(FIND("F",Tasks[[#This Row],[_Pred2Text]]&amp;"F"),FIND("S",Tasks[[#This Row],[_Pred2Text]]&amp;"S"),FIND("+",Tasks[[#This Row],[_Pred2Text]]&amp;"+"),FIND("-",Tasks[[#This Row],[_Pred2Text]]&amp;"-"))-1)),""))</f>
        <v/>
      </c>
      <c r="CT17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7" s="42" t="str">
        <f aca="false">IF(Tasks[[#This Row],[_Pred2Text]]="","",TRIM(MID(SUBSTITUTE(SUBSTITUTE(SUBSTITUTE(UPPER(Tasks[[#This Row],[_Predecessors]]),";",",")," ",""),",",REPT(" ",99)),199,99)))</f>
        <v/>
      </c>
      <c r="CW177" s="42" t="str">
        <f aca="false">IF(Tasks[[#This Row],[_Pred3Text]]="","",IFERROR(VALUE(LEFT(Tasks[[#This Row],[_Pred3Text]],MIN(FIND("F",Tasks[[#This Row],[_Pred3Text]]&amp;"F"),FIND("S",Tasks[[#This Row],[_Pred3Text]]&amp;"S"),FIND("+",Tasks[[#This Row],[_Pred3Text]]&amp;"+"),FIND("-",Tasks[[#This Row],[_Pred3Text]]&amp;"-"))-1)),""))</f>
        <v/>
      </c>
      <c r="CX17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7" s="42" t="str">
        <f aca="false">IF(Tasks[[#This Row],[_Pred3Text]]="","",TRIM(MID(SUBSTITUTE(SUBSTITUTE(SUBSTITUTE(UPPER(Tasks[[#This Row],[_Predecessors]]),";",",")," ",""),",",REPT(" ",99)),298,99)))</f>
        <v/>
      </c>
      <c r="DA177" s="42" t="str">
        <f aca="false">IF(Tasks[[#This Row],[_Pred4Text]]="","",IFERROR(VALUE(LEFT(Tasks[[#This Row],[_Pred4Text]],MIN(FIND("F",Tasks[[#This Row],[_Pred4Text]]&amp;"F"),FIND("S",Tasks[[#This Row],[_Pred4Text]]&amp;"S"),FIND("+",Tasks[[#This Row],[_Pred4Text]]&amp;"+"),FIND("-",Tasks[[#This Row],[_Pred4Text]]&amp;"-"))-1)),""))</f>
        <v/>
      </c>
      <c r="DB17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7" s="42" t="str">
        <f aca="false">IF(OR(Tasks[[#This Row],[Task Name]]="",Tasks[[#This Row],[_Resources]]=""),"",TRIM(MID(SUBSTITUTE(Tasks[[#This Row],[_Resources]],",",REPT(" ",99)),1,99)))</f>
        <v/>
      </c>
      <c r="DE177" s="42" t="str">
        <f aca="false">IF(Tasks[[#This Row],[_Res1Text]]="","",TRIM(MID(SUBSTITUTE(Tasks[[#This Row],[_Resources]],",",REPT(" ",99)),100,99)))</f>
        <v/>
      </c>
      <c r="DF177" s="42" t="str">
        <f aca="false">IF(Tasks[[#This Row],[_Res2Text]]="","",TRIM(MID(SUBSTITUTE(Tasks[[#This Row],[_Resources]],",",REPT(" ",99)),199,99)))</f>
        <v/>
      </c>
      <c r="DG177" s="42" t="str">
        <f aca="false">IF(Tasks[[#This Row],[_Res3Text]]="","",TRIM(MID(SUBSTITUTE(Tasks[[#This Row],[_Resources]],",",REPT(" ",99)),298,99)))</f>
        <v/>
      </c>
      <c r="DH177" s="42" t="n">
        <f aca="false">IF(Tasks[[#This Row],[_Res1Text]]="",0,IFERROR(MATCH(TRIM(LEFT(Tasks[[#This Row],[_Res1Text]],FIND("[",Tasks[[#This Row],[_Res1Text]]&amp;"[")-1)),res_Name,0),IFERROR(MATCH(TRIM(LEFT(Tasks[[#This Row],[_Res1Text]],FIND("[",Tasks[[#This Row],[_Res1Text]]&amp;"[")-1)),res_Initials,0),0)))</f>
        <v>0</v>
      </c>
      <c r="DI177" s="42" t="n">
        <f aca="false">IF(Tasks[[#This Row],[_Res2Text]]="",0,IFERROR(MATCH(TRIM(LEFT(Tasks[[#This Row],[_Res2Text]],FIND("[",Tasks[[#This Row],[_Res2Text]]&amp;"[")-1)),res_Name,0),IFERROR(MATCH(TRIM(LEFT(Tasks[[#This Row],[_Res2Text]],FIND("[",Tasks[[#This Row],[_Res2Text]]&amp;"[")-1)),res_Initials,0),0)))</f>
        <v>0</v>
      </c>
      <c r="DJ177" s="42" t="n">
        <f aca="false">IF(Tasks[[#This Row],[_Res3Text]]="",0,IFERROR(MATCH(TRIM(LEFT(Tasks[[#This Row],[_Res3Text]],FIND("[",Tasks[[#This Row],[_Res3Text]]&amp;"[")-1)),res_Name,0),IFERROR(MATCH(TRIM(LEFT(Tasks[[#This Row],[_Res3Text]],FIND("[",Tasks[[#This Row],[_Res3Text]]&amp;"[")-1)),res_Initials,0),0)))</f>
        <v>0</v>
      </c>
      <c r="DK177" s="42" t="n">
        <f aca="false">IF(Tasks[[#This Row],[_Res4Text]]="",0,IFERROR(MATCH(TRIM(LEFT(Tasks[[#This Row],[_Res4Text]],FIND("[",Tasks[[#This Row],[_Res4Text]]&amp;"[")-1)),res_Name,0),IFERROR(MATCH(TRIM(LEFT(Tasks[[#This Row],[_Res4Text]],FIND("[",Tasks[[#This Row],[_Res4Text]]&amp;"[")-1)),res_Initials,0),0)))</f>
        <v>0</v>
      </c>
      <c r="DL177" s="42" t="str">
        <f aca="false">IF(Tasks[[#This Row],[_Res1Text]]="","",IF(Tasks[[#This Row],[_Res1Row]]&gt;0,INDEX(res_Name,Tasks[[#This Row],[_Res1Row]]),TRIM(LEFT(Tasks[[#This Row],[_Res1Text]],FIND("[",Tasks[[#This Row],[_Res1Text]]&amp;"[")-1))))</f>
        <v/>
      </c>
      <c r="DM17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7" s="42" t="n">
        <f aca="false">IF(NOT(Tasks[[#This Row],[_IsLeaf]]=1),0,(Tasks[[#This Row],[_Resource1]]&lt;&gt;"")+(Tasks[[#This Row],[_Res2]]&lt;&gt;"")+(Tasks[[#This Row],[_Res3]]&lt;&gt;"")+(Tasks[[#This Row],[_Res4]]&lt;&gt;""))</f>
        <v>0</v>
      </c>
      <c r="DO177" s="42" t="str">
        <f aca="false">IF(Tasks[[#This Row],[_Res2Text]]="","",IF(Tasks[[#This Row],[_Res2Row]]&gt;0,INDEX(res_Name,Tasks[[#This Row],[_Res2Row]]),TRIM(LEFT(Tasks[[#This Row],[_Res2Text]],FIND("[",Tasks[[#This Row],[_Res2Text]]&amp;"[")-1))))</f>
        <v/>
      </c>
      <c r="DP17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7" s="42" t="n">
        <f aca="false">IF(OR(NOT(Tasks[[#This Row],[_IsLeaf]]=1),Tasks[[#This Row],[_Res2Row]]=0),0,N(Tasks[[#This Row],[_Days]])*HoursPerDay*IF(Tasks[[#This Row],[_Res2Units]]="",DefaultUnits,Tasks[[#This Row],[_Res2Units]]))</f>
        <v>0</v>
      </c>
      <c r="DR177" s="42" t="n">
        <f aca="false">IF(AND(AND(Tasks[[#This Row],[_IsLeaf]]=1,Tasks[[#This Row],[_LeafTotalWork]]&gt;0),Tasks[[#This Row],[_Res2Work]]&gt;0),Tasks[[#This Row],[_Res2Work]]/(Tasks[[#This Row],[_FinishWorkday]]-Tasks[[#This Row],[_StartWorkday]]+1),0)</f>
        <v>0</v>
      </c>
      <c r="DS177" s="42" t="n">
        <f aca="false">Tasks[[#This Row],[_Res2WorkPerWD]]*MAX(0,Tasks[[#This Row],[_StartWorkday]]-1)</f>
        <v>0</v>
      </c>
      <c r="DT177" s="42" t="n">
        <f aca="false">Tasks[[#This Row],[_Res2Work]]*Tasks[[#This Row],[_LeafProgress]]</f>
        <v>0</v>
      </c>
      <c r="DU177" s="42" t="str">
        <f aca="false">IF(Tasks[[#This Row],[_Res3Text]]="","",IF(Tasks[[#This Row],[_Res3Row]]&gt;0,INDEX(res_Name,Tasks[[#This Row],[_Res3Row]]),TRIM(LEFT(Tasks[[#This Row],[_Res3Text]],FIND("[",Tasks[[#This Row],[_Res3Text]]&amp;"[")-1))))</f>
        <v/>
      </c>
      <c r="DV17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7" s="42" t="n">
        <f aca="false">IF(OR(NOT(Tasks[[#This Row],[_IsLeaf]]=1),Tasks[[#This Row],[_Res3Row]]=0),0,N(Tasks[[#This Row],[_Days]])*HoursPerDay*IF(Tasks[[#This Row],[_Res3Units]]="",DefaultUnits,Tasks[[#This Row],[_Res3Units]]))</f>
        <v>0</v>
      </c>
      <c r="DX177" s="42" t="n">
        <f aca="false">IF(AND(AND(Tasks[[#This Row],[_IsLeaf]]=1,Tasks[[#This Row],[_LeafTotalWork]]&gt;0),Tasks[[#This Row],[_Res3Work]]&gt;0),Tasks[[#This Row],[_Res3Work]]/(Tasks[[#This Row],[_FinishWorkday]]-Tasks[[#This Row],[_StartWorkday]]+1),0)</f>
        <v>0</v>
      </c>
      <c r="DY177" s="42" t="n">
        <f aca="false">Tasks[[#This Row],[_Res3WorkPerWD]]*MAX(0,Tasks[[#This Row],[_StartWorkday]]-1)</f>
        <v>0</v>
      </c>
      <c r="DZ177" s="42" t="n">
        <f aca="false">Tasks[[#This Row],[_Res3Work]]*Tasks[[#This Row],[_LeafProgress]]</f>
        <v>0</v>
      </c>
      <c r="EA177" s="42" t="str">
        <f aca="false">IF(Tasks[[#This Row],[_Res4Text]]="","",IF(Tasks[[#This Row],[_Res4Row]]&gt;0,INDEX(res_Name,Tasks[[#This Row],[_Res4Row]]),TRIM(LEFT(Tasks[[#This Row],[_Res4Text]],FIND("[",Tasks[[#This Row],[_Res4Text]]&amp;"[")-1))))</f>
        <v/>
      </c>
      <c r="EB17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7" s="42" t="n">
        <f aca="false">IF(OR(NOT(Tasks[[#This Row],[_IsLeaf]]=1),Tasks[[#This Row],[_Res4Row]]=0),0,N(Tasks[[#This Row],[_Days]])*HoursPerDay*IF(Tasks[[#This Row],[_Res4Units]]="",DefaultUnits,Tasks[[#This Row],[_Res4Units]]))</f>
        <v>0</v>
      </c>
      <c r="ED177" s="42" t="n">
        <f aca="false">IF(AND(AND(Tasks[[#This Row],[_IsLeaf]]=1,Tasks[[#This Row],[_LeafTotalWork]]&gt;0),Tasks[[#This Row],[_Res4Work]]&gt;0),Tasks[[#This Row],[_Res4Work]]/(Tasks[[#This Row],[_FinishWorkday]]-Tasks[[#This Row],[_StartWorkday]]+1),0)</f>
        <v>0</v>
      </c>
      <c r="EE177" s="42" t="n">
        <f aca="false">Tasks[[#This Row],[_Res4WorkPerWD]]*MAX(0,Tasks[[#This Row],[_StartWorkday]]-1)</f>
        <v>0</v>
      </c>
      <c r="EF177" s="42" t="n">
        <f aca="false">Tasks[[#This Row],[_Res4Work]]*Tasks[[#This Row],[_LeafProgress]]</f>
        <v>0</v>
      </c>
      <c r="EG177" s="42" t="n">
        <f aca="false">IF(ISNUMBER(Tasks[[#This Row],[% Complete]]),Tasks[[#This Row],[% Complete]],IF(Tasks[[#This Row],[Stage]]="",0,IFERROR(INDEX(stg_Pct,MATCH(Tasks[[#This Row],[Stage]],stg_Name,0)),0)))</f>
        <v>0</v>
      </c>
      <c r="EH177" s="42" t="n">
        <f aca="false">IF(NOT(Tasks[[#This Row],[_IsLeaf]]=1),0,IF(N(Tasks[[#This Row],[Actual Finish]])&gt;0,1,MIN(1,Tasks[[#This Row],[_Pct]])))</f>
        <v>0</v>
      </c>
      <c r="EI177" s="42" t="n">
        <f aca="false">IF(OR(NOT(Tasks[[#This Row],[_IsLeaf]]=1),Tasks[[#This Row],[_Res1Row]]=0),0,N(Tasks[[#This Row],[_Days]])*HoursPerDay*IF(Tasks[[#This Row],[_Units1]]="",DefaultUnits,Tasks[[#This Row],[_Units1]]))</f>
        <v>0</v>
      </c>
      <c r="EJ177" s="42" t="n">
        <f aca="false">Tasks[[#This Row],[_LeafWork]]+Tasks[[#This Row],[_Res2Work]]+Tasks[[#This Row],[_Res3Work]]+Tasks[[#This Row],[_Res4Work]]</f>
        <v>0</v>
      </c>
      <c r="EK17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7" s="42" t="n">
        <f aca="false">IF(NOT(Tasks[[#This Row],[_IsLeaf]]=1),0,MAX(_xlfn.MAXIFS(Tasks[_Row],Tasks[_Pred1UID],Tasks[[#This Row],[UID]]),_xlfn.MAXIFS(Tasks[_Row],Tasks[_Pred2UID],Tasks[[#This Row],[UID]]),_xlfn.MAXIFS(Tasks[_Row],Tasks[_Pred3UID],Tasks[[#This Row],[UID]]),_xlfn.MAXIFS(Tasks[_Row],Tasks[_Pred4UID],Tasks[[#This Row],[UID]])))</f>
        <v>0</v>
      </c>
      <c r="ET17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7" s="89" t="str">
        <f aca="false">IF(NOT(Tasks[[#This Row],[_IsLeaf]]=1),"",IF(N(Tasks[[#This Row],[_Days]])&lt;=0,Tasks[[#This Row],[_LeafLateFinish]],WORKDAY.INTL(Tasks[[#This Row],[_LeafLateFinish]],-(Tasks[[#This Row],[_Days]]-1),WorkWeek,Holidays)))</f>
        <v/>
      </c>
      <c r="EW17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7" s="88" t="b">
        <f aca="false">AND(Tasks[[#This Row],[_IsLeaf]]=1,Tasks[[#This Row],[_LeafProgress]]&lt;1,N(Tasks[[#This Row],[_LeafTotalSlack]])&lt;=CriticalSlackDays)</f>
        <v>0</v>
      </c>
      <c r="EY177" s="42" t="n">
        <f aca="false">IF(AND(Tasks[[#This Row],[_IsLeaf]]=1,Tasks[[#This Row],[_ConstraintCode]]=1,Tasks[[#This Row],[Mode]]&lt;&gt;"Manual",N(Tasks[[#This Row],[Actual Start]])=0),MAX(0,N(Tasks[[#This Row],[Free Slack]])),0)</f>
        <v>0</v>
      </c>
      <c r="EZ177" s="89" t="str">
        <f aca="false">IF(NOT(Tasks[[#This Row],[_IsLeaf]]=1),"",IF(Tasks[[#This Row],[_AlapShift]]=0,Tasks[[#This Row],[_LeafCalcStart]],WORKDAY.INTL(Tasks[[#This Row],[_LeafCalcStart]],Tasks[[#This Row],[_AlapShift]],WorkWeek,Holidays)))</f>
        <v/>
      </c>
      <c r="FA177" s="89" t="str">
        <f aca="false">IF(NOT(Tasks[[#This Row],[_IsLeaf]]=1),"",IF(Tasks[[#This Row],[_AlapShift]]=0,Tasks[[#This Row],[_LeafCalcFinish]],WORKDAY.INTL(Tasks[[#This Row],[_LeafCalcFinish]],Tasks[[#This Row],[_AlapShift]],WorkWeek,Holidays)))</f>
        <v/>
      </c>
      <c r="FB177" s="89" t="str">
        <f aca="false">IF(NOT(Tasks[[#This Row],[_IsLeaf]]=1),"",IF(Tasks[[#This Row],[_AlapShift]]=0,Tasks[[#This Row],[_LeafFcstStart]],WORKDAY.INTL(Tasks[[#This Row],[_LeafFcstStart]],Tasks[[#This Row],[_AlapShift]],WorkWeek,Holidays)))</f>
        <v/>
      </c>
      <c r="FC177" s="89" t="str">
        <f aca="false">IF(NOT(Tasks[[#This Row],[_IsLeaf]]=1),"",IF(Tasks[[#This Row],[_AlapShift]]=0,Tasks[[#This Row],[_LeafFcstFinish]],WORKDAY.INTL(Tasks[[#This Row],[_LeafFcstFinish]],Tasks[[#This Row],[_AlapShift]],WorkWeek,Holidays)))</f>
        <v/>
      </c>
      <c r="FD177" s="89" t="str">
        <f aca="false">IF(Tasks[[#This Row],[Task Name]]="","",IF(Tasks[[#This Row],[_IsSummary]],MIN(INDEX(Tasks[_ShownCalcStart],Tasks[[#This Row],[_Row]]+1):INDEX(Tasks[_ShownCalcStart],Tasks[[#This Row],[_Row]]+Tasks[[#This Row],[_Descendants]])),Tasks[[#This Row],[_ShownCalcStart]]))</f>
        <v/>
      </c>
      <c r="FE177" s="89" t="str">
        <f aca="false">IF(Tasks[[#This Row],[Task Name]]="","",IF(Tasks[[#This Row],[_IsSummary]],MAX(INDEX(Tasks[_ShownCalcFinish],Tasks[[#This Row],[_Row]]+1):INDEX(Tasks[_ShownCalcFinish],Tasks[[#This Row],[_Row]]+Tasks[[#This Row],[_Descendants]])),Tasks[[#This Row],[_ShownCalcFinish]]))</f>
        <v/>
      </c>
      <c r="FF17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7" s="42" t="n">
        <f aca="false">IF(AND(Tasks[[#This Row],[_IsLeaf]]=1,Tasks[[#This Row],[_LeafTotalWork]]&gt;0),NETWORKDAYS.INTL(ProjectStart,Tasks[[#This Row],[_ShownFcstStart]],WorkWeek,Holidays),0)</f>
        <v>0</v>
      </c>
      <c r="FS177" s="42" t="n">
        <f aca="false">IF(AND(Tasks[[#This Row],[_IsLeaf]]=1,Tasks[[#This Row],[_LeafTotalWork]]&gt;0),MAX(Tasks[[#This Row],[_StartWorkday]],NETWORKDAYS.INTL(ProjectStart,Tasks[[#This Row],[_ShownFcstFinish]],WorkWeek,Holidays)),0)</f>
        <v>0</v>
      </c>
      <c r="FT177" s="42" t="n">
        <f aca="false">IF(AND(Tasks[[#This Row],[_IsLeaf]]=1,Tasks[[#This Row],[_LeafTotalWork]]&gt;0),Tasks[[#This Row],[_LeafWork]]/(Tasks[[#This Row],[_FinishWorkday]]-Tasks[[#This Row],[_StartWorkday]]+1),0)</f>
        <v>0</v>
      </c>
      <c r="FU177" s="42" t="n">
        <f aca="false">Tasks[[#This Row],[_WorkPerWorkday]]*(Tasks[[#This Row],[_StartWorkday]]-1)</f>
        <v>-0</v>
      </c>
      <c r="FV177" s="42" t="n">
        <f aca="false">IF(Tasks[[#This Row],[_IsLeaf]]=1,MAX(N(Tasks[[#This Row],[_Days]]),0.1),0)</f>
        <v>0</v>
      </c>
      <c r="FW177" s="42" t="n">
        <f aca="false">Tasks[[#This Row],[_WeightDur]]*Tasks[[#This Row],[_LeafProgress]]</f>
        <v>0</v>
      </c>
      <c r="FX177" s="42" t="n">
        <f aca="false">Tasks[[#This Row],[_WeightDur]]*Tasks[[#This Row],[_PlannedPct]]</f>
        <v>0</v>
      </c>
      <c r="FY17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7" s="42" t="str">
        <f aca="false">IF(AND(Tasks[[#This Row],[_IsLeaf]]=1,N(Tasks[[#This Row],[_Days]])=0,Tasks[[#This Row],[_LeafProgress]]&lt;1),Tasks[[#This Row],[_ShownFcstFinish]]+Tasks[[#This Row],[_Row]]/100000,"")</f>
        <v/>
      </c>
      <c r="GA17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7" s="42" t="str">
        <f aca="false">IF(Tasks[[#This Row],[Task Name]]="","",LEFT(Tasks[[#This Row],[WBS]],FIND(".",Tasks[[#This Row],[WBS]]&amp;".")-1))</f>
        <v/>
      </c>
      <c r="GC177" s="42" t="str">
        <f aca="false">IF(AND(Tasks[[#This Row],[Task Name]]&lt;&gt;"",Tasks[[#This Row],[_Level]]=1),Tasks[[#This Row],[_Row]],"")</f>
        <v/>
      </c>
      <c r="GD177" s="42" t="str">
        <f aca="false">IF(AND(Tasks[[#This Row],[_IsLeaf]]=1,N(Tasks[[#This Row],[_Days]])=0),Tasks[[#This Row],[Planned Finish]]+Tasks[[#This Row],[_Row]]/100000,"")</f>
        <v/>
      </c>
      <c r="GE177" s="42" t="str">
        <f aca="false">IF(AND(Tasks[[#This Row],[_IsLeaf]]=1,Tasks[[#This Row],[_LeafProgress]]&lt;1,OR(N(Tasks[[#This Row],[Finish Var]])&gt;0,Tasks[[#This Row],[Status]]="Late Start")),MAX(0,Tasks[[#This Row],[Finish Var]])+1-Tasks[[#This Row],[_Row]]/1000000,"")</f>
        <v/>
      </c>
      <c r="GF177" s="42" t="str">
        <f aca="false">IF(AND(Tasks[[#This Row],[_IsLeaf]]=1,N(Tasks[[#This Row],[Actual Start]])=0,Tasks[[#This Row],[_ShownFcstStart]]&gt;=StatusDate,Tasks[[#This Row],[_ShownFcstStart]]&lt;=LookaheadEnd),Tasks[[#This Row],[_ShownFcstStart]]+Tasks[[#This Row],[_Row]]/100000,"")</f>
        <v/>
      </c>
      <c r="GG177" s="42" t="str">
        <f aca="false">IF(AND(Tasks[[#This Row],[_IsLeaf]]=1,Tasks[[#This Row],[_LeafProgress]]&lt;1,Tasks[[#This Row],[_ShownFcstFinish]]&gt;=StatusDate,Tasks[[#This Row],[_ShownFcstFinish]]&lt;=LookaheadEnd),Tasks[[#This Row],[_ShownFcstFinish]]+Tasks[[#This Row],[_Row]]/100000,"")</f>
        <v/>
      </c>
      <c r="GH177" s="42" t="str">
        <f aca="false">IF(Tasks[[#This Row],[_LeafCritical]],Tasks[[#This Row],[_ShownFcstStart]]+Tasks[[#This Row],[_Row]]/100000,"")</f>
        <v/>
      </c>
      <c r="GI177" s="42" t="n">
        <f aca="false">Tasks[[#This Row],[_LeafWork]]*Tasks[[#This Row],[_LeafProgress]]</f>
        <v>0</v>
      </c>
      <c r="GJ177" s="89" t="str">
        <f aca="false">IF(AND(Tasks[[#This Row],[_IsLeaf]]=1,Tasks[[#This Row],[_LeafProgress]]&gt;=1),IF(N(Tasks[[#This Row],[Actual Finish]])&gt;0,Tasks[[#This Row],[Actual Finish]],Tasks[[#This Row],[_ShownFcstFinish]]),"")</f>
        <v/>
      </c>
      <c r="GK177" s="42" t="n">
        <f aca="false">IF(Tasks[[#This Row],[_IsLeaf]]=1,N(Tasks[[#This Row],[Story Points]]),0)</f>
        <v>0</v>
      </c>
      <c r="GL177" s="42" t="str">
        <f aca="false">""</f>
        <v/>
      </c>
      <c r="GM177" s="88" t="b">
        <f aca="false">IF(Tasks[[#This Row],[Task Name]]="",FALSE(),AND(Tasks[[#This Row],[_IsLeaf]]=1,N(Tasks[[#This Row],[_Days]])=0))</f>
        <v>0</v>
      </c>
      <c r="GN177" s="89" t="n">
        <f aca="false">IF(Tasks[[#This Row],[Task Name]]="",0,IF(AND(Tasks[[#This Row],[_IsLeaf]]=1,NOT(Tasks[[#This Row],[_IsMilestone]]),N(Tasks[[#This Row],[Progress]])&gt;0),Tasks[[#This Row],[Start]],0))</f>
        <v>0</v>
      </c>
      <c r="GO177" s="89" t="n">
        <f aca="false">IF(Tasks[[#This Row],[_DoneFrom]]=0,0,IF(Tasks[[#This Row],[Progress]]&gt;=1,Tasks[[#This Row],[Finish]],MAX(Tasks[[#This Row],[_DoneFrom]],Tasks[[#This Row],[Start]]+ROUND((Tasks[[#This Row],[Finish]]-Tasks[[#This Row],[Start]]+1)*Tasks[[#This Row],[Progress]],0)-1)))</f>
        <v>0</v>
      </c>
      <c r="GP177" s="89" t="n">
        <f aca="false">IF(Tasks[[#This Row],[Task Name]]="",0,IF(OR(NOT(Tasks[[#This Row],[_IsLeaf]]=1),Tasks[[#This Row],[_IsMilestone]],N(Tasks[[#This Row],[Progress]])&gt;=1),0,IF(Tasks[[#This Row],[_DoneTo]]&gt;0,Tasks[[#This Row],[_DoneTo]]+1,Tasks[[#This Row],[Start]])))</f>
        <v>0</v>
      </c>
      <c r="GQ177" s="89" t="n">
        <f aca="false">IF(Tasks[[#This Row],[_RemFrom]]=0,0,Tasks[[#This Row],[Finish]])</f>
        <v>0</v>
      </c>
      <c r="GR177" s="88" t="b">
        <f aca="false">IF(Tasks[[#This Row],[Task Name]]="",FALSE(),OR(NOT(BaselineSet),N(Tasks[[#This Row],[Baseline Start]])&gt;0))</f>
        <v>0</v>
      </c>
      <c r="GS17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7" s="90" t="str">
        <f aca="false">IF(Tasks[[#This Row],[_IsLeaf]]=1,Tasks[[#This Row],[_Row]],"")</f>
        <v/>
      </c>
      <c r="GW177" s="90" t="str">
        <f aca="false">IFERROR(INDEX(Tasks[UID],SMALL(Tasks[_PickKey],Tasks[[#This Row],[_Row]]))&amp;" "&amp;INDEX(Tasks[Task Name],SMALL(Tasks[_PickKey],Tasks[[#This Row],[_Row]])),"")</f>
        <v/>
      </c>
      <c r="GX177" s="42" t="str">
        <f aca="false">IF(Tasks[[#This Row],[Task Name]]="","",IF(Tasks[[#This Row],[_IsSummary]],NETWORKDAYS.INTL(Tasks[[#This Row],[Start]],Tasks[[#This Row],[Finish]],WorkWeek,Holidays),N(Tasks[[#This Row],[_Days]])))</f>
        <v/>
      </c>
    </row>
    <row r="178" customFormat="false" ht="15" hidden="false" customHeight="false" outlineLevel="0" collapsed="false">
      <c r="A178" s="21" t="str">
        <f aca="false">IF(Tasks[[#This Row],[Task Name]]="","",COUNTA(Tasks[[#Headers],[Task Name]]:Tasks[[#This Row],[Task Name]])-1)</f>
        <v/>
      </c>
      <c r="B178" s="22" t="n">
        <v>186</v>
      </c>
      <c r="C178" s="22"/>
      <c r="D178" s="23"/>
      <c r="E178" s="22"/>
      <c r="F178" s="23"/>
      <c r="G178" s="22"/>
      <c r="H178" s="22"/>
      <c r="I178" s="23"/>
      <c r="J178" s="22"/>
      <c r="K178" s="22"/>
      <c r="L178" s="23"/>
      <c r="M178" s="22"/>
      <c r="N178" s="22"/>
      <c r="O178" s="23"/>
      <c r="P178" s="22"/>
      <c r="Q178" s="22"/>
      <c r="R178" s="23"/>
      <c r="S178" s="23"/>
      <c r="T178" s="83"/>
      <c r="U178" s="23"/>
      <c r="V178" s="83"/>
      <c r="W178" s="23"/>
      <c r="X178" s="83"/>
      <c r="Y178" s="23"/>
      <c r="Z178" s="83"/>
      <c r="AA178" s="23"/>
      <c r="AB178" s="23"/>
      <c r="AC178" s="7"/>
      <c r="AD178" s="7"/>
      <c r="AE178" s="62" t="str">
        <f aca="false">IF(Tasks[[#This Row],[Task Name]]="","",IF(Tasks[[#This Row],[_IsSummary]],MIN(INDEX(Tasks[_ShownFcstStart],Tasks[[#This Row],[_Row]]+1):INDEX(Tasks[_ShownFcstStart],Tasks[[#This Row],[_Row]]+Tasks[[#This Row],[_Descendants]])),Tasks[[#This Row],[_ShownFcstStart]]))</f>
        <v/>
      </c>
      <c r="AF178" s="62" t="str">
        <f aca="false">IF(Tasks[[#This Row],[Task Name]]="","",IF(Tasks[[#This Row],[_IsSummary]],MAX(INDEX(Tasks[_ShownFcstFinish],Tasks[[#This Row],[_Row]]+1):INDEX(Tasks[_ShownFcstFinish],Tasks[[#This Row],[_Row]]+Tasks[[#This Row],[_Descendants]])),Tasks[[#This Row],[_ShownFcstFinish]]))</f>
        <v/>
      </c>
      <c r="AG178" s="21" t="str">
        <f aca="false">""</f>
        <v/>
      </c>
      <c r="AH178" s="23"/>
      <c r="AI17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8" s="7"/>
      <c r="AK178" s="22"/>
      <c r="AL178" s="23"/>
      <c r="AM178" s="7"/>
      <c r="AN178" s="46" t="str">
        <f aca="false">IF(Tasks[[#This Row],[Task Name]]="","",IF(Tasks[[#This Row],[Finish]]&gt;=Tasks[[#This Row],[Planned Finish]],NETWORKDAYS.INTL(Tasks[[#This Row],[Planned Finish]],Tasks[[#This Row],[Finish]],WorkWeek,Holidays)-1,1-NETWORKDAYS.INTL(Tasks[[#This Row],[Finish]],Tasks[[#This Row],[Planned Finish]],WorkWeek,Holidays)))</f>
        <v/>
      </c>
      <c r="AO178" s="21" t="str">
        <f aca="false">IF(Tasks[[#This Row],[Task Name]]="","",IF(Tasks[[#This Row],[Progress]]&gt;=1,"Complete",IF(OR(N(Tasks[[#This Row],[Actual Start]])&gt;0,Tasks[[#This Row],[Progress]]&gt;0),IF(Tasks[[#This Row],[Finish Var]]&gt;0,"Behind","In Progress"),IF(Tasks[[#This Row],[Planned Start]]&lt;StatusDate,"Late Start","Not Started"))))</f>
        <v/>
      </c>
      <c r="AP178" s="21" t="str">
        <f aca="false">IF(Tasks[[#This Row],[Task Name]]="","",IF(IF(Tasks[[#This Row],[_IsSummary]],COUNTIF(INDEX(Tasks[_LeafCritical],Tasks[[#This Row],[_Row]]+1):INDEX(Tasks[_LeafCritical],Tasks[[#This Row],[_Row]]+Tasks[[#This Row],[_Descendants]]),TRUE())&gt;0,Tasks[[#This Row],[_LeafCritical]]),"Yes",""))</f>
        <v/>
      </c>
      <c r="AQ178" s="62" t="str">
        <f aca="false">IF(Tasks[[#This Row],[Task Name]]="","",IF(N(Tasks[[#This Row],[Baseline Start]])&gt;0,Tasks[[#This Row],[Baseline Start]],Tasks[[#This Row],[_CalcStart]]))</f>
        <v/>
      </c>
      <c r="AR178" s="62" t="str">
        <f aca="false">IF(Tasks[[#This Row],[Task Name]]="","",IF(N(Tasks[[#This Row],[Baseline Finish]])&gt;0,Tasks[[#This Row],[Baseline Finish]],Tasks[[#This Row],[_CalcFinish]]))</f>
        <v/>
      </c>
      <c r="AS178" s="46" t="str">
        <f aca="false">IF(Tasks[[#This Row],[Task Name]]="","",IF(Tasks[[#This Row],[Start]]&gt;=Tasks[[#This Row],[Planned Start]],NETWORKDAYS.INTL(Tasks[[#This Row],[Planned Start]],Tasks[[#This Row],[Start]],WorkWeek,Holidays)-1,1-NETWORKDAYS.INTL(Tasks[[#This Row],[Start]],Tasks[[#This Row],[Planned Start]],WorkWeek,Holidays)))</f>
        <v/>
      </c>
      <c r="AT178" s="62" t="str">
        <f aca="false">IF(Tasks[[#This Row],[Task Name]]="","",IF(Tasks[[#This Row],[_IsSummary]],MIN(INDEX(Tasks[_LeafLateStart],Tasks[[#This Row],[_Row]]+1):INDEX(Tasks[_LeafLateStart],Tasks[[#This Row],[_Row]]+Tasks[[#This Row],[_Descendants]])),Tasks[[#This Row],[_LeafLateStart]]))</f>
        <v/>
      </c>
      <c r="AU178" s="62" t="str">
        <f aca="false">IF(Tasks[[#This Row],[Task Name]]="","",IF(Tasks[[#This Row],[_IsSummary]],MAX(INDEX(Tasks[_LeafLateFinish],Tasks[[#This Row],[_Row]]+1):INDEX(Tasks[_LeafLateFinish],Tasks[[#This Row],[_Row]]+Tasks[[#This Row],[_Descendants]])),Tasks[[#This Row],[_LeafLateFinish]]))</f>
        <v/>
      </c>
      <c r="AV178" s="46" t="str">
        <f aca="false">IF(Tasks[[#This Row],[Task Name]]="","",IF(Tasks[[#This Row],[_IsSummary]],MIN(INDEX(Tasks[_LeafTotalSlack],Tasks[[#This Row],[_Row]]+1):INDEX(Tasks[_LeafTotalSlack],Tasks[[#This Row],[_Row]]+Tasks[[#This Row],[_Descendants]])),Tasks[[#This Row],[_LeafTotalSlack]]))</f>
        <v/>
      </c>
      <c r="AW17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4"/>
      <c r="BA17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t="str">
        <f aca="false">IF(Tasks[[#This Row],[Task Name]]="","",IF(Tasks[[#This Row],[_Level]]&lt;=OutlineShowLevel,"Yes","No"))</f>
        <v/>
      </c>
      <c r="BE178" s="85" t="str">
        <f aca="false">IF(Tasks[[#This Row],[Task Name]]="","",IF(Tasks[[#This Row],[_IsSummary]],SUM(INDEX(Tasks[_LeafTotalWork],Tasks[[#This Row],[_Row]]+1):INDEX(Tasks[_LeafTotalWork],Tasks[[#This Row],[_Row]]+Tasks[[#This Row],[_Descendants]])),Tasks[[#This Row],[_LeafTotalWork]]))</f>
        <v/>
      </c>
      <c r="BF178" s="23"/>
      <c r="BG17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t="str">
        <f aca="false">""</f>
        <v/>
      </c>
      <c r="BI178" s="86"/>
      <c r="BJ178" s="22"/>
      <c r="BK178" s="46" t="str">
        <f aca="false">IF(OR(Tasks[[#This Row],[Task Name]]="",Tasks[[#This Row],[Baseline Duration]]=""),"",Tasks[[#This Row],[_SpanDays]]-N(Tasks[[#This Row],[Baseline Duration]]))</f>
        <v/>
      </c>
      <c r="BL178" s="85" t="str">
        <f aca="false">IF(OR(Tasks[[#This Row],[Task Name]]="",Tasks[[#This Row],[Baseline Work]]=""),"",Tasks[[#This Row],[Work]]-N(Tasks[[#This Row],[Baseline Work]]))</f>
        <v/>
      </c>
      <c r="BM178" s="62" t="str">
        <f aca="false">IF(Tasks[[#This Row],[Task Name]]="","",IF(OR(TakeBaseline="Yes",N(Tasks[[#This Row],[Baseline Start]])=0),Tasks[[#This Row],[Start]],Tasks[[#This Row],[Baseline Start]]))</f>
        <v/>
      </c>
      <c r="BN178" s="62" t="str">
        <f aca="false">IF(Tasks[[#This Row],[Task Name]]="","",IF(OR(TakeBaseline="Yes",N(Tasks[[#This Row],[Baseline Finish]])=0),Tasks[[#This Row],[Finish]],Tasks[[#This Row],[Baseline Finish]]))</f>
        <v/>
      </c>
      <c r="BO178" s="21" t="str">
        <f aca="false">IF(Tasks[[#This Row],[Task Name]]="","",IF(OR(TakeBaseline="Yes",N(Tasks[[#This Row],[Baseline Duration]])=0),Tasks[[#This Row],[_SpanDays]],Tasks[[#This Row],[Baseline Duration]]))</f>
        <v/>
      </c>
      <c r="BP178" s="85" t="str">
        <f aca="false">IF(Tasks[[#This Row],[Task Name]]="","",IF(OR(TakeBaseline="Yes",N(Tasks[[#This Row],[Baseline Work]])=0),Tasks[[#This Row],[Work]],Tasks[[#This Row],[Baseline Work]]))</f>
        <v/>
      </c>
      <c r="BQ178" s="7"/>
      <c r="BR178" s="7"/>
      <c r="BS178" s="22"/>
      <c r="BT178" s="87"/>
      <c r="BU178" s="42" t="str">
        <f aca="false">IF(Tasks[[#This Row],[Task Name]]="","",MAX(1,N(Tasks[[#This Row],[Level]])))</f>
        <v/>
      </c>
      <c r="BV178" s="42" t="n">
        <f aca="false">ROW()-ROW(Tasks[[#Headers],[ID]])</f>
        <v>173</v>
      </c>
      <c r="BW178" s="42" t="n">
        <f aca="false">IF(OR(Tasks[[#This Row],[Task Name]]="",Tasks[[#This Row],[_Level]]&lt;=1),0,IFERROR(LOOKUP(2,1/(Tasks[[#Headers],[_Level]]:Tasks[[#This Row],[_Level]]=Tasks[[#This Row],[_Level]]-1),ROW(Tasks[[#Headers],[_Level]]:Tasks[[#This Row],[_Level]])),0))</f>
        <v>0</v>
      </c>
      <c r="BX178" s="42" t="n">
        <f aca="false">IFERROR(N(INDEX(Tasks[_Level],Tasks[[#This Row],[_Row]]+1)),0)</f>
        <v>0</v>
      </c>
      <c r="BY178" s="88" t="b">
        <f aca="false">AND(Tasks[[#This Row],[Task Name]]&lt;&gt;"",Tasks[[#This Row],[_NextLevel]]&gt;Tasks[[#This Row],[_Level]])</f>
        <v>0</v>
      </c>
      <c r="BZ178" s="42" t="n">
        <f aca="false">IF(Tasks[[#This Row],[_IsSummary]],COUNTIF(Tasks[WBS],Tasks[[#This Row],[WBS]]&amp;".*"),0)</f>
        <v>0</v>
      </c>
      <c r="CA178" s="42" t="n">
        <f aca="false">IF(AND(Tasks[[#This Row],[Task Name]]&lt;&gt;"",NOT(Tasks[[#This Row],[_IsSummary]])),1,0)</f>
        <v>0</v>
      </c>
      <c r="CB178" s="42" t="n">
        <f aca="false">IF(N(Tasks[[#This Row],[_Pred1UID]])=0,0,IFERROR(MATCH(Tasks[[#This Row],[_Pred1UID]],Tasks[UID],0),-1))</f>
        <v>0</v>
      </c>
      <c r="CC178" s="42" t="n">
        <f aca="false">IF(N(Tasks[[#This Row],[_Pred2UID]])=0,0,IFERROR(MATCH(Tasks[[#This Row],[_Pred2UID]],Tasks[UID],0),-1))</f>
        <v>0</v>
      </c>
      <c r="CD178" s="42" t="n">
        <f aca="false">IF(N(Tasks[[#This Row],[_Pred3UID]])=0,0,IFERROR(MATCH(Tasks[[#This Row],[_Pred3UID]],Tasks[UID],0),-1))</f>
        <v>0</v>
      </c>
      <c r="CE178" s="42" t="n">
        <f aca="false">IF(N(Tasks[[#This Row],[_Pred4UID]])=0,0,IFERROR(MATCH(Tasks[[#This Row],[_Pred4UID]],Tasks[UID],0),-1))</f>
        <v>0</v>
      </c>
      <c r="CF17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8" s="89" t="n">
        <f aca="false">IF(OR(Tasks[[#This Row],[_ConstraintCode]]=2,Tasks[[#This Row],[_ConstraintCode]]=3,Tasks[[#This Row],[_ConstraintCode]]=4,Tasks[[#This Row],[_ConstraintCode]]=6),Tasks[[#This Row],[_ConstraintStart]],0)</f>
        <v>0</v>
      </c>
      <c r="CI178" s="89" t="n">
        <f aca="false">IF(OR(Tasks[[#This Row],[_ConstraintCode]]=2,Tasks[[#This Row],[_ConstraintCode]]=3,Tasks[[#This Row],[_ConstraintCode]]=5,Tasks[[#This Row],[_ConstraintCode]]=7),Tasks[[#This Row],[_ConstraintStart]],2958465)</f>
        <v>2958465</v>
      </c>
      <c r="CJ17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8" s="89" t="str">
        <f aca="false">IF(NOT(Tasks[[#This Row],[_IsLeaf]]=1),"",IF(N(Tasks[[#This Row],[_Days]])&lt;=0,Tasks[[#This Row],[_LeafCalcStart]],WORKDAY.INTL(Tasks[[#This Row],[_LeafCalcStart]],Tasks[[#This Row],[_Days]]-1,WorkWeek,Holidays)))</f>
        <v/>
      </c>
      <c r="CL17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8" s="42" t="str">
        <f aca="false">IF(Tasks[[#This Row],[_Predecessors]]="","",TRIM(MID(SUBSTITUTE(SUBSTITUTE(SUBSTITUTE(UPPER(Tasks[[#This Row],[_Predecessors]]),";",",")," ",""),",",REPT(" ",99)),1,99)))</f>
        <v/>
      </c>
      <c r="CO178" s="42" t="str">
        <f aca="false">IF(Tasks[[#This Row],[_Pred1Text]]="","",IFERROR(VALUE(LEFT(Tasks[[#This Row],[_Pred1Text]],MIN(FIND("F",Tasks[[#This Row],[_Pred1Text]]&amp;"F"),FIND("S",Tasks[[#This Row],[_Pred1Text]]&amp;"S"),FIND("+",Tasks[[#This Row],[_Pred1Text]]&amp;"+"),FIND("-",Tasks[[#This Row],[_Pred1Text]]&amp;"-"))-1)),""))</f>
        <v/>
      </c>
      <c r="CP17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8" s="42" t="str">
        <f aca="false">IF(Tasks[[#This Row],[_Pred1Text]]="","",TRIM(MID(SUBSTITUTE(SUBSTITUTE(SUBSTITUTE(UPPER(Tasks[[#This Row],[_Predecessors]]),";",",")," ",""),",",REPT(" ",99)),100,99)))</f>
        <v/>
      </c>
      <c r="CS178" s="42" t="str">
        <f aca="false">IF(Tasks[[#This Row],[_Pred2Text]]="","",IFERROR(VALUE(LEFT(Tasks[[#This Row],[_Pred2Text]],MIN(FIND("F",Tasks[[#This Row],[_Pred2Text]]&amp;"F"),FIND("S",Tasks[[#This Row],[_Pred2Text]]&amp;"S"),FIND("+",Tasks[[#This Row],[_Pred2Text]]&amp;"+"),FIND("-",Tasks[[#This Row],[_Pred2Text]]&amp;"-"))-1)),""))</f>
        <v/>
      </c>
      <c r="CT17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8" s="42" t="str">
        <f aca="false">IF(Tasks[[#This Row],[_Pred2Text]]="","",TRIM(MID(SUBSTITUTE(SUBSTITUTE(SUBSTITUTE(UPPER(Tasks[[#This Row],[_Predecessors]]),";",",")," ",""),",",REPT(" ",99)),199,99)))</f>
        <v/>
      </c>
      <c r="CW178" s="42" t="str">
        <f aca="false">IF(Tasks[[#This Row],[_Pred3Text]]="","",IFERROR(VALUE(LEFT(Tasks[[#This Row],[_Pred3Text]],MIN(FIND("F",Tasks[[#This Row],[_Pred3Text]]&amp;"F"),FIND("S",Tasks[[#This Row],[_Pred3Text]]&amp;"S"),FIND("+",Tasks[[#This Row],[_Pred3Text]]&amp;"+"),FIND("-",Tasks[[#This Row],[_Pred3Text]]&amp;"-"))-1)),""))</f>
        <v/>
      </c>
      <c r="CX17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8" s="42" t="str">
        <f aca="false">IF(Tasks[[#This Row],[_Pred3Text]]="","",TRIM(MID(SUBSTITUTE(SUBSTITUTE(SUBSTITUTE(UPPER(Tasks[[#This Row],[_Predecessors]]),";",",")," ",""),",",REPT(" ",99)),298,99)))</f>
        <v/>
      </c>
      <c r="DA178" s="42" t="str">
        <f aca="false">IF(Tasks[[#This Row],[_Pred4Text]]="","",IFERROR(VALUE(LEFT(Tasks[[#This Row],[_Pred4Text]],MIN(FIND("F",Tasks[[#This Row],[_Pred4Text]]&amp;"F"),FIND("S",Tasks[[#This Row],[_Pred4Text]]&amp;"S"),FIND("+",Tasks[[#This Row],[_Pred4Text]]&amp;"+"),FIND("-",Tasks[[#This Row],[_Pred4Text]]&amp;"-"))-1)),""))</f>
        <v/>
      </c>
      <c r="DB17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8" s="42" t="str">
        <f aca="false">IF(OR(Tasks[[#This Row],[Task Name]]="",Tasks[[#This Row],[_Resources]]=""),"",TRIM(MID(SUBSTITUTE(Tasks[[#This Row],[_Resources]],",",REPT(" ",99)),1,99)))</f>
        <v/>
      </c>
      <c r="DE178" s="42" t="str">
        <f aca="false">IF(Tasks[[#This Row],[_Res1Text]]="","",TRIM(MID(SUBSTITUTE(Tasks[[#This Row],[_Resources]],",",REPT(" ",99)),100,99)))</f>
        <v/>
      </c>
      <c r="DF178" s="42" t="str">
        <f aca="false">IF(Tasks[[#This Row],[_Res2Text]]="","",TRIM(MID(SUBSTITUTE(Tasks[[#This Row],[_Resources]],",",REPT(" ",99)),199,99)))</f>
        <v/>
      </c>
      <c r="DG178" s="42" t="str">
        <f aca="false">IF(Tasks[[#This Row],[_Res3Text]]="","",TRIM(MID(SUBSTITUTE(Tasks[[#This Row],[_Resources]],",",REPT(" ",99)),298,99)))</f>
        <v/>
      </c>
      <c r="DH178" s="42" t="n">
        <f aca="false">IF(Tasks[[#This Row],[_Res1Text]]="",0,IFERROR(MATCH(TRIM(LEFT(Tasks[[#This Row],[_Res1Text]],FIND("[",Tasks[[#This Row],[_Res1Text]]&amp;"[")-1)),res_Name,0),IFERROR(MATCH(TRIM(LEFT(Tasks[[#This Row],[_Res1Text]],FIND("[",Tasks[[#This Row],[_Res1Text]]&amp;"[")-1)),res_Initials,0),0)))</f>
        <v>0</v>
      </c>
      <c r="DI178" s="42" t="n">
        <f aca="false">IF(Tasks[[#This Row],[_Res2Text]]="",0,IFERROR(MATCH(TRIM(LEFT(Tasks[[#This Row],[_Res2Text]],FIND("[",Tasks[[#This Row],[_Res2Text]]&amp;"[")-1)),res_Name,0),IFERROR(MATCH(TRIM(LEFT(Tasks[[#This Row],[_Res2Text]],FIND("[",Tasks[[#This Row],[_Res2Text]]&amp;"[")-1)),res_Initials,0),0)))</f>
        <v>0</v>
      </c>
      <c r="DJ178" s="42" t="n">
        <f aca="false">IF(Tasks[[#This Row],[_Res3Text]]="",0,IFERROR(MATCH(TRIM(LEFT(Tasks[[#This Row],[_Res3Text]],FIND("[",Tasks[[#This Row],[_Res3Text]]&amp;"[")-1)),res_Name,0),IFERROR(MATCH(TRIM(LEFT(Tasks[[#This Row],[_Res3Text]],FIND("[",Tasks[[#This Row],[_Res3Text]]&amp;"[")-1)),res_Initials,0),0)))</f>
        <v>0</v>
      </c>
      <c r="DK178" s="42" t="n">
        <f aca="false">IF(Tasks[[#This Row],[_Res4Text]]="",0,IFERROR(MATCH(TRIM(LEFT(Tasks[[#This Row],[_Res4Text]],FIND("[",Tasks[[#This Row],[_Res4Text]]&amp;"[")-1)),res_Name,0),IFERROR(MATCH(TRIM(LEFT(Tasks[[#This Row],[_Res4Text]],FIND("[",Tasks[[#This Row],[_Res4Text]]&amp;"[")-1)),res_Initials,0),0)))</f>
        <v>0</v>
      </c>
      <c r="DL178" s="42" t="str">
        <f aca="false">IF(Tasks[[#This Row],[_Res1Text]]="","",IF(Tasks[[#This Row],[_Res1Row]]&gt;0,INDEX(res_Name,Tasks[[#This Row],[_Res1Row]]),TRIM(LEFT(Tasks[[#This Row],[_Res1Text]],FIND("[",Tasks[[#This Row],[_Res1Text]]&amp;"[")-1))))</f>
        <v/>
      </c>
      <c r="DM17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8" s="42" t="n">
        <f aca="false">IF(NOT(Tasks[[#This Row],[_IsLeaf]]=1),0,(Tasks[[#This Row],[_Resource1]]&lt;&gt;"")+(Tasks[[#This Row],[_Res2]]&lt;&gt;"")+(Tasks[[#This Row],[_Res3]]&lt;&gt;"")+(Tasks[[#This Row],[_Res4]]&lt;&gt;""))</f>
        <v>0</v>
      </c>
      <c r="DO178" s="42" t="str">
        <f aca="false">IF(Tasks[[#This Row],[_Res2Text]]="","",IF(Tasks[[#This Row],[_Res2Row]]&gt;0,INDEX(res_Name,Tasks[[#This Row],[_Res2Row]]),TRIM(LEFT(Tasks[[#This Row],[_Res2Text]],FIND("[",Tasks[[#This Row],[_Res2Text]]&amp;"[")-1))))</f>
        <v/>
      </c>
      <c r="DP17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8" s="42" t="n">
        <f aca="false">IF(OR(NOT(Tasks[[#This Row],[_IsLeaf]]=1),Tasks[[#This Row],[_Res2Row]]=0),0,N(Tasks[[#This Row],[_Days]])*HoursPerDay*IF(Tasks[[#This Row],[_Res2Units]]="",DefaultUnits,Tasks[[#This Row],[_Res2Units]]))</f>
        <v>0</v>
      </c>
      <c r="DR178" s="42" t="n">
        <f aca="false">IF(AND(AND(Tasks[[#This Row],[_IsLeaf]]=1,Tasks[[#This Row],[_LeafTotalWork]]&gt;0),Tasks[[#This Row],[_Res2Work]]&gt;0),Tasks[[#This Row],[_Res2Work]]/(Tasks[[#This Row],[_FinishWorkday]]-Tasks[[#This Row],[_StartWorkday]]+1),0)</f>
        <v>0</v>
      </c>
      <c r="DS178" s="42" t="n">
        <f aca="false">Tasks[[#This Row],[_Res2WorkPerWD]]*MAX(0,Tasks[[#This Row],[_StartWorkday]]-1)</f>
        <v>0</v>
      </c>
      <c r="DT178" s="42" t="n">
        <f aca="false">Tasks[[#This Row],[_Res2Work]]*Tasks[[#This Row],[_LeafProgress]]</f>
        <v>0</v>
      </c>
      <c r="DU178" s="42" t="str">
        <f aca="false">IF(Tasks[[#This Row],[_Res3Text]]="","",IF(Tasks[[#This Row],[_Res3Row]]&gt;0,INDEX(res_Name,Tasks[[#This Row],[_Res3Row]]),TRIM(LEFT(Tasks[[#This Row],[_Res3Text]],FIND("[",Tasks[[#This Row],[_Res3Text]]&amp;"[")-1))))</f>
        <v/>
      </c>
      <c r="DV17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8" s="42" t="n">
        <f aca="false">IF(OR(NOT(Tasks[[#This Row],[_IsLeaf]]=1),Tasks[[#This Row],[_Res3Row]]=0),0,N(Tasks[[#This Row],[_Days]])*HoursPerDay*IF(Tasks[[#This Row],[_Res3Units]]="",DefaultUnits,Tasks[[#This Row],[_Res3Units]]))</f>
        <v>0</v>
      </c>
      <c r="DX178" s="42" t="n">
        <f aca="false">IF(AND(AND(Tasks[[#This Row],[_IsLeaf]]=1,Tasks[[#This Row],[_LeafTotalWork]]&gt;0),Tasks[[#This Row],[_Res3Work]]&gt;0),Tasks[[#This Row],[_Res3Work]]/(Tasks[[#This Row],[_FinishWorkday]]-Tasks[[#This Row],[_StartWorkday]]+1),0)</f>
        <v>0</v>
      </c>
      <c r="DY178" s="42" t="n">
        <f aca="false">Tasks[[#This Row],[_Res3WorkPerWD]]*MAX(0,Tasks[[#This Row],[_StartWorkday]]-1)</f>
        <v>0</v>
      </c>
      <c r="DZ178" s="42" t="n">
        <f aca="false">Tasks[[#This Row],[_Res3Work]]*Tasks[[#This Row],[_LeafProgress]]</f>
        <v>0</v>
      </c>
      <c r="EA178" s="42" t="str">
        <f aca="false">IF(Tasks[[#This Row],[_Res4Text]]="","",IF(Tasks[[#This Row],[_Res4Row]]&gt;0,INDEX(res_Name,Tasks[[#This Row],[_Res4Row]]),TRIM(LEFT(Tasks[[#This Row],[_Res4Text]],FIND("[",Tasks[[#This Row],[_Res4Text]]&amp;"[")-1))))</f>
        <v/>
      </c>
      <c r="EB17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8" s="42" t="n">
        <f aca="false">IF(OR(NOT(Tasks[[#This Row],[_IsLeaf]]=1),Tasks[[#This Row],[_Res4Row]]=0),0,N(Tasks[[#This Row],[_Days]])*HoursPerDay*IF(Tasks[[#This Row],[_Res4Units]]="",DefaultUnits,Tasks[[#This Row],[_Res4Units]]))</f>
        <v>0</v>
      </c>
      <c r="ED178" s="42" t="n">
        <f aca="false">IF(AND(AND(Tasks[[#This Row],[_IsLeaf]]=1,Tasks[[#This Row],[_LeafTotalWork]]&gt;0),Tasks[[#This Row],[_Res4Work]]&gt;0),Tasks[[#This Row],[_Res4Work]]/(Tasks[[#This Row],[_FinishWorkday]]-Tasks[[#This Row],[_StartWorkday]]+1),0)</f>
        <v>0</v>
      </c>
      <c r="EE178" s="42" t="n">
        <f aca="false">Tasks[[#This Row],[_Res4WorkPerWD]]*MAX(0,Tasks[[#This Row],[_StartWorkday]]-1)</f>
        <v>0</v>
      </c>
      <c r="EF178" s="42" t="n">
        <f aca="false">Tasks[[#This Row],[_Res4Work]]*Tasks[[#This Row],[_LeafProgress]]</f>
        <v>0</v>
      </c>
      <c r="EG178" s="42" t="n">
        <f aca="false">IF(ISNUMBER(Tasks[[#This Row],[% Complete]]),Tasks[[#This Row],[% Complete]],IF(Tasks[[#This Row],[Stage]]="",0,IFERROR(INDEX(stg_Pct,MATCH(Tasks[[#This Row],[Stage]],stg_Name,0)),0)))</f>
        <v>0</v>
      </c>
      <c r="EH178" s="42" t="n">
        <f aca="false">IF(NOT(Tasks[[#This Row],[_IsLeaf]]=1),0,IF(N(Tasks[[#This Row],[Actual Finish]])&gt;0,1,MIN(1,Tasks[[#This Row],[_Pct]])))</f>
        <v>0</v>
      </c>
      <c r="EI178" s="42" t="n">
        <f aca="false">IF(OR(NOT(Tasks[[#This Row],[_IsLeaf]]=1),Tasks[[#This Row],[_Res1Row]]=0),0,N(Tasks[[#This Row],[_Days]])*HoursPerDay*IF(Tasks[[#This Row],[_Units1]]="",DefaultUnits,Tasks[[#This Row],[_Units1]]))</f>
        <v>0</v>
      </c>
      <c r="EJ178" s="42" t="n">
        <f aca="false">Tasks[[#This Row],[_LeafWork]]+Tasks[[#This Row],[_Res2Work]]+Tasks[[#This Row],[_Res3Work]]+Tasks[[#This Row],[_Res4Work]]</f>
        <v>0</v>
      </c>
      <c r="EK17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8" s="42" t="n">
        <f aca="false">IF(NOT(Tasks[[#This Row],[_IsLeaf]]=1),0,MAX(_xlfn.MAXIFS(Tasks[_Row],Tasks[_Pred1UID],Tasks[[#This Row],[UID]]),_xlfn.MAXIFS(Tasks[_Row],Tasks[_Pred2UID],Tasks[[#This Row],[UID]]),_xlfn.MAXIFS(Tasks[_Row],Tasks[_Pred3UID],Tasks[[#This Row],[UID]]),_xlfn.MAXIFS(Tasks[_Row],Tasks[_Pred4UID],Tasks[[#This Row],[UID]])))</f>
        <v>0</v>
      </c>
      <c r="ET17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8" s="89" t="str">
        <f aca="false">IF(NOT(Tasks[[#This Row],[_IsLeaf]]=1),"",IF(N(Tasks[[#This Row],[_Days]])&lt;=0,Tasks[[#This Row],[_LeafLateFinish]],WORKDAY.INTL(Tasks[[#This Row],[_LeafLateFinish]],-(Tasks[[#This Row],[_Days]]-1),WorkWeek,Holidays)))</f>
        <v/>
      </c>
      <c r="EW17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8" s="88" t="b">
        <f aca="false">AND(Tasks[[#This Row],[_IsLeaf]]=1,Tasks[[#This Row],[_LeafProgress]]&lt;1,N(Tasks[[#This Row],[_LeafTotalSlack]])&lt;=CriticalSlackDays)</f>
        <v>0</v>
      </c>
      <c r="EY178" s="42" t="n">
        <f aca="false">IF(AND(Tasks[[#This Row],[_IsLeaf]]=1,Tasks[[#This Row],[_ConstraintCode]]=1,Tasks[[#This Row],[Mode]]&lt;&gt;"Manual",N(Tasks[[#This Row],[Actual Start]])=0),MAX(0,N(Tasks[[#This Row],[Free Slack]])),0)</f>
        <v>0</v>
      </c>
      <c r="EZ178" s="89" t="str">
        <f aca="false">IF(NOT(Tasks[[#This Row],[_IsLeaf]]=1),"",IF(Tasks[[#This Row],[_AlapShift]]=0,Tasks[[#This Row],[_LeafCalcStart]],WORKDAY.INTL(Tasks[[#This Row],[_LeafCalcStart]],Tasks[[#This Row],[_AlapShift]],WorkWeek,Holidays)))</f>
        <v/>
      </c>
      <c r="FA178" s="89" t="str">
        <f aca="false">IF(NOT(Tasks[[#This Row],[_IsLeaf]]=1),"",IF(Tasks[[#This Row],[_AlapShift]]=0,Tasks[[#This Row],[_LeafCalcFinish]],WORKDAY.INTL(Tasks[[#This Row],[_LeafCalcFinish]],Tasks[[#This Row],[_AlapShift]],WorkWeek,Holidays)))</f>
        <v/>
      </c>
      <c r="FB178" s="89" t="str">
        <f aca="false">IF(NOT(Tasks[[#This Row],[_IsLeaf]]=1),"",IF(Tasks[[#This Row],[_AlapShift]]=0,Tasks[[#This Row],[_LeafFcstStart]],WORKDAY.INTL(Tasks[[#This Row],[_LeafFcstStart]],Tasks[[#This Row],[_AlapShift]],WorkWeek,Holidays)))</f>
        <v/>
      </c>
      <c r="FC178" s="89" t="str">
        <f aca="false">IF(NOT(Tasks[[#This Row],[_IsLeaf]]=1),"",IF(Tasks[[#This Row],[_AlapShift]]=0,Tasks[[#This Row],[_LeafFcstFinish]],WORKDAY.INTL(Tasks[[#This Row],[_LeafFcstFinish]],Tasks[[#This Row],[_AlapShift]],WorkWeek,Holidays)))</f>
        <v/>
      </c>
      <c r="FD178" s="89" t="str">
        <f aca="false">IF(Tasks[[#This Row],[Task Name]]="","",IF(Tasks[[#This Row],[_IsSummary]],MIN(INDEX(Tasks[_ShownCalcStart],Tasks[[#This Row],[_Row]]+1):INDEX(Tasks[_ShownCalcStart],Tasks[[#This Row],[_Row]]+Tasks[[#This Row],[_Descendants]])),Tasks[[#This Row],[_ShownCalcStart]]))</f>
        <v/>
      </c>
      <c r="FE178" s="89" t="str">
        <f aca="false">IF(Tasks[[#This Row],[Task Name]]="","",IF(Tasks[[#This Row],[_IsSummary]],MAX(INDEX(Tasks[_ShownCalcFinish],Tasks[[#This Row],[_Row]]+1):INDEX(Tasks[_ShownCalcFinish],Tasks[[#This Row],[_Row]]+Tasks[[#This Row],[_Descendants]])),Tasks[[#This Row],[_ShownCalcFinish]]))</f>
        <v/>
      </c>
      <c r="FF17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8" s="42" t="n">
        <f aca="false">IF(AND(Tasks[[#This Row],[_IsLeaf]]=1,Tasks[[#This Row],[_LeafTotalWork]]&gt;0),NETWORKDAYS.INTL(ProjectStart,Tasks[[#This Row],[_ShownFcstStart]],WorkWeek,Holidays),0)</f>
        <v>0</v>
      </c>
      <c r="FS178" s="42" t="n">
        <f aca="false">IF(AND(Tasks[[#This Row],[_IsLeaf]]=1,Tasks[[#This Row],[_LeafTotalWork]]&gt;0),MAX(Tasks[[#This Row],[_StartWorkday]],NETWORKDAYS.INTL(ProjectStart,Tasks[[#This Row],[_ShownFcstFinish]],WorkWeek,Holidays)),0)</f>
        <v>0</v>
      </c>
      <c r="FT178" s="42" t="n">
        <f aca="false">IF(AND(Tasks[[#This Row],[_IsLeaf]]=1,Tasks[[#This Row],[_LeafTotalWork]]&gt;0),Tasks[[#This Row],[_LeafWork]]/(Tasks[[#This Row],[_FinishWorkday]]-Tasks[[#This Row],[_StartWorkday]]+1),0)</f>
        <v>0</v>
      </c>
      <c r="FU178" s="42" t="n">
        <f aca="false">Tasks[[#This Row],[_WorkPerWorkday]]*(Tasks[[#This Row],[_StartWorkday]]-1)</f>
        <v>-0</v>
      </c>
      <c r="FV178" s="42" t="n">
        <f aca="false">IF(Tasks[[#This Row],[_IsLeaf]]=1,MAX(N(Tasks[[#This Row],[_Days]]),0.1),0)</f>
        <v>0</v>
      </c>
      <c r="FW178" s="42" t="n">
        <f aca="false">Tasks[[#This Row],[_WeightDur]]*Tasks[[#This Row],[_LeafProgress]]</f>
        <v>0</v>
      </c>
      <c r="FX178" s="42" t="n">
        <f aca="false">Tasks[[#This Row],[_WeightDur]]*Tasks[[#This Row],[_PlannedPct]]</f>
        <v>0</v>
      </c>
      <c r="FY17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8" s="42" t="str">
        <f aca="false">IF(AND(Tasks[[#This Row],[_IsLeaf]]=1,N(Tasks[[#This Row],[_Days]])=0,Tasks[[#This Row],[_LeafProgress]]&lt;1),Tasks[[#This Row],[_ShownFcstFinish]]+Tasks[[#This Row],[_Row]]/100000,"")</f>
        <v/>
      </c>
      <c r="GA17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8" s="42" t="str">
        <f aca="false">IF(Tasks[[#This Row],[Task Name]]="","",LEFT(Tasks[[#This Row],[WBS]],FIND(".",Tasks[[#This Row],[WBS]]&amp;".")-1))</f>
        <v/>
      </c>
      <c r="GC178" s="42" t="str">
        <f aca="false">IF(AND(Tasks[[#This Row],[Task Name]]&lt;&gt;"",Tasks[[#This Row],[_Level]]=1),Tasks[[#This Row],[_Row]],"")</f>
        <v/>
      </c>
      <c r="GD178" s="42" t="str">
        <f aca="false">IF(AND(Tasks[[#This Row],[_IsLeaf]]=1,N(Tasks[[#This Row],[_Days]])=0),Tasks[[#This Row],[Planned Finish]]+Tasks[[#This Row],[_Row]]/100000,"")</f>
        <v/>
      </c>
      <c r="GE178" s="42" t="str">
        <f aca="false">IF(AND(Tasks[[#This Row],[_IsLeaf]]=1,Tasks[[#This Row],[_LeafProgress]]&lt;1,OR(N(Tasks[[#This Row],[Finish Var]])&gt;0,Tasks[[#This Row],[Status]]="Late Start")),MAX(0,Tasks[[#This Row],[Finish Var]])+1-Tasks[[#This Row],[_Row]]/1000000,"")</f>
        <v/>
      </c>
      <c r="GF178" s="42" t="str">
        <f aca="false">IF(AND(Tasks[[#This Row],[_IsLeaf]]=1,N(Tasks[[#This Row],[Actual Start]])=0,Tasks[[#This Row],[_ShownFcstStart]]&gt;=StatusDate,Tasks[[#This Row],[_ShownFcstStart]]&lt;=LookaheadEnd),Tasks[[#This Row],[_ShownFcstStart]]+Tasks[[#This Row],[_Row]]/100000,"")</f>
        <v/>
      </c>
      <c r="GG178" s="42" t="str">
        <f aca="false">IF(AND(Tasks[[#This Row],[_IsLeaf]]=1,Tasks[[#This Row],[_LeafProgress]]&lt;1,Tasks[[#This Row],[_ShownFcstFinish]]&gt;=StatusDate,Tasks[[#This Row],[_ShownFcstFinish]]&lt;=LookaheadEnd),Tasks[[#This Row],[_ShownFcstFinish]]+Tasks[[#This Row],[_Row]]/100000,"")</f>
        <v/>
      </c>
      <c r="GH178" s="42" t="str">
        <f aca="false">IF(Tasks[[#This Row],[_LeafCritical]],Tasks[[#This Row],[_ShownFcstStart]]+Tasks[[#This Row],[_Row]]/100000,"")</f>
        <v/>
      </c>
      <c r="GI178" s="42" t="n">
        <f aca="false">Tasks[[#This Row],[_LeafWork]]*Tasks[[#This Row],[_LeafProgress]]</f>
        <v>0</v>
      </c>
      <c r="GJ178" s="89" t="str">
        <f aca="false">IF(AND(Tasks[[#This Row],[_IsLeaf]]=1,Tasks[[#This Row],[_LeafProgress]]&gt;=1),IF(N(Tasks[[#This Row],[Actual Finish]])&gt;0,Tasks[[#This Row],[Actual Finish]],Tasks[[#This Row],[_ShownFcstFinish]]),"")</f>
        <v/>
      </c>
      <c r="GK178" s="42" t="n">
        <f aca="false">IF(Tasks[[#This Row],[_IsLeaf]]=1,N(Tasks[[#This Row],[Story Points]]),0)</f>
        <v>0</v>
      </c>
      <c r="GL178" s="42" t="str">
        <f aca="false">""</f>
        <v/>
      </c>
      <c r="GM178" s="88" t="b">
        <f aca="false">IF(Tasks[[#This Row],[Task Name]]="",FALSE(),AND(Tasks[[#This Row],[_IsLeaf]]=1,N(Tasks[[#This Row],[_Days]])=0))</f>
        <v>0</v>
      </c>
      <c r="GN178" s="89" t="n">
        <f aca="false">IF(Tasks[[#This Row],[Task Name]]="",0,IF(AND(Tasks[[#This Row],[_IsLeaf]]=1,NOT(Tasks[[#This Row],[_IsMilestone]]),N(Tasks[[#This Row],[Progress]])&gt;0),Tasks[[#This Row],[Start]],0))</f>
        <v>0</v>
      </c>
      <c r="GO178" s="89" t="n">
        <f aca="false">IF(Tasks[[#This Row],[_DoneFrom]]=0,0,IF(Tasks[[#This Row],[Progress]]&gt;=1,Tasks[[#This Row],[Finish]],MAX(Tasks[[#This Row],[_DoneFrom]],Tasks[[#This Row],[Start]]+ROUND((Tasks[[#This Row],[Finish]]-Tasks[[#This Row],[Start]]+1)*Tasks[[#This Row],[Progress]],0)-1)))</f>
        <v>0</v>
      </c>
      <c r="GP178" s="89" t="n">
        <f aca="false">IF(Tasks[[#This Row],[Task Name]]="",0,IF(OR(NOT(Tasks[[#This Row],[_IsLeaf]]=1),Tasks[[#This Row],[_IsMilestone]],N(Tasks[[#This Row],[Progress]])&gt;=1),0,IF(Tasks[[#This Row],[_DoneTo]]&gt;0,Tasks[[#This Row],[_DoneTo]]+1,Tasks[[#This Row],[Start]])))</f>
        <v>0</v>
      </c>
      <c r="GQ178" s="89" t="n">
        <f aca="false">IF(Tasks[[#This Row],[_RemFrom]]=0,0,Tasks[[#This Row],[Finish]])</f>
        <v>0</v>
      </c>
      <c r="GR178" s="88" t="b">
        <f aca="false">IF(Tasks[[#This Row],[Task Name]]="",FALSE(),OR(NOT(BaselineSet),N(Tasks[[#This Row],[Baseline Start]])&gt;0))</f>
        <v>0</v>
      </c>
      <c r="GS17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8" s="90" t="str">
        <f aca="false">IF(Tasks[[#This Row],[_IsLeaf]]=1,Tasks[[#This Row],[_Row]],"")</f>
        <v/>
      </c>
      <c r="GW178" s="90" t="str">
        <f aca="false">IFERROR(INDEX(Tasks[UID],SMALL(Tasks[_PickKey],Tasks[[#This Row],[_Row]]))&amp;" "&amp;INDEX(Tasks[Task Name],SMALL(Tasks[_PickKey],Tasks[[#This Row],[_Row]])),"")</f>
        <v/>
      </c>
      <c r="GX178" s="42" t="str">
        <f aca="false">IF(Tasks[[#This Row],[Task Name]]="","",IF(Tasks[[#This Row],[_IsSummary]],NETWORKDAYS.INTL(Tasks[[#This Row],[Start]],Tasks[[#This Row],[Finish]],WorkWeek,Holidays),N(Tasks[[#This Row],[_Days]])))</f>
        <v/>
      </c>
    </row>
    <row r="179" customFormat="false" ht="15" hidden="false" customHeight="false" outlineLevel="0" collapsed="false">
      <c r="A179" s="21" t="str">
        <f aca="false">IF(Tasks[[#This Row],[Task Name]]="","",COUNTA(Tasks[[#Headers],[Task Name]]:Tasks[[#This Row],[Task Name]])-1)</f>
        <v/>
      </c>
      <c r="B179" s="22" t="n">
        <v>187</v>
      </c>
      <c r="C179" s="22"/>
      <c r="D179" s="23"/>
      <c r="E179" s="22"/>
      <c r="F179" s="23"/>
      <c r="G179" s="22"/>
      <c r="H179" s="22"/>
      <c r="I179" s="23"/>
      <c r="J179" s="22"/>
      <c r="K179" s="22"/>
      <c r="L179" s="23"/>
      <c r="M179" s="22"/>
      <c r="N179" s="22"/>
      <c r="O179" s="23"/>
      <c r="P179" s="22"/>
      <c r="Q179" s="22"/>
      <c r="R179" s="23"/>
      <c r="S179" s="23"/>
      <c r="T179" s="83"/>
      <c r="U179" s="23"/>
      <c r="V179" s="83"/>
      <c r="W179" s="23"/>
      <c r="X179" s="83"/>
      <c r="Y179" s="23"/>
      <c r="Z179" s="83"/>
      <c r="AA179" s="23"/>
      <c r="AB179" s="23"/>
      <c r="AC179" s="7"/>
      <c r="AD179" s="7"/>
      <c r="AE179" s="62" t="str">
        <f aca="false">IF(Tasks[[#This Row],[Task Name]]="","",IF(Tasks[[#This Row],[_IsSummary]],MIN(INDEX(Tasks[_ShownFcstStart],Tasks[[#This Row],[_Row]]+1):INDEX(Tasks[_ShownFcstStart],Tasks[[#This Row],[_Row]]+Tasks[[#This Row],[_Descendants]])),Tasks[[#This Row],[_ShownFcstStart]]))</f>
        <v/>
      </c>
      <c r="AF179" s="62" t="str">
        <f aca="false">IF(Tasks[[#This Row],[Task Name]]="","",IF(Tasks[[#This Row],[_IsSummary]],MAX(INDEX(Tasks[_ShownFcstFinish],Tasks[[#This Row],[_Row]]+1):INDEX(Tasks[_ShownFcstFinish],Tasks[[#This Row],[_Row]]+Tasks[[#This Row],[_Descendants]])),Tasks[[#This Row],[_ShownFcstFinish]]))</f>
        <v/>
      </c>
      <c r="AG179" s="21" t="str">
        <f aca="false">""</f>
        <v/>
      </c>
      <c r="AH179" s="23"/>
      <c r="AI17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79" s="7"/>
      <c r="AK179" s="22"/>
      <c r="AL179" s="23"/>
      <c r="AM179" s="7"/>
      <c r="AN179" s="46" t="str">
        <f aca="false">IF(Tasks[[#This Row],[Task Name]]="","",IF(Tasks[[#This Row],[Finish]]&gt;=Tasks[[#This Row],[Planned Finish]],NETWORKDAYS.INTL(Tasks[[#This Row],[Planned Finish]],Tasks[[#This Row],[Finish]],WorkWeek,Holidays)-1,1-NETWORKDAYS.INTL(Tasks[[#This Row],[Finish]],Tasks[[#This Row],[Planned Finish]],WorkWeek,Holidays)))</f>
        <v/>
      </c>
      <c r="AO179" s="21" t="str">
        <f aca="false">IF(Tasks[[#This Row],[Task Name]]="","",IF(Tasks[[#This Row],[Progress]]&gt;=1,"Complete",IF(OR(N(Tasks[[#This Row],[Actual Start]])&gt;0,Tasks[[#This Row],[Progress]]&gt;0),IF(Tasks[[#This Row],[Finish Var]]&gt;0,"Behind","In Progress"),IF(Tasks[[#This Row],[Planned Start]]&lt;StatusDate,"Late Start","Not Started"))))</f>
        <v/>
      </c>
      <c r="AP179" s="21" t="str">
        <f aca="false">IF(Tasks[[#This Row],[Task Name]]="","",IF(IF(Tasks[[#This Row],[_IsSummary]],COUNTIF(INDEX(Tasks[_LeafCritical],Tasks[[#This Row],[_Row]]+1):INDEX(Tasks[_LeafCritical],Tasks[[#This Row],[_Row]]+Tasks[[#This Row],[_Descendants]]),TRUE())&gt;0,Tasks[[#This Row],[_LeafCritical]]),"Yes",""))</f>
        <v/>
      </c>
      <c r="AQ179" s="62" t="str">
        <f aca="false">IF(Tasks[[#This Row],[Task Name]]="","",IF(N(Tasks[[#This Row],[Baseline Start]])&gt;0,Tasks[[#This Row],[Baseline Start]],Tasks[[#This Row],[_CalcStart]]))</f>
        <v/>
      </c>
      <c r="AR179" s="62" t="str">
        <f aca="false">IF(Tasks[[#This Row],[Task Name]]="","",IF(N(Tasks[[#This Row],[Baseline Finish]])&gt;0,Tasks[[#This Row],[Baseline Finish]],Tasks[[#This Row],[_CalcFinish]]))</f>
        <v/>
      </c>
      <c r="AS179" s="46" t="str">
        <f aca="false">IF(Tasks[[#This Row],[Task Name]]="","",IF(Tasks[[#This Row],[Start]]&gt;=Tasks[[#This Row],[Planned Start]],NETWORKDAYS.INTL(Tasks[[#This Row],[Planned Start]],Tasks[[#This Row],[Start]],WorkWeek,Holidays)-1,1-NETWORKDAYS.INTL(Tasks[[#This Row],[Start]],Tasks[[#This Row],[Planned Start]],WorkWeek,Holidays)))</f>
        <v/>
      </c>
      <c r="AT179" s="62" t="str">
        <f aca="false">IF(Tasks[[#This Row],[Task Name]]="","",IF(Tasks[[#This Row],[_IsSummary]],MIN(INDEX(Tasks[_LeafLateStart],Tasks[[#This Row],[_Row]]+1):INDEX(Tasks[_LeafLateStart],Tasks[[#This Row],[_Row]]+Tasks[[#This Row],[_Descendants]])),Tasks[[#This Row],[_LeafLateStart]]))</f>
        <v/>
      </c>
      <c r="AU179" s="62" t="str">
        <f aca="false">IF(Tasks[[#This Row],[Task Name]]="","",IF(Tasks[[#This Row],[_IsSummary]],MAX(INDEX(Tasks[_LeafLateFinish],Tasks[[#This Row],[_Row]]+1):INDEX(Tasks[_LeafLateFinish],Tasks[[#This Row],[_Row]]+Tasks[[#This Row],[_Descendants]])),Tasks[[#This Row],[_LeafLateFinish]]))</f>
        <v/>
      </c>
      <c r="AV179" s="46" t="str">
        <f aca="false">IF(Tasks[[#This Row],[Task Name]]="","",IF(Tasks[[#This Row],[_IsSummary]],MIN(INDEX(Tasks[_LeafTotalSlack],Tasks[[#This Row],[_Row]]+1):INDEX(Tasks[_LeafTotalSlack],Tasks[[#This Row],[_Row]]+Tasks[[#This Row],[_Descendants]])),Tasks[[#This Row],[_LeafTotalSlack]]))</f>
        <v/>
      </c>
      <c r="AW17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4"/>
      <c r="BA17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t="str">
        <f aca="false">IF(Tasks[[#This Row],[Task Name]]="","",IF(Tasks[[#This Row],[_Level]]&lt;=OutlineShowLevel,"Yes","No"))</f>
        <v/>
      </c>
      <c r="BE179" s="85" t="str">
        <f aca="false">IF(Tasks[[#This Row],[Task Name]]="","",IF(Tasks[[#This Row],[_IsSummary]],SUM(INDEX(Tasks[_LeafTotalWork],Tasks[[#This Row],[_Row]]+1):INDEX(Tasks[_LeafTotalWork],Tasks[[#This Row],[_Row]]+Tasks[[#This Row],[_Descendants]])),Tasks[[#This Row],[_LeafTotalWork]]))</f>
        <v/>
      </c>
      <c r="BF179" s="23"/>
      <c r="BG17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t="str">
        <f aca="false">""</f>
        <v/>
      </c>
      <c r="BI179" s="86"/>
      <c r="BJ179" s="22"/>
      <c r="BK179" s="46" t="str">
        <f aca="false">IF(OR(Tasks[[#This Row],[Task Name]]="",Tasks[[#This Row],[Baseline Duration]]=""),"",Tasks[[#This Row],[_SpanDays]]-N(Tasks[[#This Row],[Baseline Duration]]))</f>
        <v/>
      </c>
      <c r="BL179" s="85" t="str">
        <f aca="false">IF(OR(Tasks[[#This Row],[Task Name]]="",Tasks[[#This Row],[Baseline Work]]=""),"",Tasks[[#This Row],[Work]]-N(Tasks[[#This Row],[Baseline Work]]))</f>
        <v/>
      </c>
      <c r="BM179" s="62" t="str">
        <f aca="false">IF(Tasks[[#This Row],[Task Name]]="","",IF(OR(TakeBaseline="Yes",N(Tasks[[#This Row],[Baseline Start]])=0),Tasks[[#This Row],[Start]],Tasks[[#This Row],[Baseline Start]]))</f>
        <v/>
      </c>
      <c r="BN179" s="62" t="str">
        <f aca="false">IF(Tasks[[#This Row],[Task Name]]="","",IF(OR(TakeBaseline="Yes",N(Tasks[[#This Row],[Baseline Finish]])=0),Tasks[[#This Row],[Finish]],Tasks[[#This Row],[Baseline Finish]]))</f>
        <v/>
      </c>
      <c r="BO179" s="21" t="str">
        <f aca="false">IF(Tasks[[#This Row],[Task Name]]="","",IF(OR(TakeBaseline="Yes",N(Tasks[[#This Row],[Baseline Duration]])=0),Tasks[[#This Row],[_SpanDays]],Tasks[[#This Row],[Baseline Duration]]))</f>
        <v/>
      </c>
      <c r="BP179" s="85" t="str">
        <f aca="false">IF(Tasks[[#This Row],[Task Name]]="","",IF(OR(TakeBaseline="Yes",N(Tasks[[#This Row],[Baseline Work]])=0),Tasks[[#This Row],[Work]],Tasks[[#This Row],[Baseline Work]]))</f>
        <v/>
      </c>
      <c r="BQ179" s="7"/>
      <c r="BR179" s="7"/>
      <c r="BS179" s="22"/>
      <c r="BT179" s="87"/>
      <c r="BU179" s="42" t="str">
        <f aca="false">IF(Tasks[[#This Row],[Task Name]]="","",MAX(1,N(Tasks[[#This Row],[Level]])))</f>
        <v/>
      </c>
      <c r="BV179" s="42" t="n">
        <f aca="false">ROW()-ROW(Tasks[[#Headers],[ID]])</f>
        <v>174</v>
      </c>
      <c r="BW179" s="42" t="n">
        <f aca="false">IF(OR(Tasks[[#This Row],[Task Name]]="",Tasks[[#This Row],[_Level]]&lt;=1),0,IFERROR(LOOKUP(2,1/(Tasks[[#Headers],[_Level]]:Tasks[[#This Row],[_Level]]=Tasks[[#This Row],[_Level]]-1),ROW(Tasks[[#Headers],[_Level]]:Tasks[[#This Row],[_Level]])),0))</f>
        <v>0</v>
      </c>
      <c r="BX179" s="42" t="n">
        <f aca="false">IFERROR(N(INDEX(Tasks[_Level],Tasks[[#This Row],[_Row]]+1)),0)</f>
        <v>0</v>
      </c>
      <c r="BY179" s="88" t="b">
        <f aca="false">AND(Tasks[[#This Row],[Task Name]]&lt;&gt;"",Tasks[[#This Row],[_NextLevel]]&gt;Tasks[[#This Row],[_Level]])</f>
        <v>0</v>
      </c>
      <c r="BZ179" s="42" t="n">
        <f aca="false">IF(Tasks[[#This Row],[_IsSummary]],COUNTIF(Tasks[WBS],Tasks[[#This Row],[WBS]]&amp;".*"),0)</f>
        <v>0</v>
      </c>
      <c r="CA179" s="42" t="n">
        <f aca="false">IF(AND(Tasks[[#This Row],[Task Name]]&lt;&gt;"",NOT(Tasks[[#This Row],[_IsSummary]])),1,0)</f>
        <v>0</v>
      </c>
      <c r="CB179" s="42" t="n">
        <f aca="false">IF(N(Tasks[[#This Row],[_Pred1UID]])=0,0,IFERROR(MATCH(Tasks[[#This Row],[_Pred1UID]],Tasks[UID],0),-1))</f>
        <v>0</v>
      </c>
      <c r="CC179" s="42" t="n">
        <f aca="false">IF(N(Tasks[[#This Row],[_Pred2UID]])=0,0,IFERROR(MATCH(Tasks[[#This Row],[_Pred2UID]],Tasks[UID],0),-1))</f>
        <v>0</v>
      </c>
      <c r="CD179" s="42" t="n">
        <f aca="false">IF(N(Tasks[[#This Row],[_Pred3UID]])=0,0,IFERROR(MATCH(Tasks[[#This Row],[_Pred3UID]],Tasks[UID],0),-1))</f>
        <v>0</v>
      </c>
      <c r="CE179" s="42" t="n">
        <f aca="false">IF(N(Tasks[[#This Row],[_Pred4UID]])=0,0,IFERROR(MATCH(Tasks[[#This Row],[_Pred4UID]],Tasks[UID],0),-1))</f>
        <v>0</v>
      </c>
      <c r="CF17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7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79" s="89" t="n">
        <f aca="false">IF(OR(Tasks[[#This Row],[_ConstraintCode]]=2,Tasks[[#This Row],[_ConstraintCode]]=3,Tasks[[#This Row],[_ConstraintCode]]=4,Tasks[[#This Row],[_ConstraintCode]]=6),Tasks[[#This Row],[_ConstraintStart]],0)</f>
        <v>0</v>
      </c>
      <c r="CI179" s="89" t="n">
        <f aca="false">IF(OR(Tasks[[#This Row],[_ConstraintCode]]=2,Tasks[[#This Row],[_ConstraintCode]]=3,Tasks[[#This Row],[_ConstraintCode]]=5,Tasks[[#This Row],[_ConstraintCode]]=7),Tasks[[#This Row],[_ConstraintStart]],2958465)</f>
        <v>2958465</v>
      </c>
      <c r="CJ17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79" s="89" t="str">
        <f aca="false">IF(NOT(Tasks[[#This Row],[_IsLeaf]]=1),"",IF(N(Tasks[[#This Row],[_Days]])&lt;=0,Tasks[[#This Row],[_LeafCalcStart]],WORKDAY.INTL(Tasks[[#This Row],[_LeafCalcStart]],Tasks[[#This Row],[_Days]]-1,WorkWeek,Holidays)))</f>
        <v/>
      </c>
      <c r="CL17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7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79" s="42" t="str">
        <f aca="false">IF(Tasks[[#This Row],[_Predecessors]]="","",TRIM(MID(SUBSTITUTE(SUBSTITUTE(SUBSTITUTE(UPPER(Tasks[[#This Row],[_Predecessors]]),";",",")," ",""),",",REPT(" ",99)),1,99)))</f>
        <v/>
      </c>
      <c r="CO179" s="42" t="str">
        <f aca="false">IF(Tasks[[#This Row],[_Pred1Text]]="","",IFERROR(VALUE(LEFT(Tasks[[#This Row],[_Pred1Text]],MIN(FIND("F",Tasks[[#This Row],[_Pred1Text]]&amp;"F"),FIND("S",Tasks[[#This Row],[_Pred1Text]]&amp;"S"),FIND("+",Tasks[[#This Row],[_Pred1Text]]&amp;"+"),FIND("-",Tasks[[#This Row],[_Pred1Text]]&amp;"-"))-1)),""))</f>
        <v/>
      </c>
      <c r="CP17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7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79" s="42" t="str">
        <f aca="false">IF(Tasks[[#This Row],[_Pred1Text]]="","",TRIM(MID(SUBSTITUTE(SUBSTITUTE(SUBSTITUTE(UPPER(Tasks[[#This Row],[_Predecessors]]),";",",")," ",""),",",REPT(" ",99)),100,99)))</f>
        <v/>
      </c>
      <c r="CS179" s="42" t="str">
        <f aca="false">IF(Tasks[[#This Row],[_Pred2Text]]="","",IFERROR(VALUE(LEFT(Tasks[[#This Row],[_Pred2Text]],MIN(FIND("F",Tasks[[#This Row],[_Pred2Text]]&amp;"F"),FIND("S",Tasks[[#This Row],[_Pred2Text]]&amp;"S"),FIND("+",Tasks[[#This Row],[_Pred2Text]]&amp;"+"),FIND("-",Tasks[[#This Row],[_Pred2Text]]&amp;"-"))-1)),""))</f>
        <v/>
      </c>
      <c r="CT17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7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79" s="42" t="str">
        <f aca="false">IF(Tasks[[#This Row],[_Pred2Text]]="","",TRIM(MID(SUBSTITUTE(SUBSTITUTE(SUBSTITUTE(UPPER(Tasks[[#This Row],[_Predecessors]]),";",",")," ",""),",",REPT(" ",99)),199,99)))</f>
        <v/>
      </c>
      <c r="CW179" s="42" t="str">
        <f aca="false">IF(Tasks[[#This Row],[_Pred3Text]]="","",IFERROR(VALUE(LEFT(Tasks[[#This Row],[_Pred3Text]],MIN(FIND("F",Tasks[[#This Row],[_Pred3Text]]&amp;"F"),FIND("S",Tasks[[#This Row],[_Pred3Text]]&amp;"S"),FIND("+",Tasks[[#This Row],[_Pred3Text]]&amp;"+"),FIND("-",Tasks[[#This Row],[_Pred3Text]]&amp;"-"))-1)),""))</f>
        <v/>
      </c>
      <c r="CX17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7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79" s="42" t="str">
        <f aca="false">IF(Tasks[[#This Row],[_Pred3Text]]="","",TRIM(MID(SUBSTITUTE(SUBSTITUTE(SUBSTITUTE(UPPER(Tasks[[#This Row],[_Predecessors]]),";",",")," ",""),",",REPT(" ",99)),298,99)))</f>
        <v/>
      </c>
      <c r="DA179" s="42" t="str">
        <f aca="false">IF(Tasks[[#This Row],[_Pred4Text]]="","",IFERROR(VALUE(LEFT(Tasks[[#This Row],[_Pred4Text]],MIN(FIND("F",Tasks[[#This Row],[_Pred4Text]]&amp;"F"),FIND("S",Tasks[[#This Row],[_Pred4Text]]&amp;"S"),FIND("+",Tasks[[#This Row],[_Pred4Text]]&amp;"+"),FIND("-",Tasks[[#This Row],[_Pred4Text]]&amp;"-"))-1)),""))</f>
        <v/>
      </c>
      <c r="DB17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7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79" s="42" t="str">
        <f aca="false">IF(OR(Tasks[[#This Row],[Task Name]]="",Tasks[[#This Row],[_Resources]]=""),"",TRIM(MID(SUBSTITUTE(Tasks[[#This Row],[_Resources]],",",REPT(" ",99)),1,99)))</f>
        <v/>
      </c>
      <c r="DE179" s="42" t="str">
        <f aca="false">IF(Tasks[[#This Row],[_Res1Text]]="","",TRIM(MID(SUBSTITUTE(Tasks[[#This Row],[_Resources]],",",REPT(" ",99)),100,99)))</f>
        <v/>
      </c>
      <c r="DF179" s="42" t="str">
        <f aca="false">IF(Tasks[[#This Row],[_Res2Text]]="","",TRIM(MID(SUBSTITUTE(Tasks[[#This Row],[_Resources]],",",REPT(" ",99)),199,99)))</f>
        <v/>
      </c>
      <c r="DG179" s="42" t="str">
        <f aca="false">IF(Tasks[[#This Row],[_Res3Text]]="","",TRIM(MID(SUBSTITUTE(Tasks[[#This Row],[_Resources]],",",REPT(" ",99)),298,99)))</f>
        <v/>
      </c>
      <c r="DH179" s="42" t="n">
        <f aca="false">IF(Tasks[[#This Row],[_Res1Text]]="",0,IFERROR(MATCH(TRIM(LEFT(Tasks[[#This Row],[_Res1Text]],FIND("[",Tasks[[#This Row],[_Res1Text]]&amp;"[")-1)),res_Name,0),IFERROR(MATCH(TRIM(LEFT(Tasks[[#This Row],[_Res1Text]],FIND("[",Tasks[[#This Row],[_Res1Text]]&amp;"[")-1)),res_Initials,0),0)))</f>
        <v>0</v>
      </c>
      <c r="DI179" s="42" t="n">
        <f aca="false">IF(Tasks[[#This Row],[_Res2Text]]="",0,IFERROR(MATCH(TRIM(LEFT(Tasks[[#This Row],[_Res2Text]],FIND("[",Tasks[[#This Row],[_Res2Text]]&amp;"[")-1)),res_Name,0),IFERROR(MATCH(TRIM(LEFT(Tasks[[#This Row],[_Res2Text]],FIND("[",Tasks[[#This Row],[_Res2Text]]&amp;"[")-1)),res_Initials,0),0)))</f>
        <v>0</v>
      </c>
      <c r="DJ179" s="42" t="n">
        <f aca="false">IF(Tasks[[#This Row],[_Res3Text]]="",0,IFERROR(MATCH(TRIM(LEFT(Tasks[[#This Row],[_Res3Text]],FIND("[",Tasks[[#This Row],[_Res3Text]]&amp;"[")-1)),res_Name,0),IFERROR(MATCH(TRIM(LEFT(Tasks[[#This Row],[_Res3Text]],FIND("[",Tasks[[#This Row],[_Res3Text]]&amp;"[")-1)),res_Initials,0),0)))</f>
        <v>0</v>
      </c>
      <c r="DK179" s="42" t="n">
        <f aca="false">IF(Tasks[[#This Row],[_Res4Text]]="",0,IFERROR(MATCH(TRIM(LEFT(Tasks[[#This Row],[_Res4Text]],FIND("[",Tasks[[#This Row],[_Res4Text]]&amp;"[")-1)),res_Name,0),IFERROR(MATCH(TRIM(LEFT(Tasks[[#This Row],[_Res4Text]],FIND("[",Tasks[[#This Row],[_Res4Text]]&amp;"[")-1)),res_Initials,0),0)))</f>
        <v>0</v>
      </c>
      <c r="DL179" s="42" t="str">
        <f aca="false">IF(Tasks[[#This Row],[_Res1Text]]="","",IF(Tasks[[#This Row],[_Res1Row]]&gt;0,INDEX(res_Name,Tasks[[#This Row],[_Res1Row]]),TRIM(LEFT(Tasks[[#This Row],[_Res1Text]],FIND("[",Tasks[[#This Row],[_Res1Text]]&amp;"[")-1))))</f>
        <v/>
      </c>
      <c r="DM17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79" s="42" t="n">
        <f aca="false">IF(NOT(Tasks[[#This Row],[_IsLeaf]]=1),0,(Tasks[[#This Row],[_Resource1]]&lt;&gt;"")+(Tasks[[#This Row],[_Res2]]&lt;&gt;"")+(Tasks[[#This Row],[_Res3]]&lt;&gt;"")+(Tasks[[#This Row],[_Res4]]&lt;&gt;""))</f>
        <v>0</v>
      </c>
      <c r="DO179" s="42" t="str">
        <f aca="false">IF(Tasks[[#This Row],[_Res2Text]]="","",IF(Tasks[[#This Row],[_Res2Row]]&gt;0,INDEX(res_Name,Tasks[[#This Row],[_Res2Row]]),TRIM(LEFT(Tasks[[#This Row],[_Res2Text]],FIND("[",Tasks[[#This Row],[_Res2Text]]&amp;"[")-1))))</f>
        <v/>
      </c>
      <c r="DP17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79" s="42" t="n">
        <f aca="false">IF(OR(NOT(Tasks[[#This Row],[_IsLeaf]]=1),Tasks[[#This Row],[_Res2Row]]=0),0,N(Tasks[[#This Row],[_Days]])*HoursPerDay*IF(Tasks[[#This Row],[_Res2Units]]="",DefaultUnits,Tasks[[#This Row],[_Res2Units]]))</f>
        <v>0</v>
      </c>
      <c r="DR179" s="42" t="n">
        <f aca="false">IF(AND(AND(Tasks[[#This Row],[_IsLeaf]]=1,Tasks[[#This Row],[_LeafTotalWork]]&gt;0),Tasks[[#This Row],[_Res2Work]]&gt;0),Tasks[[#This Row],[_Res2Work]]/(Tasks[[#This Row],[_FinishWorkday]]-Tasks[[#This Row],[_StartWorkday]]+1),0)</f>
        <v>0</v>
      </c>
      <c r="DS179" s="42" t="n">
        <f aca="false">Tasks[[#This Row],[_Res2WorkPerWD]]*MAX(0,Tasks[[#This Row],[_StartWorkday]]-1)</f>
        <v>0</v>
      </c>
      <c r="DT179" s="42" t="n">
        <f aca="false">Tasks[[#This Row],[_Res2Work]]*Tasks[[#This Row],[_LeafProgress]]</f>
        <v>0</v>
      </c>
      <c r="DU179" s="42" t="str">
        <f aca="false">IF(Tasks[[#This Row],[_Res3Text]]="","",IF(Tasks[[#This Row],[_Res3Row]]&gt;0,INDEX(res_Name,Tasks[[#This Row],[_Res3Row]]),TRIM(LEFT(Tasks[[#This Row],[_Res3Text]],FIND("[",Tasks[[#This Row],[_Res3Text]]&amp;"[")-1))))</f>
        <v/>
      </c>
      <c r="DV17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79" s="42" t="n">
        <f aca="false">IF(OR(NOT(Tasks[[#This Row],[_IsLeaf]]=1),Tasks[[#This Row],[_Res3Row]]=0),0,N(Tasks[[#This Row],[_Days]])*HoursPerDay*IF(Tasks[[#This Row],[_Res3Units]]="",DefaultUnits,Tasks[[#This Row],[_Res3Units]]))</f>
        <v>0</v>
      </c>
      <c r="DX179" s="42" t="n">
        <f aca="false">IF(AND(AND(Tasks[[#This Row],[_IsLeaf]]=1,Tasks[[#This Row],[_LeafTotalWork]]&gt;0),Tasks[[#This Row],[_Res3Work]]&gt;0),Tasks[[#This Row],[_Res3Work]]/(Tasks[[#This Row],[_FinishWorkday]]-Tasks[[#This Row],[_StartWorkday]]+1),0)</f>
        <v>0</v>
      </c>
      <c r="DY179" s="42" t="n">
        <f aca="false">Tasks[[#This Row],[_Res3WorkPerWD]]*MAX(0,Tasks[[#This Row],[_StartWorkday]]-1)</f>
        <v>0</v>
      </c>
      <c r="DZ179" s="42" t="n">
        <f aca="false">Tasks[[#This Row],[_Res3Work]]*Tasks[[#This Row],[_LeafProgress]]</f>
        <v>0</v>
      </c>
      <c r="EA179" s="42" t="str">
        <f aca="false">IF(Tasks[[#This Row],[_Res4Text]]="","",IF(Tasks[[#This Row],[_Res4Row]]&gt;0,INDEX(res_Name,Tasks[[#This Row],[_Res4Row]]),TRIM(LEFT(Tasks[[#This Row],[_Res4Text]],FIND("[",Tasks[[#This Row],[_Res4Text]]&amp;"[")-1))))</f>
        <v/>
      </c>
      <c r="EB17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79" s="42" t="n">
        <f aca="false">IF(OR(NOT(Tasks[[#This Row],[_IsLeaf]]=1),Tasks[[#This Row],[_Res4Row]]=0),0,N(Tasks[[#This Row],[_Days]])*HoursPerDay*IF(Tasks[[#This Row],[_Res4Units]]="",DefaultUnits,Tasks[[#This Row],[_Res4Units]]))</f>
        <v>0</v>
      </c>
      <c r="ED179" s="42" t="n">
        <f aca="false">IF(AND(AND(Tasks[[#This Row],[_IsLeaf]]=1,Tasks[[#This Row],[_LeafTotalWork]]&gt;0),Tasks[[#This Row],[_Res4Work]]&gt;0),Tasks[[#This Row],[_Res4Work]]/(Tasks[[#This Row],[_FinishWorkday]]-Tasks[[#This Row],[_StartWorkday]]+1),0)</f>
        <v>0</v>
      </c>
      <c r="EE179" s="42" t="n">
        <f aca="false">Tasks[[#This Row],[_Res4WorkPerWD]]*MAX(0,Tasks[[#This Row],[_StartWorkday]]-1)</f>
        <v>0</v>
      </c>
      <c r="EF179" s="42" t="n">
        <f aca="false">Tasks[[#This Row],[_Res4Work]]*Tasks[[#This Row],[_LeafProgress]]</f>
        <v>0</v>
      </c>
      <c r="EG179" s="42" t="n">
        <f aca="false">IF(ISNUMBER(Tasks[[#This Row],[% Complete]]),Tasks[[#This Row],[% Complete]],IF(Tasks[[#This Row],[Stage]]="",0,IFERROR(INDEX(stg_Pct,MATCH(Tasks[[#This Row],[Stage]],stg_Name,0)),0)))</f>
        <v>0</v>
      </c>
      <c r="EH179" s="42" t="n">
        <f aca="false">IF(NOT(Tasks[[#This Row],[_IsLeaf]]=1),0,IF(N(Tasks[[#This Row],[Actual Finish]])&gt;0,1,MIN(1,Tasks[[#This Row],[_Pct]])))</f>
        <v>0</v>
      </c>
      <c r="EI179" s="42" t="n">
        <f aca="false">IF(OR(NOT(Tasks[[#This Row],[_IsLeaf]]=1),Tasks[[#This Row],[_Res1Row]]=0),0,N(Tasks[[#This Row],[_Days]])*HoursPerDay*IF(Tasks[[#This Row],[_Units1]]="",DefaultUnits,Tasks[[#This Row],[_Units1]]))</f>
        <v>0</v>
      </c>
      <c r="EJ179" s="42" t="n">
        <f aca="false">Tasks[[#This Row],[_LeafWork]]+Tasks[[#This Row],[_Res2Work]]+Tasks[[#This Row],[_Res3Work]]+Tasks[[#This Row],[_Res4Work]]</f>
        <v>0</v>
      </c>
      <c r="EK17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7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7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7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7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7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7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7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79" s="42" t="n">
        <f aca="false">IF(NOT(Tasks[[#This Row],[_IsLeaf]]=1),0,MAX(_xlfn.MAXIFS(Tasks[_Row],Tasks[_Pred1UID],Tasks[[#This Row],[UID]]),_xlfn.MAXIFS(Tasks[_Row],Tasks[_Pred2UID],Tasks[[#This Row],[UID]]),_xlfn.MAXIFS(Tasks[_Row],Tasks[_Pred3UID],Tasks[[#This Row],[UID]]),_xlfn.MAXIFS(Tasks[_Row],Tasks[_Pred4UID],Tasks[[#This Row],[UID]])))</f>
        <v>0</v>
      </c>
      <c r="ET17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7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79" s="89" t="str">
        <f aca="false">IF(NOT(Tasks[[#This Row],[_IsLeaf]]=1),"",IF(N(Tasks[[#This Row],[_Days]])&lt;=0,Tasks[[#This Row],[_LeafLateFinish]],WORKDAY.INTL(Tasks[[#This Row],[_LeafLateFinish]],-(Tasks[[#This Row],[_Days]]-1),WorkWeek,Holidays)))</f>
        <v/>
      </c>
      <c r="EW17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79" s="88" t="b">
        <f aca="false">AND(Tasks[[#This Row],[_IsLeaf]]=1,Tasks[[#This Row],[_LeafProgress]]&lt;1,N(Tasks[[#This Row],[_LeafTotalSlack]])&lt;=CriticalSlackDays)</f>
        <v>0</v>
      </c>
      <c r="EY179" s="42" t="n">
        <f aca="false">IF(AND(Tasks[[#This Row],[_IsLeaf]]=1,Tasks[[#This Row],[_ConstraintCode]]=1,Tasks[[#This Row],[Mode]]&lt;&gt;"Manual",N(Tasks[[#This Row],[Actual Start]])=0),MAX(0,N(Tasks[[#This Row],[Free Slack]])),0)</f>
        <v>0</v>
      </c>
      <c r="EZ179" s="89" t="str">
        <f aca="false">IF(NOT(Tasks[[#This Row],[_IsLeaf]]=1),"",IF(Tasks[[#This Row],[_AlapShift]]=0,Tasks[[#This Row],[_LeafCalcStart]],WORKDAY.INTL(Tasks[[#This Row],[_LeafCalcStart]],Tasks[[#This Row],[_AlapShift]],WorkWeek,Holidays)))</f>
        <v/>
      </c>
      <c r="FA179" s="89" t="str">
        <f aca="false">IF(NOT(Tasks[[#This Row],[_IsLeaf]]=1),"",IF(Tasks[[#This Row],[_AlapShift]]=0,Tasks[[#This Row],[_LeafCalcFinish]],WORKDAY.INTL(Tasks[[#This Row],[_LeafCalcFinish]],Tasks[[#This Row],[_AlapShift]],WorkWeek,Holidays)))</f>
        <v/>
      </c>
      <c r="FB179" s="89" t="str">
        <f aca="false">IF(NOT(Tasks[[#This Row],[_IsLeaf]]=1),"",IF(Tasks[[#This Row],[_AlapShift]]=0,Tasks[[#This Row],[_LeafFcstStart]],WORKDAY.INTL(Tasks[[#This Row],[_LeafFcstStart]],Tasks[[#This Row],[_AlapShift]],WorkWeek,Holidays)))</f>
        <v/>
      </c>
      <c r="FC179" s="89" t="str">
        <f aca="false">IF(NOT(Tasks[[#This Row],[_IsLeaf]]=1),"",IF(Tasks[[#This Row],[_AlapShift]]=0,Tasks[[#This Row],[_LeafFcstFinish]],WORKDAY.INTL(Tasks[[#This Row],[_LeafFcstFinish]],Tasks[[#This Row],[_AlapShift]],WorkWeek,Holidays)))</f>
        <v/>
      </c>
      <c r="FD179" s="89" t="str">
        <f aca="false">IF(Tasks[[#This Row],[Task Name]]="","",IF(Tasks[[#This Row],[_IsSummary]],MIN(INDEX(Tasks[_ShownCalcStart],Tasks[[#This Row],[_Row]]+1):INDEX(Tasks[_ShownCalcStart],Tasks[[#This Row],[_Row]]+Tasks[[#This Row],[_Descendants]])),Tasks[[#This Row],[_ShownCalcStart]]))</f>
        <v/>
      </c>
      <c r="FE179" s="89" t="str">
        <f aca="false">IF(Tasks[[#This Row],[Task Name]]="","",IF(Tasks[[#This Row],[_IsSummary]],MAX(INDEX(Tasks[_ShownCalcFinish],Tasks[[#This Row],[_Row]]+1):INDEX(Tasks[_ShownCalcFinish],Tasks[[#This Row],[_Row]]+Tasks[[#This Row],[_Descendants]])),Tasks[[#This Row],[_ShownCalcFinish]]))</f>
        <v/>
      </c>
      <c r="FF17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7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7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7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7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7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7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7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7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7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7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7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79" s="42" t="n">
        <f aca="false">IF(AND(Tasks[[#This Row],[_IsLeaf]]=1,Tasks[[#This Row],[_LeafTotalWork]]&gt;0),NETWORKDAYS.INTL(ProjectStart,Tasks[[#This Row],[_ShownFcstStart]],WorkWeek,Holidays),0)</f>
        <v>0</v>
      </c>
      <c r="FS179" s="42" t="n">
        <f aca="false">IF(AND(Tasks[[#This Row],[_IsLeaf]]=1,Tasks[[#This Row],[_LeafTotalWork]]&gt;0),MAX(Tasks[[#This Row],[_StartWorkday]],NETWORKDAYS.INTL(ProjectStart,Tasks[[#This Row],[_ShownFcstFinish]],WorkWeek,Holidays)),0)</f>
        <v>0</v>
      </c>
      <c r="FT179" s="42" t="n">
        <f aca="false">IF(AND(Tasks[[#This Row],[_IsLeaf]]=1,Tasks[[#This Row],[_LeafTotalWork]]&gt;0),Tasks[[#This Row],[_LeafWork]]/(Tasks[[#This Row],[_FinishWorkday]]-Tasks[[#This Row],[_StartWorkday]]+1),0)</f>
        <v>0</v>
      </c>
      <c r="FU179" s="42" t="n">
        <f aca="false">Tasks[[#This Row],[_WorkPerWorkday]]*(Tasks[[#This Row],[_StartWorkday]]-1)</f>
        <v>-0</v>
      </c>
      <c r="FV179" s="42" t="n">
        <f aca="false">IF(Tasks[[#This Row],[_IsLeaf]]=1,MAX(N(Tasks[[#This Row],[_Days]]),0.1),0)</f>
        <v>0</v>
      </c>
      <c r="FW179" s="42" t="n">
        <f aca="false">Tasks[[#This Row],[_WeightDur]]*Tasks[[#This Row],[_LeafProgress]]</f>
        <v>0</v>
      </c>
      <c r="FX179" s="42" t="n">
        <f aca="false">Tasks[[#This Row],[_WeightDur]]*Tasks[[#This Row],[_PlannedPct]]</f>
        <v>0</v>
      </c>
      <c r="FY17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79" s="42" t="str">
        <f aca="false">IF(AND(Tasks[[#This Row],[_IsLeaf]]=1,N(Tasks[[#This Row],[_Days]])=0,Tasks[[#This Row],[_LeafProgress]]&lt;1),Tasks[[#This Row],[_ShownFcstFinish]]+Tasks[[#This Row],[_Row]]/100000,"")</f>
        <v/>
      </c>
      <c r="GA17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79" s="42" t="str">
        <f aca="false">IF(Tasks[[#This Row],[Task Name]]="","",LEFT(Tasks[[#This Row],[WBS]],FIND(".",Tasks[[#This Row],[WBS]]&amp;".")-1))</f>
        <v/>
      </c>
      <c r="GC179" s="42" t="str">
        <f aca="false">IF(AND(Tasks[[#This Row],[Task Name]]&lt;&gt;"",Tasks[[#This Row],[_Level]]=1),Tasks[[#This Row],[_Row]],"")</f>
        <v/>
      </c>
      <c r="GD179" s="42" t="str">
        <f aca="false">IF(AND(Tasks[[#This Row],[_IsLeaf]]=1,N(Tasks[[#This Row],[_Days]])=0),Tasks[[#This Row],[Planned Finish]]+Tasks[[#This Row],[_Row]]/100000,"")</f>
        <v/>
      </c>
      <c r="GE179" s="42" t="str">
        <f aca="false">IF(AND(Tasks[[#This Row],[_IsLeaf]]=1,Tasks[[#This Row],[_LeafProgress]]&lt;1,OR(N(Tasks[[#This Row],[Finish Var]])&gt;0,Tasks[[#This Row],[Status]]="Late Start")),MAX(0,Tasks[[#This Row],[Finish Var]])+1-Tasks[[#This Row],[_Row]]/1000000,"")</f>
        <v/>
      </c>
      <c r="GF179" s="42" t="str">
        <f aca="false">IF(AND(Tasks[[#This Row],[_IsLeaf]]=1,N(Tasks[[#This Row],[Actual Start]])=0,Tasks[[#This Row],[_ShownFcstStart]]&gt;=StatusDate,Tasks[[#This Row],[_ShownFcstStart]]&lt;=LookaheadEnd),Tasks[[#This Row],[_ShownFcstStart]]+Tasks[[#This Row],[_Row]]/100000,"")</f>
        <v/>
      </c>
      <c r="GG179" s="42" t="str">
        <f aca="false">IF(AND(Tasks[[#This Row],[_IsLeaf]]=1,Tasks[[#This Row],[_LeafProgress]]&lt;1,Tasks[[#This Row],[_ShownFcstFinish]]&gt;=StatusDate,Tasks[[#This Row],[_ShownFcstFinish]]&lt;=LookaheadEnd),Tasks[[#This Row],[_ShownFcstFinish]]+Tasks[[#This Row],[_Row]]/100000,"")</f>
        <v/>
      </c>
      <c r="GH179" s="42" t="str">
        <f aca="false">IF(Tasks[[#This Row],[_LeafCritical]],Tasks[[#This Row],[_ShownFcstStart]]+Tasks[[#This Row],[_Row]]/100000,"")</f>
        <v/>
      </c>
      <c r="GI179" s="42" t="n">
        <f aca="false">Tasks[[#This Row],[_LeafWork]]*Tasks[[#This Row],[_LeafProgress]]</f>
        <v>0</v>
      </c>
      <c r="GJ179" s="89" t="str">
        <f aca="false">IF(AND(Tasks[[#This Row],[_IsLeaf]]=1,Tasks[[#This Row],[_LeafProgress]]&gt;=1),IF(N(Tasks[[#This Row],[Actual Finish]])&gt;0,Tasks[[#This Row],[Actual Finish]],Tasks[[#This Row],[_ShownFcstFinish]]),"")</f>
        <v/>
      </c>
      <c r="GK179" s="42" t="n">
        <f aca="false">IF(Tasks[[#This Row],[_IsLeaf]]=1,N(Tasks[[#This Row],[Story Points]]),0)</f>
        <v>0</v>
      </c>
      <c r="GL179" s="42" t="str">
        <f aca="false">""</f>
        <v/>
      </c>
      <c r="GM179" s="88" t="b">
        <f aca="false">IF(Tasks[[#This Row],[Task Name]]="",FALSE(),AND(Tasks[[#This Row],[_IsLeaf]]=1,N(Tasks[[#This Row],[_Days]])=0))</f>
        <v>0</v>
      </c>
      <c r="GN179" s="89" t="n">
        <f aca="false">IF(Tasks[[#This Row],[Task Name]]="",0,IF(AND(Tasks[[#This Row],[_IsLeaf]]=1,NOT(Tasks[[#This Row],[_IsMilestone]]),N(Tasks[[#This Row],[Progress]])&gt;0),Tasks[[#This Row],[Start]],0))</f>
        <v>0</v>
      </c>
      <c r="GO179" s="89" t="n">
        <f aca="false">IF(Tasks[[#This Row],[_DoneFrom]]=0,0,IF(Tasks[[#This Row],[Progress]]&gt;=1,Tasks[[#This Row],[Finish]],MAX(Tasks[[#This Row],[_DoneFrom]],Tasks[[#This Row],[Start]]+ROUND((Tasks[[#This Row],[Finish]]-Tasks[[#This Row],[Start]]+1)*Tasks[[#This Row],[Progress]],0)-1)))</f>
        <v>0</v>
      </c>
      <c r="GP179" s="89" t="n">
        <f aca="false">IF(Tasks[[#This Row],[Task Name]]="",0,IF(OR(NOT(Tasks[[#This Row],[_IsLeaf]]=1),Tasks[[#This Row],[_IsMilestone]],N(Tasks[[#This Row],[Progress]])&gt;=1),0,IF(Tasks[[#This Row],[_DoneTo]]&gt;0,Tasks[[#This Row],[_DoneTo]]+1,Tasks[[#This Row],[Start]])))</f>
        <v>0</v>
      </c>
      <c r="GQ179" s="89" t="n">
        <f aca="false">IF(Tasks[[#This Row],[_RemFrom]]=0,0,Tasks[[#This Row],[Finish]])</f>
        <v>0</v>
      </c>
      <c r="GR179" s="88" t="b">
        <f aca="false">IF(Tasks[[#This Row],[Task Name]]="",FALSE(),OR(NOT(BaselineSet),N(Tasks[[#This Row],[Baseline Start]])&gt;0))</f>
        <v>0</v>
      </c>
      <c r="GS17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7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7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79" s="90" t="str">
        <f aca="false">IF(Tasks[[#This Row],[_IsLeaf]]=1,Tasks[[#This Row],[_Row]],"")</f>
        <v/>
      </c>
      <c r="GW179" s="90" t="str">
        <f aca="false">IFERROR(INDEX(Tasks[UID],SMALL(Tasks[_PickKey],Tasks[[#This Row],[_Row]]))&amp;" "&amp;INDEX(Tasks[Task Name],SMALL(Tasks[_PickKey],Tasks[[#This Row],[_Row]])),"")</f>
        <v/>
      </c>
      <c r="GX179" s="42" t="str">
        <f aca="false">IF(Tasks[[#This Row],[Task Name]]="","",IF(Tasks[[#This Row],[_IsSummary]],NETWORKDAYS.INTL(Tasks[[#This Row],[Start]],Tasks[[#This Row],[Finish]],WorkWeek,Holidays),N(Tasks[[#This Row],[_Days]])))</f>
        <v/>
      </c>
    </row>
    <row r="180" customFormat="false" ht="15" hidden="false" customHeight="false" outlineLevel="0" collapsed="false">
      <c r="A180" s="21" t="str">
        <f aca="false">IF(Tasks[[#This Row],[Task Name]]="","",COUNTA(Tasks[[#Headers],[Task Name]]:Tasks[[#This Row],[Task Name]])-1)</f>
        <v/>
      </c>
      <c r="B180" s="22" t="n">
        <v>188</v>
      </c>
      <c r="C180" s="22"/>
      <c r="D180" s="23"/>
      <c r="E180" s="22"/>
      <c r="F180" s="23"/>
      <c r="G180" s="22"/>
      <c r="H180" s="22"/>
      <c r="I180" s="23"/>
      <c r="J180" s="22"/>
      <c r="K180" s="22"/>
      <c r="L180" s="23"/>
      <c r="M180" s="22"/>
      <c r="N180" s="22"/>
      <c r="O180" s="23"/>
      <c r="P180" s="22"/>
      <c r="Q180" s="22"/>
      <c r="R180" s="23"/>
      <c r="S180" s="23"/>
      <c r="T180" s="83"/>
      <c r="U180" s="23"/>
      <c r="V180" s="83"/>
      <c r="W180" s="23"/>
      <c r="X180" s="83"/>
      <c r="Y180" s="23"/>
      <c r="Z180" s="83"/>
      <c r="AA180" s="23"/>
      <c r="AB180" s="23"/>
      <c r="AC180" s="7"/>
      <c r="AD180" s="7"/>
      <c r="AE180" s="62" t="str">
        <f aca="false">IF(Tasks[[#This Row],[Task Name]]="","",IF(Tasks[[#This Row],[_IsSummary]],MIN(INDEX(Tasks[_ShownFcstStart],Tasks[[#This Row],[_Row]]+1):INDEX(Tasks[_ShownFcstStart],Tasks[[#This Row],[_Row]]+Tasks[[#This Row],[_Descendants]])),Tasks[[#This Row],[_ShownFcstStart]]))</f>
        <v/>
      </c>
      <c r="AF180" s="62" t="str">
        <f aca="false">IF(Tasks[[#This Row],[Task Name]]="","",IF(Tasks[[#This Row],[_IsSummary]],MAX(INDEX(Tasks[_ShownFcstFinish],Tasks[[#This Row],[_Row]]+1):INDEX(Tasks[_ShownFcstFinish],Tasks[[#This Row],[_Row]]+Tasks[[#This Row],[_Descendants]])),Tasks[[#This Row],[_ShownFcstFinish]]))</f>
        <v/>
      </c>
      <c r="AG180" s="21" t="str">
        <f aca="false">""</f>
        <v/>
      </c>
      <c r="AH180" s="23"/>
      <c r="AI18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0" s="7"/>
      <c r="AK180" s="22"/>
      <c r="AL180" s="23"/>
      <c r="AM180" s="7"/>
      <c r="AN180" s="46" t="str">
        <f aca="false">IF(Tasks[[#This Row],[Task Name]]="","",IF(Tasks[[#This Row],[Finish]]&gt;=Tasks[[#This Row],[Planned Finish]],NETWORKDAYS.INTL(Tasks[[#This Row],[Planned Finish]],Tasks[[#This Row],[Finish]],WorkWeek,Holidays)-1,1-NETWORKDAYS.INTL(Tasks[[#This Row],[Finish]],Tasks[[#This Row],[Planned Finish]],WorkWeek,Holidays)))</f>
        <v/>
      </c>
      <c r="AO180" s="21" t="str">
        <f aca="false">IF(Tasks[[#This Row],[Task Name]]="","",IF(Tasks[[#This Row],[Progress]]&gt;=1,"Complete",IF(OR(N(Tasks[[#This Row],[Actual Start]])&gt;0,Tasks[[#This Row],[Progress]]&gt;0),IF(Tasks[[#This Row],[Finish Var]]&gt;0,"Behind","In Progress"),IF(Tasks[[#This Row],[Planned Start]]&lt;StatusDate,"Late Start","Not Started"))))</f>
        <v/>
      </c>
      <c r="AP180" s="21" t="str">
        <f aca="false">IF(Tasks[[#This Row],[Task Name]]="","",IF(IF(Tasks[[#This Row],[_IsSummary]],COUNTIF(INDEX(Tasks[_LeafCritical],Tasks[[#This Row],[_Row]]+1):INDEX(Tasks[_LeafCritical],Tasks[[#This Row],[_Row]]+Tasks[[#This Row],[_Descendants]]),TRUE())&gt;0,Tasks[[#This Row],[_LeafCritical]]),"Yes",""))</f>
        <v/>
      </c>
      <c r="AQ180" s="62" t="str">
        <f aca="false">IF(Tasks[[#This Row],[Task Name]]="","",IF(N(Tasks[[#This Row],[Baseline Start]])&gt;0,Tasks[[#This Row],[Baseline Start]],Tasks[[#This Row],[_CalcStart]]))</f>
        <v/>
      </c>
      <c r="AR180" s="62" t="str">
        <f aca="false">IF(Tasks[[#This Row],[Task Name]]="","",IF(N(Tasks[[#This Row],[Baseline Finish]])&gt;0,Tasks[[#This Row],[Baseline Finish]],Tasks[[#This Row],[_CalcFinish]]))</f>
        <v/>
      </c>
      <c r="AS180" s="46" t="str">
        <f aca="false">IF(Tasks[[#This Row],[Task Name]]="","",IF(Tasks[[#This Row],[Start]]&gt;=Tasks[[#This Row],[Planned Start]],NETWORKDAYS.INTL(Tasks[[#This Row],[Planned Start]],Tasks[[#This Row],[Start]],WorkWeek,Holidays)-1,1-NETWORKDAYS.INTL(Tasks[[#This Row],[Start]],Tasks[[#This Row],[Planned Start]],WorkWeek,Holidays)))</f>
        <v/>
      </c>
      <c r="AT180" s="62" t="str">
        <f aca="false">IF(Tasks[[#This Row],[Task Name]]="","",IF(Tasks[[#This Row],[_IsSummary]],MIN(INDEX(Tasks[_LeafLateStart],Tasks[[#This Row],[_Row]]+1):INDEX(Tasks[_LeafLateStart],Tasks[[#This Row],[_Row]]+Tasks[[#This Row],[_Descendants]])),Tasks[[#This Row],[_LeafLateStart]]))</f>
        <v/>
      </c>
      <c r="AU180" s="62" t="str">
        <f aca="false">IF(Tasks[[#This Row],[Task Name]]="","",IF(Tasks[[#This Row],[_IsSummary]],MAX(INDEX(Tasks[_LeafLateFinish],Tasks[[#This Row],[_Row]]+1):INDEX(Tasks[_LeafLateFinish],Tasks[[#This Row],[_Row]]+Tasks[[#This Row],[_Descendants]])),Tasks[[#This Row],[_LeafLateFinish]]))</f>
        <v/>
      </c>
      <c r="AV180" s="46" t="str">
        <f aca="false">IF(Tasks[[#This Row],[Task Name]]="","",IF(Tasks[[#This Row],[_IsSummary]],MIN(INDEX(Tasks[_LeafTotalSlack],Tasks[[#This Row],[_Row]]+1):INDEX(Tasks[_LeafTotalSlack],Tasks[[#This Row],[_Row]]+Tasks[[#This Row],[_Descendants]])),Tasks[[#This Row],[_LeafTotalSlack]]))</f>
        <v/>
      </c>
      <c r="AW18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4"/>
      <c r="BA18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t="str">
        <f aca="false">IF(Tasks[[#This Row],[Task Name]]="","",IF(Tasks[[#This Row],[_Level]]&lt;=OutlineShowLevel,"Yes","No"))</f>
        <v/>
      </c>
      <c r="BE180" s="85" t="str">
        <f aca="false">IF(Tasks[[#This Row],[Task Name]]="","",IF(Tasks[[#This Row],[_IsSummary]],SUM(INDEX(Tasks[_LeafTotalWork],Tasks[[#This Row],[_Row]]+1):INDEX(Tasks[_LeafTotalWork],Tasks[[#This Row],[_Row]]+Tasks[[#This Row],[_Descendants]])),Tasks[[#This Row],[_LeafTotalWork]]))</f>
        <v/>
      </c>
      <c r="BF180" s="23"/>
      <c r="BG18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t="str">
        <f aca="false">""</f>
        <v/>
      </c>
      <c r="BI180" s="86"/>
      <c r="BJ180" s="22"/>
      <c r="BK180" s="46" t="str">
        <f aca="false">IF(OR(Tasks[[#This Row],[Task Name]]="",Tasks[[#This Row],[Baseline Duration]]=""),"",Tasks[[#This Row],[_SpanDays]]-N(Tasks[[#This Row],[Baseline Duration]]))</f>
        <v/>
      </c>
      <c r="BL180" s="85" t="str">
        <f aca="false">IF(OR(Tasks[[#This Row],[Task Name]]="",Tasks[[#This Row],[Baseline Work]]=""),"",Tasks[[#This Row],[Work]]-N(Tasks[[#This Row],[Baseline Work]]))</f>
        <v/>
      </c>
      <c r="BM180" s="62" t="str">
        <f aca="false">IF(Tasks[[#This Row],[Task Name]]="","",IF(OR(TakeBaseline="Yes",N(Tasks[[#This Row],[Baseline Start]])=0),Tasks[[#This Row],[Start]],Tasks[[#This Row],[Baseline Start]]))</f>
        <v/>
      </c>
      <c r="BN180" s="62" t="str">
        <f aca="false">IF(Tasks[[#This Row],[Task Name]]="","",IF(OR(TakeBaseline="Yes",N(Tasks[[#This Row],[Baseline Finish]])=0),Tasks[[#This Row],[Finish]],Tasks[[#This Row],[Baseline Finish]]))</f>
        <v/>
      </c>
      <c r="BO180" s="21" t="str">
        <f aca="false">IF(Tasks[[#This Row],[Task Name]]="","",IF(OR(TakeBaseline="Yes",N(Tasks[[#This Row],[Baseline Duration]])=0),Tasks[[#This Row],[_SpanDays]],Tasks[[#This Row],[Baseline Duration]]))</f>
        <v/>
      </c>
      <c r="BP180" s="85" t="str">
        <f aca="false">IF(Tasks[[#This Row],[Task Name]]="","",IF(OR(TakeBaseline="Yes",N(Tasks[[#This Row],[Baseline Work]])=0),Tasks[[#This Row],[Work]],Tasks[[#This Row],[Baseline Work]]))</f>
        <v/>
      </c>
      <c r="BQ180" s="7"/>
      <c r="BR180" s="7"/>
      <c r="BS180" s="22"/>
      <c r="BT180" s="87"/>
      <c r="BU180" s="42" t="str">
        <f aca="false">IF(Tasks[[#This Row],[Task Name]]="","",MAX(1,N(Tasks[[#This Row],[Level]])))</f>
        <v/>
      </c>
      <c r="BV180" s="42" t="n">
        <f aca="false">ROW()-ROW(Tasks[[#Headers],[ID]])</f>
        <v>175</v>
      </c>
      <c r="BW180" s="42" t="n">
        <f aca="false">IF(OR(Tasks[[#This Row],[Task Name]]="",Tasks[[#This Row],[_Level]]&lt;=1),0,IFERROR(LOOKUP(2,1/(Tasks[[#Headers],[_Level]]:Tasks[[#This Row],[_Level]]=Tasks[[#This Row],[_Level]]-1),ROW(Tasks[[#Headers],[_Level]]:Tasks[[#This Row],[_Level]])),0))</f>
        <v>0</v>
      </c>
      <c r="BX180" s="42" t="n">
        <f aca="false">IFERROR(N(INDEX(Tasks[_Level],Tasks[[#This Row],[_Row]]+1)),0)</f>
        <v>0</v>
      </c>
      <c r="BY180" s="88" t="b">
        <f aca="false">AND(Tasks[[#This Row],[Task Name]]&lt;&gt;"",Tasks[[#This Row],[_NextLevel]]&gt;Tasks[[#This Row],[_Level]])</f>
        <v>0</v>
      </c>
      <c r="BZ180" s="42" t="n">
        <f aca="false">IF(Tasks[[#This Row],[_IsSummary]],COUNTIF(Tasks[WBS],Tasks[[#This Row],[WBS]]&amp;".*"),0)</f>
        <v>0</v>
      </c>
      <c r="CA180" s="42" t="n">
        <f aca="false">IF(AND(Tasks[[#This Row],[Task Name]]&lt;&gt;"",NOT(Tasks[[#This Row],[_IsSummary]])),1,0)</f>
        <v>0</v>
      </c>
      <c r="CB180" s="42" t="n">
        <f aca="false">IF(N(Tasks[[#This Row],[_Pred1UID]])=0,0,IFERROR(MATCH(Tasks[[#This Row],[_Pred1UID]],Tasks[UID],0),-1))</f>
        <v>0</v>
      </c>
      <c r="CC180" s="42" t="n">
        <f aca="false">IF(N(Tasks[[#This Row],[_Pred2UID]])=0,0,IFERROR(MATCH(Tasks[[#This Row],[_Pred2UID]],Tasks[UID],0),-1))</f>
        <v>0</v>
      </c>
      <c r="CD180" s="42" t="n">
        <f aca="false">IF(N(Tasks[[#This Row],[_Pred3UID]])=0,0,IFERROR(MATCH(Tasks[[#This Row],[_Pred3UID]],Tasks[UID],0),-1))</f>
        <v>0</v>
      </c>
      <c r="CE180" s="42" t="n">
        <f aca="false">IF(N(Tasks[[#This Row],[_Pred4UID]])=0,0,IFERROR(MATCH(Tasks[[#This Row],[_Pred4UID]],Tasks[UID],0),-1))</f>
        <v>0</v>
      </c>
      <c r="CF18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0" s="89" t="n">
        <f aca="false">IF(OR(Tasks[[#This Row],[_ConstraintCode]]=2,Tasks[[#This Row],[_ConstraintCode]]=3,Tasks[[#This Row],[_ConstraintCode]]=4,Tasks[[#This Row],[_ConstraintCode]]=6),Tasks[[#This Row],[_ConstraintStart]],0)</f>
        <v>0</v>
      </c>
      <c r="CI180" s="89" t="n">
        <f aca="false">IF(OR(Tasks[[#This Row],[_ConstraintCode]]=2,Tasks[[#This Row],[_ConstraintCode]]=3,Tasks[[#This Row],[_ConstraintCode]]=5,Tasks[[#This Row],[_ConstraintCode]]=7),Tasks[[#This Row],[_ConstraintStart]],2958465)</f>
        <v>2958465</v>
      </c>
      <c r="CJ18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0" s="89" t="str">
        <f aca="false">IF(NOT(Tasks[[#This Row],[_IsLeaf]]=1),"",IF(N(Tasks[[#This Row],[_Days]])&lt;=0,Tasks[[#This Row],[_LeafCalcStart]],WORKDAY.INTL(Tasks[[#This Row],[_LeafCalcStart]],Tasks[[#This Row],[_Days]]-1,WorkWeek,Holidays)))</f>
        <v/>
      </c>
      <c r="CL18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0" s="42" t="str">
        <f aca="false">IF(Tasks[[#This Row],[_Predecessors]]="","",TRIM(MID(SUBSTITUTE(SUBSTITUTE(SUBSTITUTE(UPPER(Tasks[[#This Row],[_Predecessors]]),";",",")," ",""),",",REPT(" ",99)),1,99)))</f>
        <v/>
      </c>
      <c r="CO180" s="42" t="str">
        <f aca="false">IF(Tasks[[#This Row],[_Pred1Text]]="","",IFERROR(VALUE(LEFT(Tasks[[#This Row],[_Pred1Text]],MIN(FIND("F",Tasks[[#This Row],[_Pred1Text]]&amp;"F"),FIND("S",Tasks[[#This Row],[_Pred1Text]]&amp;"S"),FIND("+",Tasks[[#This Row],[_Pred1Text]]&amp;"+"),FIND("-",Tasks[[#This Row],[_Pred1Text]]&amp;"-"))-1)),""))</f>
        <v/>
      </c>
      <c r="CP18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0" s="42" t="str">
        <f aca="false">IF(Tasks[[#This Row],[_Pred1Text]]="","",TRIM(MID(SUBSTITUTE(SUBSTITUTE(SUBSTITUTE(UPPER(Tasks[[#This Row],[_Predecessors]]),";",",")," ",""),",",REPT(" ",99)),100,99)))</f>
        <v/>
      </c>
      <c r="CS180" s="42" t="str">
        <f aca="false">IF(Tasks[[#This Row],[_Pred2Text]]="","",IFERROR(VALUE(LEFT(Tasks[[#This Row],[_Pred2Text]],MIN(FIND("F",Tasks[[#This Row],[_Pred2Text]]&amp;"F"),FIND("S",Tasks[[#This Row],[_Pred2Text]]&amp;"S"),FIND("+",Tasks[[#This Row],[_Pred2Text]]&amp;"+"),FIND("-",Tasks[[#This Row],[_Pred2Text]]&amp;"-"))-1)),""))</f>
        <v/>
      </c>
      <c r="CT18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0" s="42" t="str">
        <f aca="false">IF(Tasks[[#This Row],[_Pred2Text]]="","",TRIM(MID(SUBSTITUTE(SUBSTITUTE(SUBSTITUTE(UPPER(Tasks[[#This Row],[_Predecessors]]),";",",")," ",""),",",REPT(" ",99)),199,99)))</f>
        <v/>
      </c>
      <c r="CW180" s="42" t="str">
        <f aca="false">IF(Tasks[[#This Row],[_Pred3Text]]="","",IFERROR(VALUE(LEFT(Tasks[[#This Row],[_Pred3Text]],MIN(FIND("F",Tasks[[#This Row],[_Pred3Text]]&amp;"F"),FIND("S",Tasks[[#This Row],[_Pred3Text]]&amp;"S"),FIND("+",Tasks[[#This Row],[_Pred3Text]]&amp;"+"),FIND("-",Tasks[[#This Row],[_Pred3Text]]&amp;"-"))-1)),""))</f>
        <v/>
      </c>
      <c r="CX18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0" s="42" t="str">
        <f aca="false">IF(Tasks[[#This Row],[_Pred3Text]]="","",TRIM(MID(SUBSTITUTE(SUBSTITUTE(SUBSTITUTE(UPPER(Tasks[[#This Row],[_Predecessors]]),";",",")," ",""),",",REPT(" ",99)),298,99)))</f>
        <v/>
      </c>
      <c r="DA180" s="42" t="str">
        <f aca="false">IF(Tasks[[#This Row],[_Pred4Text]]="","",IFERROR(VALUE(LEFT(Tasks[[#This Row],[_Pred4Text]],MIN(FIND("F",Tasks[[#This Row],[_Pred4Text]]&amp;"F"),FIND("S",Tasks[[#This Row],[_Pred4Text]]&amp;"S"),FIND("+",Tasks[[#This Row],[_Pred4Text]]&amp;"+"),FIND("-",Tasks[[#This Row],[_Pred4Text]]&amp;"-"))-1)),""))</f>
        <v/>
      </c>
      <c r="DB18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0" s="42" t="str">
        <f aca="false">IF(OR(Tasks[[#This Row],[Task Name]]="",Tasks[[#This Row],[_Resources]]=""),"",TRIM(MID(SUBSTITUTE(Tasks[[#This Row],[_Resources]],",",REPT(" ",99)),1,99)))</f>
        <v/>
      </c>
      <c r="DE180" s="42" t="str">
        <f aca="false">IF(Tasks[[#This Row],[_Res1Text]]="","",TRIM(MID(SUBSTITUTE(Tasks[[#This Row],[_Resources]],",",REPT(" ",99)),100,99)))</f>
        <v/>
      </c>
      <c r="DF180" s="42" t="str">
        <f aca="false">IF(Tasks[[#This Row],[_Res2Text]]="","",TRIM(MID(SUBSTITUTE(Tasks[[#This Row],[_Resources]],",",REPT(" ",99)),199,99)))</f>
        <v/>
      </c>
      <c r="DG180" s="42" t="str">
        <f aca="false">IF(Tasks[[#This Row],[_Res3Text]]="","",TRIM(MID(SUBSTITUTE(Tasks[[#This Row],[_Resources]],",",REPT(" ",99)),298,99)))</f>
        <v/>
      </c>
      <c r="DH180" s="42" t="n">
        <f aca="false">IF(Tasks[[#This Row],[_Res1Text]]="",0,IFERROR(MATCH(TRIM(LEFT(Tasks[[#This Row],[_Res1Text]],FIND("[",Tasks[[#This Row],[_Res1Text]]&amp;"[")-1)),res_Name,0),IFERROR(MATCH(TRIM(LEFT(Tasks[[#This Row],[_Res1Text]],FIND("[",Tasks[[#This Row],[_Res1Text]]&amp;"[")-1)),res_Initials,0),0)))</f>
        <v>0</v>
      </c>
      <c r="DI180" s="42" t="n">
        <f aca="false">IF(Tasks[[#This Row],[_Res2Text]]="",0,IFERROR(MATCH(TRIM(LEFT(Tasks[[#This Row],[_Res2Text]],FIND("[",Tasks[[#This Row],[_Res2Text]]&amp;"[")-1)),res_Name,0),IFERROR(MATCH(TRIM(LEFT(Tasks[[#This Row],[_Res2Text]],FIND("[",Tasks[[#This Row],[_Res2Text]]&amp;"[")-1)),res_Initials,0),0)))</f>
        <v>0</v>
      </c>
      <c r="DJ180" s="42" t="n">
        <f aca="false">IF(Tasks[[#This Row],[_Res3Text]]="",0,IFERROR(MATCH(TRIM(LEFT(Tasks[[#This Row],[_Res3Text]],FIND("[",Tasks[[#This Row],[_Res3Text]]&amp;"[")-1)),res_Name,0),IFERROR(MATCH(TRIM(LEFT(Tasks[[#This Row],[_Res3Text]],FIND("[",Tasks[[#This Row],[_Res3Text]]&amp;"[")-1)),res_Initials,0),0)))</f>
        <v>0</v>
      </c>
      <c r="DK180" s="42" t="n">
        <f aca="false">IF(Tasks[[#This Row],[_Res4Text]]="",0,IFERROR(MATCH(TRIM(LEFT(Tasks[[#This Row],[_Res4Text]],FIND("[",Tasks[[#This Row],[_Res4Text]]&amp;"[")-1)),res_Name,0),IFERROR(MATCH(TRIM(LEFT(Tasks[[#This Row],[_Res4Text]],FIND("[",Tasks[[#This Row],[_Res4Text]]&amp;"[")-1)),res_Initials,0),0)))</f>
        <v>0</v>
      </c>
      <c r="DL180" s="42" t="str">
        <f aca="false">IF(Tasks[[#This Row],[_Res1Text]]="","",IF(Tasks[[#This Row],[_Res1Row]]&gt;0,INDEX(res_Name,Tasks[[#This Row],[_Res1Row]]),TRIM(LEFT(Tasks[[#This Row],[_Res1Text]],FIND("[",Tasks[[#This Row],[_Res1Text]]&amp;"[")-1))))</f>
        <v/>
      </c>
      <c r="DM18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0" s="42" t="n">
        <f aca="false">IF(NOT(Tasks[[#This Row],[_IsLeaf]]=1),0,(Tasks[[#This Row],[_Resource1]]&lt;&gt;"")+(Tasks[[#This Row],[_Res2]]&lt;&gt;"")+(Tasks[[#This Row],[_Res3]]&lt;&gt;"")+(Tasks[[#This Row],[_Res4]]&lt;&gt;""))</f>
        <v>0</v>
      </c>
      <c r="DO180" s="42" t="str">
        <f aca="false">IF(Tasks[[#This Row],[_Res2Text]]="","",IF(Tasks[[#This Row],[_Res2Row]]&gt;0,INDEX(res_Name,Tasks[[#This Row],[_Res2Row]]),TRIM(LEFT(Tasks[[#This Row],[_Res2Text]],FIND("[",Tasks[[#This Row],[_Res2Text]]&amp;"[")-1))))</f>
        <v/>
      </c>
      <c r="DP18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0" s="42" t="n">
        <f aca="false">IF(OR(NOT(Tasks[[#This Row],[_IsLeaf]]=1),Tasks[[#This Row],[_Res2Row]]=0),0,N(Tasks[[#This Row],[_Days]])*HoursPerDay*IF(Tasks[[#This Row],[_Res2Units]]="",DefaultUnits,Tasks[[#This Row],[_Res2Units]]))</f>
        <v>0</v>
      </c>
      <c r="DR180" s="42" t="n">
        <f aca="false">IF(AND(AND(Tasks[[#This Row],[_IsLeaf]]=1,Tasks[[#This Row],[_LeafTotalWork]]&gt;0),Tasks[[#This Row],[_Res2Work]]&gt;0),Tasks[[#This Row],[_Res2Work]]/(Tasks[[#This Row],[_FinishWorkday]]-Tasks[[#This Row],[_StartWorkday]]+1),0)</f>
        <v>0</v>
      </c>
      <c r="DS180" s="42" t="n">
        <f aca="false">Tasks[[#This Row],[_Res2WorkPerWD]]*MAX(0,Tasks[[#This Row],[_StartWorkday]]-1)</f>
        <v>0</v>
      </c>
      <c r="DT180" s="42" t="n">
        <f aca="false">Tasks[[#This Row],[_Res2Work]]*Tasks[[#This Row],[_LeafProgress]]</f>
        <v>0</v>
      </c>
      <c r="DU180" s="42" t="str">
        <f aca="false">IF(Tasks[[#This Row],[_Res3Text]]="","",IF(Tasks[[#This Row],[_Res3Row]]&gt;0,INDEX(res_Name,Tasks[[#This Row],[_Res3Row]]),TRIM(LEFT(Tasks[[#This Row],[_Res3Text]],FIND("[",Tasks[[#This Row],[_Res3Text]]&amp;"[")-1))))</f>
        <v/>
      </c>
      <c r="DV18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0" s="42" t="n">
        <f aca="false">IF(OR(NOT(Tasks[[#This Row],[_IsLeaf]]=1),Tasks[[#This Row],[_Res3Row]]=0),0,N(Tasks[[#This Row],[_Days]])*HoursPerDay*IF(Tasks[[#This Row],[_Res3Units]]="",DefaultUnits,Tasks[[#This Row],[_Res3Units]]))</f>
        <v>0</v>
      </c>
      <c r="DX180" s="42" t="n">
        <f aca="false">IF(AND(AND(Tasks[[#This Row],[_IsLeaf]]=1,Tasks[[#This Row],[_LeafTotalWork]]&gt;0),Tasks[[#This Row],[_Res3Work]]&gt;0),Tasks[[#This Row],[_Res3Work]]/(Tasks[[#This Row],[_FinishWorkday]]-Tasks[[#This Row],[_StartWorkday]]+1),0)</f>
        <v>0</v>
      </c>
      <c r="DY180" s="42" t="n">
        <f aca="false">Tasks[[#This Row],[_Res3WorkPerWD]]*MAX(0,Tasks[[#This Row],[_StartWorkday]]-1)</f>
        <v>0</v>
      </c>
      <c r="DZ180" s="42" t="n">
        <f aca="false">Tasks[[#This Row],[_Res3Work]]*Tasks[[#This Row],[_LeafProgress]]</f>
        <v>0</v>
      </c>
      <c r="EA180" s="42" t="str">
        <f aca="false">IF(Tasks[[#This Row],[_Res4Text]]="","",IF(Tasks[[#This Row],[_Res4Row]]&gt;0,INDEX(res_Name,Tasks[[#This Row],[_Res4Row]]),TRIM(LEFT(Tasks[[#This Row],[_Res4Text]],FIND("[",Tasks[[#This Row],[_Res4Text]]&amp;"[")-1))))</f>
        <v/>
      </c>
      <c r="EB18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0" s="42" t="n">
        <f aca="false">IF(OR(NOT(Tasks[[#This Row],[_IsLeaf]]=1),Tasks[[#This Row],[_Res4Row]]=0),0,N(Tasks[[#This Row],[_Days]])*HoursPerDay*IF(Tasks[[#This Row],[_Res4Units]]="",DefaultUnits,Tasks[[#This Row],[_Res4Units]]))</f>
        <v>0</v>
      </c>
      <c r="ED180" s="42" t="n">
        <f aca="false">IF(AND(AND(Tasks[[#This Row],[_IsLeaf]]=1,Tasks[[#This Row],[_LeafTotalWork]]&gt;0),Tasks[[#This Row],[_Res4Work]]&gt;0),Tasks[[#This Row],[_Res4Work]]/(Tasks[[#This Row],[_FinishWorkday]]-Tasks[[#This Row],[_StartWorkday]]+1),0)</f>
        <v>0</v>
      </c>
      <c r="EE180" s="42" t="n">
        <f aca="false">Tasks[[#This Row],[_Res4WorkPerWD]]*MAX(0,Tasks[[#This Row],[_StartWorkday]]-1)</f>
        <v>0</v>
      </c>
      <c r="EF180" s="42" t="n">
        <f aca="false">Tasks[[#This Row],[_Res4Work]]*Tasks[[#This Row],[_LeafProgress]]</f>
        <v>0</v>
      </c>
      <c r="EG180" s="42" t="n">
        <f aca="false">IF(ISNUMBER(Tasks[[#This Row],[% Complete]]),Tasks[[#This Row],[% Complete]],IF(Tasks[[#This Row],[Stage]]="",0,IFERROR(INDEX(stg_Pct,MATCH(Tasks[[#This Row],[Stage]],stg_Name,0)),0)))</f>
        <v>0</v>
      </c>
      <c r="EH180" s="42" t="n">
        <f aca="false">IF(NOT(Tasks[[#This Row],[_IsLeaf]]=1),0,IF(N(Tasks[[#This Row],[Actual Finish]])&gt;0,1,MIN(1,Tasks[[#This Row],[_Pct]])))</f>
        <v>0</v>
      </c>
      <c r="EI180" s="42" t="n">
        <f aca="false">IF(OR(NOT(Tasks[[#This Row],[_IsLeaf]]=1),Tasks[[#This Row],[_Res1Row]]=0),0,N(Tasks[[#This Row],[_Days]])*HoursPerDay*IF(Tasks[[#This Row],[_Units1]]="",DefaultUnits,Tasks[[#This Row],[_Units1]]))</f>
        <v>0</v>
      </c>
      <c r="EJ180" s="42" t="n">
        <f aca="false">Tasks[[#This Row],[_LeafWork]]+Tasks[[#This Row],[_Res2Work]]+Tasks[[#This Row],[_Res3Work]]+Tasks[[#This Row],[_Res4Work]]</f>
        <v>0</v>
      </c>
      <c r="EK18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0" s="42" t="n">
        <f aca="false">IF(NOT(Tasks[[#This Row],[_IsLeaf]]=1),0,MAX(_xlfn.MAXIFS(Tasks[_Row],Tasks[_Pred1UID],Tasks[[#This Row],[UID]]),_xlfn.MAXIFS(Tasks[_Row],Tasks[_Pred2UID],Tasks[[#This Row],[UID]]),_xlfn.MAXIFS(Tasks[_Row],Tasks[_Pred3UID],Tasks[[#This Row],[UID]]),_xlfn.MAXIFS(Tasks[_Row],Tasks[_Pred4UID],Tasks[[#This Row],[UID]])))</f>
        <v>0</v>
      </c>
      <c r="ET18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0" s="89" t="str">
        <f aca="false">IF(NOT(Tasks[[#This Row],[_IsLeaf]]=1),"",IF(N(Tasks[[#This Row],[_Days]])&lt;=0,Tasks[[#This Row],[_LeafLateFinish]],WORKDAY.INTL(Tasks[[#This Row],[_LeafLateFinish]],-(Tasks[[#This Row],[_Days]]-1),WorkWeek,Holidays)))</f>
        <v/>
      </c>
      <c r="EW18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0" s="88" t="b">
        <f aca="false">AND(Tasks[[#This Row],[_IsLeaf]]=1,Tasks[[#This Row],[_LeafProgress]]&lt;1,N(Tasks[[#This Row],[_LeafTotalSlack]])&lt;=CriticalSlackDays)</f>
        <v>0</v>
      </c>
      <c r="EY180" s="42" t="n">
        <f aca="false">IF(AND(Tasks[[#This Row],[_IsLeaf]]=1,Tasks[[#This Row],[_ConstraintCode]]=1,Tasks[[#This Row],[Mode]]&lt;&gt;"Manual",N(Tasks[[#This Row],[Actual Start]])=0),MAX(0,N(Tasks[[#This Row],[Free Slack]])),0)</f>
        <v>0</v>
      </c>
      <c r="EZ180" s="89" t="str">
        <f aca="false">IF(NOT(Tasks[[#This Row],[_IsLeaf]]=1),"",IF(Tasks[[#This Row],[_AlapShift]]=0,Tasks[[#This Row],[_LeafCalcStart]],WORKDAY.INTL(Tasks[[#This Row],[_LeafCalcStart]],Tasks[[#This Row],[_AlapShift]],WorkWeek,Holidays)))</f>
        <v/>
      </c>
      <c r="FA180" s="89" t="str">
        <f aca="false">IF(NOT(Tasks[[#This Row],[_IsLeaf]]=1),"",IF(Tasks[[#This Row],[_AlapShift]]=0,Tasks[[#This Row],[_LeafCalcFinish]],WORKDAY.INTL(Tasks[[#This Row],[_LeafCalcFinish]],Tasks[[#This Row],[_AlapShift]],WorkWeek,Holidays)))</f>
        <v/>
      </c>
      <c r="FB180" s="89" t="str">
        <f aca="false">IF(NOT(Tasks[[#This Row],[_IsLeaf]]=1),"",IF(Tasks[[#This Row],[_AlapShift]]=0,Tasks[[#This Row],[_LeafFcstStart]],WORKDAY.INTL(Tasks[[#This Row],[_LeafFcstStart]],Tasks[[#This Row],[_AlapShift]],WorkWeek,Holidays)))</f>
        <v/>
      </c>
      <c r="FC180" s="89" t="str">
        <f aca="false">IF(NOT(Tasks[[#This Row],[_IsLeaf]]=1),"",IF(Tasks[[#This Row],[_AlapShift]]=0,Tasks[[#This Row],[_LeafFcstFinish]],WORKDAY.INTL(Tasks[[#This Row],[_LeafFcstFinish]],Tasks[[#This Row],[_AlapShift]],WorkWeek,Holidays)))</f>
        <v/>
      </c>
      <c r="FD180" s="89" t="str">
        <f aca="false">IF(Tasks[[#This Row],[Task Name]]="","",IF(Tasks[[#This Row],[_IsSummary]],MIN(INDEX(Tasks[_ShownCalcStart],Tasks[[#This Row],[_Row]]+1):INDEX(Tasks[_ShownCalcStart],Tasks[[#This Row],[_Row]]+Tasks[[#This Row],[_Descendants]])),Tasks[[#This Row],[_ShownCalcStart]]))</f>
        <v/>
      </c>
      <c r="FE180" s="89" t="str">
        <f aca="false">IF(Tasks[[#This Row],[Task Name]]="","",IF(Tasks[[#This Row],[_IsSummary]],MAX(INDEX(Tasks[_ShownCalcFinish],Tasks[[#This Row],[_Row]]+1):INDEX(Tasks[_ShownCalcFinish],Tasks[[#This Row],[_Row]]+Tasks[[#This Row],[_Descendants]])),Tasks[[#This Row],[_ShownCalcFinish]]))</f>
        <v/>
      </c>
      <c r="FF18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0" s="42" t="n">
        <f aca="false">IF(AND(Tasks[[#This Row],[_IsLeaf]]=1,Tasks[[#This Row],[_LeafTotalWork]]&gt;0),NETWORKDAYS.INTL(ProjectStart,Tasks[[#This Row],[_ShownFcstStart]],WorkWeek,Holidays),0)</f>
        <v>0</v>
      </c>
      <c r="FS180" s="42" t="n">
        <f aca="false">IF(AND(Tasks[[#This Row],[_IsLeaf]]=1,Tasks[[#This Row],[_LeafTotalWork]]&gt;0),MAX(Tasks[[#This Row],[_StartWorkday]],NETWORKDAYS.INTL(ProjectStart,Tasks[[#This Row],[_ShownFcstFinish]],WorkWeek,Holidays)),0)</f>
        <v>0</v>
      </c>
      <c r="FT180" s="42" t="n">
        <f aca="false">IF(AND(Tasks[[#This Row],[_IsLeaf]]=1,Tasks[[#This Row],[_LeafTotalWork]]&gt;0),Tasks[[#This Row],[_LeafWork]]/(Tasks[[#This Row],[_FinishWorkday]]-Tasks[[#This Row],[_StartWorkday]]+1),0)</f>
        <v>0</v>
      </c>
      <c r="FU180" s="42" t="n">
        <f aca="false">Tasks[[#This Row],[_WorkPerWorkday]]*(Tasks[[#This Row],[_StartWorkday]]-1)</f>
        <v>-0</v>
      </c>
      <c r="FV180" s="42" t="n">
        <f aca="false">IF(Tasks[[#This Row],[_IsLeaf]]=1,MAX(N(Tasks[[#This Row],[_Days]]),0.1),0)</f>
        <v>0</v>
      </c>
      <c r="FW180" s="42" t="n">
        <f aca="false">Tasks[[#This Row],[_WeightDur]]*Tasks[[#This Row],[_LeafProgress]]</f>
        <v>0</v>
      </c>
      <c r="FX180" s="42" t="n">
        <f aca="false">Tasks[[#This Row],[_WeightDur]]*Tasks[[#This Row],[_PlannedPct]]</f>
        <v>0</v>
      </c>
      <c r="FY18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0" s="42" t="str">
        <f aca="false">IF(AND(Tasks[[#This Row],[_IsLeaf]]=1,N(Tasks[[#This Row],[_Days]])=0,Tasks[[#This Row],[_LeafProgress]]&lt;1),Tasks[[#This Row],[_ShownFcstFinish]]+Tasks[[#This Row],[_Row]]/100000,"")</f>
        <v/>
      </c>
      <c r="GA18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0" s="42" t="str">
        <f aca="false">IF(Tasks[[#This Row],[Task Name]]="","",LEFT(Tasks[[#This Row],[WBS]],FIND(".",Tasks[[#This Row],[WBS]]&amp;".")-1))</f>
        <v/>
      </c>
      <c r="GC180" s="42" t="str">
        <f aca="false">IF(AND(Tasks[[#This Row],[Task Name]]&lt;&gt;"",Tasks[[#This Row],[_Level]]=1),Tasks[[#This Row],[_Row]],"")</f>
        <v/>
      </c>
      <c r="GD180" s="42" t="str">
        <f aca="false">IF(AND(Tasks[[#This Row],[_IsLeaf]]=1,N(Tasks[[#This Row],[_Days]])=0),Tasks[[#This Row],[Planned Finish]]+Tasks[[#This Row],[_Row]]/100000,"")</f>
        <v/>
      </c>
      <c r="GE180" s="42" t="str">
        <f aca="false">IF(AND(Tasks[[#This Row],[_IsLeaf]]=1,Tasks[[#This Row],[_LeafProgress]]&lt;1,OR(N(Tasks[[#This Row],[Finish Var]])&gt;0,Tasks[[#This Row],[Status]]="Late Start")),MAX(0,Tasks[[#This Row],[Finish Var]])+1-Tasks[[#This Row],[_Row]]/1000000,"")</f>
        <v/>
      </c>
      <c r="GF180" s="42" t="str">
        <f aca="false">IF(AND(Tasks[[#This Row],[_IsLeaf]]=1,N(Tasks[[#This Row],[Actual Start]])=0,Tasks[[#This Row],[_ShownFcstStart]]&gt;=StatusDate,Tasks[[#This Row],[_ShownFcstStart]]&lt;=LookaheadEnd),Tasks[[#This Row],[_ShownFcstStart]]+Tasks[[#This Row],[_Row]]/100000,"")</f>
        <v/>
      </c>
      <c r="GG180" s="42" t="str">
        <f aca="false">IF(AND(Tasks[[#This Row],[_IsLeaf]]=1,Tasks[[#This Row],[_LeafProgress]]&lt;1,Tasks[[#This Row],[_ShownFcstFinish]]&gt;=StatusDate,Tasks[[#This Row],[_ShownFcstFinish]]&lt;=LookaheadEnd),Tasks[[#This Row],[_ShownFcstFinish]]+Tasks[[#This Row],[_Row]]/100000,"")</f>
        <v/>
      </c>
      <c r="GH180" s="42" t="str">
        <f aca="false">IF(Tasks[[#This Row],[_LeafCritical]],Tasks[[#This Row],[_ShownFcstStart]]+Tasks[[#This Row],[_Row]]/100000,"")</f>
        <v/>
      </c>
      <c r="GI180" s="42" t="n">
        <f aca="false">Tasks[[#This Row],[_LeafWork]]*Tasks[[#This Row],[_LeafProgress]]</f>
        <v>0</v>
      </c>
      <c r="GJ180" s="89" t="str">
        <f aca="false">IF(AND(Tasks[[#This Row],[_IsLeaf]]=1,Tasks[[#This Row],[_LeafProgress]]&gt;=1),IF(N(Tasks[[#This Row],[Actual Finish]])&gt;0,Tasks[[#This Row],[Actual Finish]],Tasks[[#This Row],[_ShownFcstFinish]]),"")</f>
        <v/>
      </c>
      <c r="GK180" s="42" t="n">
        <f aca="false">IF(Tasks[[#This Row],[_IsLeaf]]=1,N(Tasks[[#This Row],[Story Points]]),0)</f>
        <v>0</v>
      </c>
      <c r="GL180" s="42" t="str">
        <f aca="false">""</f>
        <v/>
      </c>
      <c r="GM180" s="88" t="b">
        <f aca="false">IF(Tasks[[#This Row],[Task Name]]="",FALSE(),AND(Tasks[[#This Row],[_IsLeaf]]=1,N(Tasks[[#This Row],[_Days]])=0))</f>
        <v>0</v>
      </c>
      <c r="GN180" s="89" t="n">
        <f aca="false">IF(Tasks[[#This Row],[Task Name]]="",0,IF(AND(Tasks[[#This Row],[_IsLeaf]]=1,NOT(Tasks[[#This Row],[_IsMilestone]]),N(Tasks[[#This Row],[Progress]])&gt;0),Tasks[[#This Row],[Start]],0))</f>
        <v>0</v>
      </c>
      <c r="GO180" s="89" t="n">
        <f aca="false">IF(Tasks[[#This Row],[_DoneFrom]]=0,0,IF(Tasks[[#This Row],[Progress]]&gt;=1,Tasks[[#This Row],[Finish]],MAX(Tasks[[#This Row],[_DoneFrom]],Tasks[[#This Row],[Start]]+ROUND((Tasks[[#This Row],[Finish]]-Tasks[[#This Row],[Start]]+1)*Tasks[[#This Row],[Progress]],0)-1)))</f>
        <v>0</v>
      </c>
      <c r="GP180" s="89" t="n">
        <f aca="false">IF(Tasks[[#This Row],[Task Name]]="",0,IF(OR(NOT(Tasks[[#This Row],[_IsLeaf]]=1),Tasks[[#This Row],[_IsMilestone]],N(Tasks[[#This Row],[Progress]])&gt;=1),0,IF(Tasks[[#This Row],[_DoneTo]]&gt;0,Tasks[[#This Row],[_DoneTo]]+1,Tasks[[#This Row],[Start]])))</f>
        <v>0</v>
      </c>
      <c r="GQ180" s="89" t="n">
        <f aca="false">IF(Tasks[[#This Row],[_RemFrom]]=0,0,Tasks[[#This Row],[Finish]])</f>
        <v>0</v>
      </c>
      <c r="GR180" s="88" t="b">
        <f aca="false">IF(Tasks[[#This Row],[Task Name]]="",FALSE(),OR(NOT(BaselineSet),N(Tasks[[#This Row],[Baseline Start]])&gt;0))</f>
        <v>0</v>
      </c>
      <c r="GS18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0" s="90" t="str">
        <f aca="false">IF(Tasks[[#This Row],[_IsLeaf]]=1,Tasks[[#This Row],[_Row]],"")</f>
        <v/>
      </c>
      <c r="GW180" s="90" t="str">
        <f aca="false">IFERROR(INDEX(Tasks[UID],SMALL(Tasks[_PickKey],Tasks[[#This Row],[_Row]]))&amp;" "&amp;INDEX(Tasks[Task Name],SMALL(Tasks[_PickKey],Tasks[[#This Row],[_Row]])),"")</f>
        <v/>
      </c>
      <c r="GX180" s="42" t="str">
        <f aca="false">IF(Tasks[[#This Row],[Task Name]]="","",IF(Tasks[[#This Row],[_IsSummary]],NETWORKDAYS.INTL(Tasks[[#This Row],[Start]],Tasks[[#This Row],[Finish]],WorkWeek,Holidays),N(Tasks[[#This Row],[_Days]])))</f>
        <v/>
      </c>
    </row>
    <row r="181" customFormat="false" ht="15" hidden="false" customHeight="false" outlineLevel="0" collapsed="false">
      <c r="A181" s="21" t="str">
        <f aca="false">IF(Tasks[[#This Row],[Task Name]]="","",COUNTA(Tasks[[#Headers],[Task Name]]:Tasks[[#This Row],[Task Name]])-1)</f>
        <v/>
      </c>
      <c r="B181" s="22" t="n">
        <v>189</v>
      </c>
      <c r="C181" s="22"/>
      <c r="D181" s="23"/>
      <c r="E181" s="22"/>
      <c r="F181" s="23"/>
      <c r="G181" s="22"/>
      <c r="H181" s="22"/>
      <c r="I181" s="23"/>
      <c r="J181" s="22"/>
      <c r="K181" s="22"/>
      <c r="L181" s="23"/>
      <c r="M181" s="22"/>
      <c r="N181" s="22"/>
      <c r="O181" s="23"/>
      <c r="P181" s="22"/>
      <c r="Q181" s="22"/>
      <c r="R181" s="23"/>
      <c r="S181" s="23"/>
      <c r="T181" s="83"/>
      <c r="U181" s="23"/>
      <c r="V181" s="83"/>
      <c r="W181" s="23"/>
      <c r="X181" s="83"/>
      <c r="Y181" s="23"/>
      <c r="Z181" s="83"/>
      <c r="AA181" s="23"/>
      <c r="AB181" s="23"/>
      <c r="AC181" s="7"/>
      <c r="AD181" s="7"/>
      <c r="AE181" s="62" t="str">
        <f aca="false">IF(Tasks[[#This Row],[Task Name]]="","",IF(Tasks[[#This Row],[_IsSummary]],MIN(INDEX(Tasks[_ShownFcstStart],Tasks[[#This Row],[_Row]]+1):INDEX(Tasks[_ShownFcstStart],Tasks[[#This Row],[_Row]]+Tasks[[#This Row],[_Descendants]])),Tasks[[#This Row],[_ShownFcstStart]]))</f>
        <v/>
      </c>
      <c r="AF181" s="62" t="str">
        <f aca="false">IF(Tasks[[#This Row],[Task Name]]="","",IF(Tasks[[#This Row],[_IsSummary]],MAX(INDEX(Tasks[_ShownFcstFinish],Tasks[[#This Row],[_Row]]+1):INDEX(Tasks[_ShownFcstFinish],Tasks[[#This Row],[_Row]]+Tasks[[#This Row],[_Descendants]])),Tasks[[#This Row],[_ShownFcstFinish]]))</f>
        <v/>
      </c>
      <c r="AG181" s="21" t="str">
        <f aca="false">""</f>
        <v/>
      </c>
      <c r="AH181" s="23"/>
      <c r="AI18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1" s="7"/>
      <c r="AK181" s="22"/>
      <c r="AL181" s="23"/>
      <c r="AM181" s="7"/>
      <c r="AN181" s="46" t="str">
        <f aca="false">IF(Tasks[[#This Row],[Task Name]]="","",IF(Tasks[[#This Row],[Finish]]&gt;=Tasks[[#This Row],[Planned Finish]],NETWORKDAYS.INTL(Tasks[[#This Row],[Planned Finish]],Tasks[[#This Row],[Finish]],WorkWeek,Holidays)-1,1-NETWORKDAYS.INTL(Tasks[[#This Row],[Finish]],Tasks[[#This Row],[Planned Finish]],WorkWeek,Holidays)))</f>
        <v/>
      </c>
      <c r="AO181" s="21" t="str">
        <f aca="false">IF(Tasks[[#This Row],[Task Name]]="","",IF(Tasks[[#This Row],[Progress]]&gt;=1,"Complete",IF(OR(N(Tasks[[#This Row],[Actual Start]])&gt;0,Tasks[[#This Row],[Progress]]&gt;0),IF(Tasks[[#This Row],[Finish Var]]&gt;0,"Behind","In Progress"),IF(Tasks[[#This Row],[Planned Start]]&lt;StatusDate,"Late Start","Not Started"))))</f>
        <v/>
      </c>
      <c r="AP181" s="21" t="str">
        <f aca="false">IF(Tasks[[#This Row],[Task Name]]="","",IF(IF(Tasks[[#This Row],[_IsSummary]],COUNTIF(INDEX(Tasks[_LeafCritical],Tasks[[#This Row],[_Row]]+1):INDEX(Tasks[_LeafCritical],Tasks[[#This Row],[_Row]]+Tasks[[#This Row],[_Descendants]]),TRUE())&gt;0,Tasks[[#This Row],[_LeafCritical]]),"Yes",""))</f>
        <v/>
      </c>
      <c r="AQ181" s="62" t="str">
        <f aca="false">IF(Tasks[[#This Row],[Task Name]]="","",IF(N(Tasks[[#This Row],[Baseline Start]])&gt;0,Tasks[[#This Row],[Baseline Start]],Tasks[[#This Row],[_CalcStart]]))</f>
        <v/>
      </c>
      <c r="AR181" s="62" t="str">
        <f aca="false">IF(Tasks[[#This Row],[Task Name]]="","",IF(N(Tasks[[#This Row],[Baseline Finish]])&gt;0,Tasks[[#This Row],[Baseline Finish]],Tasks[[#This Row],[_CalcFinish]]))</f>
        <v/>
      </c>
      <c r="AS181" s="46" t="str">
        <f aca="false">IF(Tasks[[#This Row],[Task Name]]="","",IF(Tasks[[#This Row],[Start]]&gt;=Tasks[[#This Row],[Planned Start]],NETWORKDAYS.INTL(Tasks[[#This Row],[Planned Start]],Tasks[[#This Row],[Start]],WorkWeek,Holidays)-1,1-NETWORKDAYS.INTL(Tasks[[#This Row],[Start]],Tasks[[#This Row],[Planned Start]],WorkWeek,Holidays)))</f>
        <v/>
      </c>
      <c r="AT181" s="62" t="str">
        <f aca="false">IF(Tasks[[#This Row],[Task Name]]="","",IF(Tasks[[#This Row],[_IsSummary]],MIN(INDEX(Tasks[_LeafLateStart],Tasks[[#This Row],[_Row]]+1):INDEX(Tasks[_LeafLateStart],Tasks[[#This Row],[_Row]]+Tasks[[#This Row],[_Descendants]])),Tasks[[#This Row],[_LeafLateStart]]))</f>
        <v/>
      </c>
      <c r="AU181" s="62" t="str">
        <f aca="false">IF(Tasks[[#This Row],[Task Name]]="","",IF(Tasks[[#This Row],[_IsSummary]],MAX(INDEX(Tasks[_LeafLateFinish],Tasks[[#This Row],[_Row]]+1):INDEX(Tasks[_LeafLateFinish],Tasks[[#This Row],[_Row]]+Tasks[[#This Row],[_Descendants]])),Tasks[[#This Row],[_LeafLateFinish]]))</f>
        <v/>
      </c>
      <c r="AV181" s="46" t="str">
        <f aca="false">IF(Tasks[[#This Row],[Task Name]]="","",IF(Tasks[[#This Row],[_IsSummary]],MIN(INDEX(Tasks[_LeafTotalSlack],Tasks[[#This Row],[_Row]]+1):INDEX(Tasks[_LeafTotalSlack],Tasks[[#This Row],[_Row]]+Tasks[[#This Row],[_Descendants]])),Tasks[[#This Row],[_LeafTotalSlack]]))</f>
        <v/>
      </c>
      <c r="AW18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4"/>
      <c r="BA18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t="str">
        <f aca="false">IF(Tasks[[#This Row],[Task Name]]="","",IF(Tasks[[#This Row],[_Level]]&lt;=OutlineShowLevel,"Yes","No"))</f>
        <v/>
      </c>
      <c r="BE181" s="85" t="str">
        <f aca="false">IF(Tasks[[#This Row],[Task Name]]="","",IF(Tasks[[#This Row],[_IsSummary]],SUM(INDEX(Tasks[_LeafTotalWork],Tasks[[#This Row],[_Row]]+1):INDEX(Tasks[_LeafTotalWork],Tasks[[#This Row],[_Row]]+Tasks[[#This Row],[_Descendants]])),Tasks[[#This Row],[_LeafTotalWork]]))</f>
        <v/>
      </c>
      <c r="BF181" s="23"/>
      <c r="BG18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t="str">
        <f aca="false">""</f>
        <v/>
      </c>
      <c r="BI181" s="86"/>
      <c r="BJ181" s="22"/>
      <c r="BK181" s="46" t="str">
        <f aca="false">IF(OR(Tasks[[#This Row],[Task Name]]="",Tasks[[#This Row],[Baseline Duration]]=""),"",Tasks[[#This Row],[_SpanDays]]-N(Tasks[[#This Row],[Baseline Duration]]))</f>
        <v/>
      </c>
      <c r="BL181" s="85" t="str">
        <f aca="false">IF(OR(Tasks[[#This Row],[Task Name]]="",Tasks[[#This Row],[Baseline Work]]=""),"",Tasks[[#This Row],[Work]]-N(Tasks[[#This Row],[Baseline Work]]))</f>
        <v/>
      </c>
      <c r="BM181" s="62" t="str">
        <f aca="false">IF(Tasks[[#This Row],[Task Name]]="","",IF(OR(TakeBaseline="Yes",N(Tasks[[#This Row],[Baseline Start]])=0),Tasks[[#This Row],[Start]],Tasks[[#This Row],[Baseline Start]]))</f>
        <v/>
      </c>
      <c r="BN181" s="62" t="str">
        <f aca="false">IF(Tasks[[#This Row],[Task Name]]="","",IF(OR(TakeBaseline="Yes",N(Tasks[[#This Row],[Baseline Finish]])=0),Tasks[[#This Row],[Finish]],Tasks[[#This Row],[Baseline Finish]]))</f>
        <v/>
      </c>
      <c r="BO181" s="21" t="str">
        <f aca="false">IF(Tasks[[#This Row],[Task Name]]="","",IF(OR(TakeBaseline="Yes",N(Tasks[[#This Row],[Baseline Duration]])=0),Tasks[[#This Row],[_SpanDays]],Tasks[[#This Row],[Baseline Duration]]))</f>
        <v/>
      </c>
      <c r="BP181" s="85" t="str">
        <f aca="false">IF(Tasks[[#This Row],[Task Name]]="","",IF(OR(TakeBaseline="Yes",N(Tasks[[#This Row],[Baseline Work]])=0),Tasks[[#This Row],[Work]],Tasks[[#This Row],[Baseline Work]]))</f>
        <v/>
      </c>
      <c r="BQ181" s="7"/>
      <c r="BR181" s="7"/>
      <c r="BS181" s="22"/>
      <c r="BT181" s="87"/>
      <c r="BU181" s="42" t="str">
        <f aca="false">IF(Tasks[[#This Row],[Task Name]]="","",MAX(1,N(Tasks[[#This Row],[Level]])))</f>
        <v/>
      </c>
      <c r="BV181" s="42" t="n">
        <f aca="false">ROW()-ROW(Tasks[[#Headers],[ID]])</f>
        <v>176</v>
      </c>
      <c r="BW181" s="42" t="n">
        <f aca="false">IF(OR(Tasks[[#This Row],[Task Name]]="",Tasks[[#This Row],[_Level]]&lt;=1),0,IFERROR(LOOKUP(2,1/(Tasks[[#Headers],[_Level]]:Tasks[[#This Row],[_Level]]=Tasks[[#This Row],[_Level]]-1),ROW(Tasks[[#Headers],[_Level]]:Tasks[[#This Row],[_Level]])),0))</f>
        <v>0</v>
      </c>
      <c r="BX181" s="42" t="n">
        <f aca="false">IFERROR(N(INDEX(Tasks[_Level],Tasks[[#This Row],[_Row]]+1)),0)</f>
        <v>0</v>
      </c>
      <c r="BY181" s="88" t="b">
        <f aca="false">AND(Tasks[[#This Row],[Task Name]]&lt;&gt;"",Tasks[[#This Row],[_NextLevel]]&gt;Tasks[[#This Row],[_Level]])</f>
        <v>0</v>
      </c>
      <c r="BZ181" s="42" t="n">
        <f aca="false">IF(Tasks[[#This Row],[_IsSummary]],COUNTIF(Tasks[WBS],Tasks[[#This Row],[WBS]]&amp;".*"),0)</f>
        <v>0</v>
      </c>
      <c r="CA181" s="42" t="n">
        <f aca="false">IF(AND(Tasks[[#This Row],[Task Name]]&lt;&gt;"",NOT(Tasks[[#This Row],[_IsSummary]])),1,0)</f>
        <v>0</v>
      </c>
      <c r="CB181" s="42" t="n">
        <f aca="false">IF(N(Tasks[[#This Row],[_Pred1UID]])=0,0,IFERROR(MATCH(Tasks[[#This Row],[_Pred1UID]],Tasks[UID],0),-1))</f>
        <v>0</v>
      </c>
      <c r="CC181" s="42" t="n">
        <f aca="false">IF(N(Tasks[[#This Row],[_Pred2UID]])=0,0,IFERROR(MATCH(Tasks[[#This Row],[_Pred2UID]],Tasks[UID],0),-1))</f>
        <v>0</v>
      </c>
      <c r="CD181" s="42" t="n">
        <f aca="false">IF(N(Tasks[[#This Row],[_Pred3UID]])=0,0,IFERROR(MATCH(Tasks[[#This Row],[_Pred3UID]],Tasks[UID],0),-1))</f>
        <v>0</v>
      </c>
      <c r="CE181" s="42" t="n">
        <f aca="false">IF(N(Tasks[[#This Row],[_Pred4UID]])=0,0,IFERROR(MATCH(Tasks[[#This Row],[_Pred4UID]],Tasks[UID],0),-1))</f>
        <v>0</v>
      </c>
      <c r="CF18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1" s="89" t="n">
        <f aca="false">IF(OR(Tasks[[#This Row],[_ConstraintCode]]=2,Tasks[[#This Row],[_ConstraintCode]]=3,Tasks[[#This Row],[_ConstraintCode]]=4,Tasks[[#This Row],[_ConstraintCode]]=6),Tasks[[#This Row],[_ConstraintStart]],0)</f>
        <v>0</v>
      </c>
      <c r="CI181" s="89" t="n">
        <f aca="false">IF(OR(Tasks[[#This Row],[_ConstraintCode]]=2,Tasks[[#This Row],[_ConstraintCode]]=3,Tasks[[#This Row],[_ConstraintCode]]=5,Tasks[[#This Row],[_ConstraintCode]]=7),Tasks[[#This Row],[_ConstraintStart]],2958465)</f>
        <v>2958465</v>
      </c>
      <c r="CJ18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1" s="89" t="str">
        <f aca="false">IF(NOT(Tasks[[#This Row],[_IsLeaf]]=1),"",IF(N(Tasks[[#This Row],[_Days]])&lt;=0,Tasks[[#This Row],[_LeafCalcStart]],WORKDAY.INTL(Tasks[[#This Row],[_LeafCalcStart]],Tasks[[#This Row],[_Days]]-1,WorkWeek,Holidays)))</f>
        <v/>
      </c>
      <c r="CL18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1" s="42" t="str">
        <f aca="false">IF(Tasks[[#This Row],[_Predecessors]]="","",TRIM(MID(SUBSTITUTE(SUBSTITUTE(SUBSTITUTE(UPPER(Tasks[[#This Row],[_Predecessors]]),";",",")," ",""),",",REPT(" ",99)),1,99)))</f>
        <v/>
      </c>
      <c r="CO181" s="42" t="str">
        <f aca="false">IF(Tasks[[#This Row],[_Pred1Text]]="","",IFERROR(VALUE(LEFT(Tasks[[#This Row],[_Pred1Text]],MIN(FIND("F",Tasks[[#This Row],[_Pred1Text]]&amp;"F"),FIND("S",Tasks[[#This Row],[_Pred1Text]]&amp;"S"),FIND("+",Tasks[[#This Row],[_Pred1Text]]&amp;"+"),FIND("-",Tasks[[#This Row],[_Pred1Text]]&amp;"-"))-1)),""))</f>
        <v/>
      </c>
      <c r="CP18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1" s="42" t="str">
        <f aca="false">IF(Tasks[[#This Row],[_Pred1Text]]="","",TRIM(MID(SUBSTITUTE(SUBSTITUTE(SUBSTITUTE(UPPER(Tasks[[#This Row],[_Predecessors]]),";",",")," ",""),",",REPT(" ",99)),100,99)))</f>
        <v/>
      </c>
      <c r="CS181" s="42" t="str">
        <f aca="false">IF(Tasks[[#This Row],[_Pred2Text]]="","",IFERROR(VALUE(LEFT(Tasks[[#This Row],[_Pred2Text]],MIN(FIND("F",Tasks[[#This Row],[_Pred2Text]]&amp;"F"),FIND("S",Tasks[[#This Row],[_Pred2Text]]&amp;"S"),FIND("+",Tasks[[#This Row],[_Pred2Text]]&amp;"+"),FIND("-",Tasks[[#This Row],[_Pred2Text]]&amp;"-"))-1)),""))</f>
        <v/>
      </c>
      <c r="CT18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1" s="42" t="str">
        <f aca="false">IF(Tasks[[#This Row],[_Pred2Text]]="","",TRIM(MID(SUBSTITUTE(SUBSTITUTE(SUBSTITUTE(UPPER(Tasks[[#This Row],[_Predecessors]]),";",",")," ",""),",",REPT(" ",99)),199,99)))</f>
        <v/>
      </c>
      <c r="CW181" s="42" t="str">
        <f aca="false">IF(Tasks[[#This Row],[_Pred3Text]]="","",IFERROR(VALUE(LEFT(Tasks[[#This Row],[_Pred3Text]],MIN(FIND("F",Tasks[[#This Row],[_Pred3Text]]&amp;"F"),FIND("S",Tasks[[#This Row],[_Pred3Text]]&amp;"S"),FIND("+",Tasks[[#This Row],[_Pred3Text]]&amp;"+"),FIND("-",Tasks[[#This Row],[_Pred3Text]]&amp;"-"))-1)),""))</f>
        <v/>
      </c>
      <c r="CX18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1" s="42" t="str">
        <f aca="false">IF(Tasks[[#This Row],[_Pred3Text]]="","",TRIM(MID(SUBSTITUTE(SUBSTITUTE(SUBSTITUTE(UPPER(Tasks[[#This Row],[_Predecessors]]),";",",")," ",""),",",REPT(" ",99)),298,99)))</f>
        <v/>
      </c>
      <c r="DA181" s="42" t="str">
        <f aca="false">IF(Tasks[[#This Row],[_Pred4Text]]="","",IFERROR(VALUE(LEFT(Tasks[[#This Row],[_Pred4Text]],MIN(FIND("F",Tasks[[#This Row],[_Pred4Text]]&amp;"F"),FIND("S",Tasks[[#This Row],[_Pred4Text]]&amp;"S"),FIND("+",Tasks[[#This Row],[_Pred4Text]]&amp;"+"),FIND("-",Tasks[[#This Row],[_Pred4Text]]&amp;"-"))-1)),""))</f>
        <v/>
      </c>
      <c r="DB18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1" s="42" t="str">
        <f aca="false">IF(OR(Tasks[[#This Row],[Task Name]]="",Tasks[[#This Row],[_Resources]]=""),"",TRIM(MID(SUBSTITUTE(Tasks[[#This Row],[_Resources]],",",REPT(" ",99)),1,99)))</f>
        <v/>
      </c>
      <c r="DE181" s="42" t="str">
        <f aca="false">IF(Tasks[[#This Row],[_Res1Text]]="","",TRIM(MID(SUBSTITUTE(Tasks[[#This Row],[_Resources]],",",REPT(" ",99)),100,99)))</f>
        <v/>
      </c>
      <c r="DF181" s="42" t="str">
        <f aca="false">IF(Tasks[[#This Row],[_Res2Text]]="","",TRIM(MID(SUBSTITUTE(Tasks[[#This Row],[_Resources]],",",REPT(" ",99)),199,99)))</f>
        <v/>
      </c>
      <c r="DG181" s="42" t="str">
        <f aca="false">IF(Tasks[[#This Row],[_Res3Text]]="","",TRIM(MID(SUBSTITUTE(Tasks[[#This Row],[_Resources]],",",REPT(" ",99)),298,99)))</f>
        <v/>
      </c>
      <c r="DH181" s="42" t="n">
        <f aca="false">IF(Tasks[[#This Row],[_Res1Text]]="",0,IFERROR(MATCH(TRIM(LEFT(Tasks[[#This Row],[_Res1Text]],FIND("[",Tasks[[#This Row],[_Res1Text]]&amp;"[")-1)),res_Name,0),IFERROR(MATCH(TRIM(LEFT(Tasks[[#This Row],[_Res1Text]],FIND("[",Tasks[[#This Row],[_Res1Text]]&amp;"[")-1)),res_Initials,0),0)))</f>
        <v>0</v>
      </c>
      <c r="DI181" s="42" t="n">
        <f aca="false">IF(Tasks[[#This Row],[_Res2Text]]="",0,IFERROR(MATCH(TRIM(LEFT(Tasks[[#This Row],[_Res2Text]],FIND("[",Tasks[[#This Row],[_Res2Text]]&amp;"[")-1)),res_Name,0),IFERROR(MATCH(TRIM(LEFT(Tasks[[#This Row],[_Res2Text]],FIND("[",Tasks[[#This Row],[_Res2Text]]&amp;"[")-1)),res_Initials,0),0)))</f>
        <v>0</v>
      </c>
      <c r="DJ181" s="42" t="n">
        <f aca="false">IF(Tasks[[#This Row],[_Res3Text]]="",0,IFERROR(MATCH(TRIM(LEFT(Tasks[[#This Row],[_Res3Text]],FIND("[",Tasks[[#This Row],[_Res3Text]]&amp;"[")-1)),res_Name,0),IFERROR(MATCH(TRIM(LEFT(Tasks[[#This Row],[_Res3Text]],FIND("[",Tasks[[#This Row],[_Res3Text]]&amp;"[")-1)),res_Initials,0),0)))</f>
        <v>0</v>
      </c>
      <c r="DK181" s="42" t="n">
        <f aca="false">IF(Tasks[[#This Row],[_Res4Text]]="",0,IFERROR(MATCH(TRIM(LEFT(Tasks[[#This Row],[_Res4Text]],FIND("[",Tasks[[#This Row],[_Res4Text]]&amp;"[")-1)),res_Name,0),IFERROR(MATCH(TRIM(LEFT(Tasks[[#This Row],[_Res4Text]],FIND("[",Tasks[[#This Row],[_Res4Text]]&amp;"[")-1)),res_Initials,0),0)))</f>
        <v>0</v>
      </c>
      <c r="DL181" s="42" t="str">
        <f aca="false">IF(Tasks[[#This Row],[_Res1Text]]="","",IF(Tasks[[#This Row],[_Res1Row]]&gt;0,INDEX(res_Name,Tasks[[#This Row],[_Res1Row]]),TRIM(LEFT(Tasks[[#This Row],[_Res1Text]],FIND("[",Tasks[[#This Row],[_Res1Text]]&amp;"[")-1))))</f>
        <v/>
      </c>
      <c r="DM18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1" s="42" t="n">
        <f aca="false">IF(NOT(Tasks[[#This Row],[_IsLeaf]]=1),0,(Tasks[[#This Row],[_Resource1]]&lt;&gt;"")+(Tasks[[#This Row],[_Res2]]&lt;&gt;"")+(Tasks[[#This Row],[_Res3]]&lt;&gt;"")+(Tasks[[#This Row],[_Res4]]&lt;&gt;""))</f>
        <v>0</v>
      </c>
      <c r="DO181" s="42" t="str">
        <f aca="false">IF(Tasks[[#This Row],[_Res2Text]]="","",IF(Tasks[[#This Row],[_Res2Row]]&gt;0,INDEX(res_Name,Tasks[[#This Row],[_Res2Row]]),TRIM(LEFT(Tasks[[#This Row],[_Res2Text]],FIND("[",Tasks[[#This Row],[_Res2Text]]&amp;"[")-1))))</f>
        <v/>
      </c>
      <c r="DP18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1" s="42" t="n">
        <f aca="false">IF(OR(NOT(Tasks[[#This Row],[_IsLeaf]]=1),Tasks[[#This Row],[_Res2Row]]=0),0,N(Tasks[[#This Row],[_Days]])*HoursPerDay*IF(Tasks[[#This Row],[_Res2Units]]="",DefaultUnits,Tasks[[#This Row],[_Res2Units]]))</f>
        <v>0</v>
      </c>
      <c r="DR181" s="42" t="n">
        <f aca="false">IF(AND(AND(Tasks[[#This Row],[_IsLeaf]]=1,Tasks[[#This Row],[_LeafTotalWork]]&gt;0),Tasks[[#This Row],[_Res2Work]]&gt;0),Tasks[[#This Row],[_Res2Work]]/(Tasks[[#This Row],[_FinishWorkday]]-Tasks[[#This Row],[_StartWorkday]]+1),0)</f>
        <v>0</v>
      </c>
      <c r="DS181" s="42" t="n">
        <f aca="false">Tasks[[#This Row],[_Res2WorkPerWD]]*MAX(0,Tasks[[#This Row],[_StartWorkday]]-1)</f>
        <v>0</v>
      </c>
      <c r="DT181" s="42" t="n">
        <f aca="false">Tasks[[#This Row],[_Res2Work]]*Tasks[[#This Row],[_LeafProgress]]</f>
        <v>0</v>
      </c>
      <c r="DU181" s="42" t="str">
        <f aca="false">IF(Tasks[[#This Row],[_Res3Text]]="","",IF(Tasks[[#This Row],[_Res3Row]]&gt;0,INDEX(res_Name,Tasks[[#This Row],[_Res3Row]]),TRIM(LEFT(Tasks[[#This Row],[_Res3Text]],FIND("[",Tasks[[#This Row],[_Res3Text]]&amp;"[")-1))))</f>
        <v/>
      </c>
      <c r="DV18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1" s="42" t="n">
        <f aca="false">IF(OR(NOT(Tasks[[#This Row],[_IsLeaf]]=1),Tasks[[#This Row],[_Res3Row]]=0),0,N(Tasks[[#This Row],[_Days]])*HoursPerDay*IF(Tasks[[#This Row],[_Res3Units]]="",DefaultUnits,Tasks[[#This Row],[_Res3Units]]))</f>
        <v>0</v>
      </c>
      <c r="DX181" s="42" t="n">
        <f aca="false">IF(AND(AND(Tasks[[#This Row],[_IsLeaf]]=1,Tasks[[#This Row],[_LeafTotalWork]]&gt;0),Tasks[[#This Row],[_Res3Work]]&gt;0),Tasks[[#This Row],[_Res3Work]]/(Tasks[[#This Row],[_FinishWorkday]]-Tasks[[#This Row],[_StartWorkday]]+1),0)</f>
        <v>0</v>
      </c>
      <c r="DY181" s="42" t="n">
        <f aca="false">Tasks[[#This Row],[_Res3WorkPerWD]]*MAX(0,Tasks[[#This Row],[_StartWorkday]]-1)</f>
        <v>0</v>
      </c>
      <c r="DZ181" s="42" t="n">
        <f aca="false">Tasks[[#This Row],[_Res3Work]]*Tasks[[#This Row],[_LeafProgress]]</f>
        <v>0</v>
      </c>
      <c r="EA181" s="42" t="str">
        <f aca="false">IF(Tasks[[#This Row],[_Res4Text]]="","",IF(Tasks[[#This Row],[_Res4Row]]&gt;0,INDEX(res_Name,Tasks[[#This Row],[_Res4Row]]),TRIM(LEFT(Tasks[[#This Row],[_Res4Text]],FIND("[",Tasks[[#This Row],[_Res4Text]]&amp;"[")-1))))</f>
        <v/>
      </c>
      <c r="EB18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1" s="42" t="n">
        <f aca="false">IF(OR(NOT(Tasks[[#This Row],[_IsLeaf]]=1),Tasks[[#This Row],[_Res4Row]]=0),0,N(Tasks[[#This Row],[_Days]])*HoursPerDay*IF(Tasks[[#This Row],[_Res4Units]]="",DefaultUnits,Tasks[[#This Row],[_Res4Units]]))</f>
        <v>0</v>
      </c>
      <c r="ED181" s="42" t="n">
        <f aca="false">IF(AND(AND(Tasks[[#This Row],[_IsLeaf]]=1,Tasks[[#This Row],[_LeafTotalWork]]&gt;0),Tasks[[#This Row],[_Res4Work]]&gt;0),Tasks[[#This Row],[_Res4Work]]/(Tasks[[#This Row],[_FinishWorkday]]-Tasks[[#This Row],[_StartWorkday]]+1),0)</f>
        <v>0</v>
      </c>
      <c r="EE181" s="42" t="n">
        <f aca="false">Tasks[[#This Row],[_Res4WorkPerWD]]*MAX(0,Tasks[[#This Row],[_StartWorkday]]-1)</f>
        <v>0</v>
      </c>
      <c r="EF181" s="42" t="n">
        <f aca="false">Tasks[[#This Row],[_Res4Work]]*Tasks[[#This Row],[_LeafProgress]]</f>
        <v>0</v>
      </c>
      <c r="EG181" s="42" t="n">
        <f aca="false">IF(ISNUMBER(Tasks[[#This Row],[% Complete]]),Tasks[[#This Row],[% Complete]],IF(Tasks[[#This Row],[Stage]]="",0,IFERROR(INDEX(stg_Pct,MATCH(Tasks[[#This Row],[Stage]],stg_Name,0)),0)))</f>
        <v>0</v>
      </c>
      <c r="EH181" s="42" t="n">
        <f aca="false">IF(NOT(Tasks[[#This Row],[_IsLeaf]]=1),0,IF(N(Tasks[[#This Row],[Actual Finish]])&gt;0,1,MIN(1,Tasks[[#This Row],[_Pct]])))</f>
        <v>0</v>
      </c>
      <c r="EI181" s="42" t="n">
        <f aca="false">IF(OR(NOT(Tasks[[#This Row],[_IsLeaf]]=1),Tasks[[#This Row],[_Res1Row]]=0),0,N(Tasks[[#This Row],[_Days]])*HoursPerDay*IF(Tasks[[#This Row],[_Units1]]="",DefaultUnits,Tasks[[#This Row],[_Units1]]))</f>
        <v>0</v>
      </c>
      <c r="EJ181" s="42" t="n">
        <f aca="false">Tasks[[#This Row],[_LeafWork]]+Tasks[[#This Row],[_Res2Work]]+Tasks[[#This Row],[_Res3Work]]+Tasks[[#This Row],[_Res4Work]]</f>
        <v>0</v>
      </c>
      <c r="EK18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1" s="42" t="n">
        <f aca="false">IF(NOT(Tasks[[#This Row],[_IsLeaf]]=1),0,MAX(_xlfn.MAXIFS(Tasks[_Row],Tasks[_Pred1UID],Tasks[[#This Row],[UID]]),_xlfn.MAXIFS(Tasks[_Row],Tasks[_Pred2UID],Tasks[[#This Row],[UID]]),_xlfn.MAXIFS(Tasks[_Row],Tasks[_Pred3UID],Tasks[[#This Row],[UID]]),_xlfn.MAXIFS(Tasks[_Row],Tasks[_Pred4UID],Tasks[[#This Row],[UID]])))</f>
        <v>0</v>
      </c>
      <c r="ET18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1" s="89" t="str">
        <f aca="false">IF(NOT(Tasks[[#This Row],[_IsLeaf]]=1),"",IF(N(Tasks[[#This Row],[_Days]])&lt;=0,Tasks[[#This Row],[_LeafLateFinish]],WORKDAY.INTL(Tasks[[#This Row],[_LeafLateFinish]],-(Tasks[[#This Row],[_Days]]-1),WorkWeek,Holidays)))</f>
        <v/>
      </c>
      <c r="EW18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1" s="88" t="b">
        <f aca="false">AND(Tasks[[#This Row],[_IsLeaf]]=1,Tasks[[#This Row],[_LeafProgress]]&lt;1,N(Tasks[[#This Row],[_LeafTotalSlack]])&lt;=CriticalSlackDays)</f>
        <v>0</v>
      </c>
      <c r="EY181" s="42" t="n">
        <f aca="false">IF(AND(Tasks[[#This Row],[_IsLeaf]]=1,Tasks[[#This Row],[_ConstraintCode]]=1,Tasks[[#This Row],[Mode]]&lt;&gt;"Manual",N(Tasks[[#This Row],[Actual Start]])=0),MAX(0,N(Tasks[[#This Row],[Free Slack]])),0)</f>
        <v>0</v>
      </c>
      <c r="EZ181" s="89" t="str">
        <f aca="false">IF(NOT(Tasks[[#This Row],[_IsLeaf]]=1),"",IF(Tasks[[#This Row],[_AlapShift]]=0,Tasks[[#This Row],[_LeafCalcStart]],WORKDAY.INTL(Tasks[[#This Row],[_LeafCalcStart]],Tasks[[#This Row],[_AlapShift]],WorkWeek,Holidays)))</f>
        <v/>
      </c>
      <c r="FA181" s="89" t="str">
        <f aca="false">IF(NOT(Tasks[[#This Row],[_IsLeaf]]=1),"",IF(Tasks[[#This Row],[_AlapShift]]=0,Tasks[[#This Row],[_LeafCalcFinish]],WORKDAY.INTL(Tasks[[#This Row],[_LeafCalcFinish]],Tasks[[#This Row],[_AlapShift]],WorkWeek,Holidays)))</f>
        <v/>
      </c>
      <c r="FB181" s="89" t="str">
        <f aca="false">IF(NOT(Tasks[[#This Row],[_IsLeaf]]=1),"",IF(Tasks[[#This Row],[_AlapShift]]=0,Tasks[[#This Row],[_LeafFcstStart]],WORKDAY.INTL(Tasks[[#This Row],[_LeafFcstStart]],Tasks[[#This Row],[_AlapShift]],WorkWeek,Holidays)))</f>
        <v/>
      </c>
      <c r="FC181" s="89" t="str">
        <f aca="false">IF(NOT(Tasks[[#This Row],[_IsLeaf]]=1),"",IF(Tasks[[#This Row],[_AlapShift]]=0,Tasks[[#This Row],[_LeafFcstFinish]],WORKDAY.INTL(Tasks[[#This Row],[_LeafFcstFinish]],Tasks[[#This Row],[_AlapShift]],WorkWeek,Holidays)))</f>
        <v/>
      </c>
      <c r="FD181" s="89" t="str">
        <f aca="false">IF(Tasks[[#This Row],[Task Name]]="","",IF(Tasks[[#This Row],[_IsSummary]],MIN(INDEX(Tasks[_ShownCalcStart],Tasks[[#This Row],[_Row]]+1):INDEX(Tasks[_ShownCalcStart],Tasks[[#This Row],[_Row]]+Tasks[[#This Row],[_Descendants]])),Tasks[[#This Row],[_ShownCalcStart]]))</f>
        <v/>
      </c>
      <c r="FE181" s="89" t="str">
        <f aca="false">IF(Tasks[[#This Row],[Task Name]]="","",IF(Tasks[[#This Row],[_IsSummary]],MAX(INDEX(Tasks[_ShownCalcFinish],Tasks[[#This Row],[_Row]]+1):INDEX(Tasks[_ShownCalcFinish],Tasks[[#This Row],[_Row]]+Tasks[[#This Row],[_Descendants]])),Tasks[[#This Row],[_ShownCalcFinish]]))</f>
        <v/>
      </c>
      <c r="FF18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1" s="42" t="n">
        <f aca="false">IF(AND(Tasks[[#This Row],[_IsLeaf]]=1,Tasks[[#This Row],[_LeafTotalWork]]&gt;0),NETWORKDAYS.INTL(ProjectStart,Tasks[[#This Row],[_ShownFcstStart]],WorkWeek,Holidays),0)</f>
        <v>0</v>
      </c>
      <c r="FS181" s="42" t="n">
        <f aca="false">IF(AND(Tasks[[#This Row],[_IsLeaf]]=1,Tasks[[#This Row],[_LeafTotalWork]]&gt;0),MAX(Tasks[[#This Row],[_StartWorkday]],NETWORKDAYS.INTL(ProjectStart,Tasks[[#This Row],[_ShownFcstFinish]],WorkWeek,Holidays)),0)</f>
        <v>0</v>
      </c>
      <c r="FT181" s="42" t="n">
        <f aca="false">IF(AND(Tasks[[#This Row],[_IsLeaf]]=1,Tasks[[#This Row],[_LeafTotalWork]]&gt;0),Tasks[[#This Row],[_LeafWork]]/(Tasks[[#This Row],[_FinishWorkday]]-Tasks[[#This Row],[_StartWorkday]]+1),0)</f>
        <v>0</v>
      </c>
      <c r="FU181" s="42" t="n">
        <f aca="false">Tasks[[#This Row],[_WorkPerWorkday]]*(Tasks[[#This Row],[_StartWorkday]]-1)</f>
        <v>-0</v>
      </c>
      <c r="FV181" s="42" t="n">
        <f aca="false">IF(Tasks[[#This Row],[_IsLeaf]]=1,MAX(N(Tasks[[#This Row],[_Days]]),0.1),0)</f>
        <v>0</v>
      </c>
      <c r="FW181" s="42" t="n">
        <f aca="false">Tasks[[#This Row],[_WeightDur]]*Tasks[[#This Row],[_LeafProgress]]</f>
        <v>0</v>
      </c>
      <c r="FX181" s="42" t="n">
        <f aca="false">Tasks[[#This Row],[_WeightDur]]*Tasks[[#This Row],[_PlannedPct]]</f>
        <v>0</v>
      </c>
      <c r="FY18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1" s="42" t="str">
        <f aca="false">IF(AND(Tasks[[#This Row],[_IsLeaf]]=1,N(Tasks[[#This Row],[_Days]])=0,Tasks[[#This Row],[_LeafProgress]]&lt;1),Tasks[[#This Row],[_ShownFcstFinish]]+Tasks[[#This Row],[_Row]]/100000,"")</f>
        <v/>
      </c>
      <c r="GA18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1" s="42" t="str">
        <f aca="false">IF(Tasks[[#This Row],[Task Name]]="","",LEFT(Tasks[[#This Row],[WBS]],FIND(".",Tasks[[#This Row],[WBS]]&amp;".")-1))</f>
        <v/>
      </c>
      <c r="GC181" s="42" t="str">
        <f aca="false">IF(AND(Tasks[[#This Row],[Task Name]]&lt;&gt;"",Tasks[[#This Row],[_Level]]=1),Tasks[[#This Row],[_Row]],"")</f>
        <v/>
      </c>
      <c r="GD181" s="42" t="str">
        <f aca="false">IF(AND(Tasks[[#This Row],[_IsLeaf]]=1,N(Tasks[[#This Row],[_Days]])=0),Tasks[[#This Row],[Planned Finish]]+Tasks[[#This Row],[_Row]]/100000,"")</f>
        <v/>
      </c>
      <c r="GE181" s="42" t="str">
        <f aca="false">IF(AND(Tasks[[#This Row],[_IsLeaf]]=1,Tasks[[#This Row],[_LeafProgress]]&lt;1,OR(N(Tasks[[#This Row],[Finish Var]])&gt;0,Tasks[[#This Row],[Status]]="Late Start")),MAX(0,Tasks[[#This Row],[Finish Var]])+1-Tasks[[#This Row],[_Row]]/1000000,"")</f>
        <v/>
      </c>
      <c r="GF181" s="42" t="str">
        <f aca="false">IF(AND(Tasks[[#This Row],[_IsLeaf]]=1,N(Tasks[[#This Row],[Actual Start]])=0,Tasks[[#This Row],[_ShownFcstStart]]&gt;=StatusDate,Tasks[[#This Row],[_ShownFcstStart]]&lt;=LookaheadEnd),Tasks[[#This Row],[_ShownFcstStart]]+Tasks[[#This Row],[_Row]]/100000,"")</f>
        <v/>
      </c>
      <c r="GG181" s="42" t="str">
        <f aca="false">IF(AND(Tasks[[#This Row],[_IsLeaf]]=1,Tasks[[#This Row],[_LeafProgress]]&lt;1,Tasks[[#This Row],[_ShownFcstFinish]]&gt;=StatusDate,Tasks[[#This Row],[_ShownFcstFinish]]&lt;=LookaheadEnd),Tasks[[#This Row],[_ShownFcstFinish]]+Tasks[[#This Row],[_Row]]/100000,"")</f>
        <v/>
      </c>
      <c r="GH181" s="42" t="str">
        <f aca="false">IF(Tasks[[#This Row],[_LeafCritical]],Tasks[[#This Row],[_ShownFcstStart]]+Tasks[[#This Row],[_Row]]/100000,"")</f>
        <v/>
      </c>
      <c r="GI181" s="42" t="n">
        <f aca="false">Tasks[[#This Row],[_LeafWork]]*Tasks[[#This Row],[_LeafProgress]]</f>
        <v>0</v>
      </c>
      <c r="GJ181" s="89" t="str">
        <f aca="false">IF(AND(Tasks[[#This Row],[_IsLeaf]]=1,Tasks[[#This Row],[_LeafProgress]]&gt;=1),IF(N(Tasks[[#This Row],[Actual Finish]])&gt;0,Tasks[[#This Row],[Actual Finish]],Tasks[[#This Row],[_ShownFcstFinish]]),"")</f>
        <v/>
      </c>
      <c r="GK181" s="42" t="n">
        <f aca="false">IF(Tasks[[#This Row],[_IsLeaf]]=1,N(Tasks[[#This Row],[Story Points]]),0)</f>
        <v>0</v>
      </c>
      <c r="GL181" s="42" t="str">
        <f aca="false">""</f>
        <v/>
      </c>
      <c r="GM181" s="88" t="b">
        <f aca="false">IF(Tasks[[#This Row],[Task Name]]="",FALSE(),AND(Tasks[[#This Row],[_IsLeaf]]=1,N(Tasks[[#This Row],[_Days]])=0))</f>
        <v>0</v>
      </c>
      <c r="GN181" s="89" t="n">
        <f aca="false">IF(Tasks[[#This Row],[Task Name]]="",0,IF(AND(Tasks[[#This Row],[_IsLeaf]]=1,NOT(Tasks[[#This Row],[_IsMilestone]]),N(Tasks[[#This Row],[Progress]])&gt;0),Tasks[[#This Row],[Start]],0))</f>
        <v>0</v>
      </c>
      <c r="GO181" s="89" t="n">
        <f aca="false">IF(Tasks[[#This Row],[_DoneFrom]]=0,0,IF(Tasks[[#This Row],[Progress]]&gt;=1,Tasks[[#This Row],[Finish]],MAX(Tasks[[#This Row],[_DoneFrom]],Tasks[[#This Row],[Start]]+ROUND((Tasks[[#This Row],[Finish]]-Tasks[[#This Row],[Start]]+1)*Tasks[[#This Row],[Progress]],0)-1)))</f>
        <v>0</v>
      </c>
      <c r="GP181" s="89" t="n">
        <f aca="false">IF(Tasks[[#This Row],[Task Name]]="",0,IF(OR(NOT(Tasks[[#This Row],[_IsLeaf]]=1),Tasks[[#This Row],[_IsMilestone]],N(Tasks[[#This Row],[Progress]])&gt;=1),0,IF(Tasks[[#This Row],[_DoneTo]]&gt;0,Tasks[[#This Row],[_DoneTo]]+1,Tasks[[#This Row],[Start]])))</f>
        <v>0</v>
      </c>
      <c r="GQ181" s="89" t="n">
        <f aca="false">IF(Tasks[[#This Row],[_RemFrom]]=0,0,Tasks[[#This Row],[Finish]])</f>
        <v>0</v>
      </c>
      <c r="GR181" s="88" t="b">
        <f aca="false">IF(Tasks[[#This Row],[Task Name]]="",FALSE(),OR(NOT(BaselineSet),N(Tasks[[#This Row],[Baseline Start]])&gt;0))</f>
        <v>0</v>
      </c>
      <c r="GS18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1" s="90" t="str">
        <f aca="false">IF(Tasks[[#This Row],[_IsLeaf]]=1,Tasks[[#This Row],[_Row]],"")</f>
        <v/>
      </c>
      <c r="GW181" s="90" t="str">
        <f aca="false">IFERROR(INDEX(Tasks[UID],SMALL(Tasks[_PickKey],Tasks[[#This Row],[_Row]]))&amp;" "&amp;INDEX(Tasks[Task Name],SMALL(Tasks[_PickKey],Tasks[[#This Row],[_Row]])),"")</f>
        <v/>
      </c>
      <c r="GX181" s="42" t="str">
        <f aca="false">IF(Tasks[[#This Row],[Task Name]]="","",IF(Tasks[[#This Row],[_IsSummary]],NETWORKDAYS.INTL(Tasks[[#This Row],[Start]],Tasks[[#This Row],[Finish]],WorkWeek,Holidays),N(Tasks[[#This Row],[_Days]])))</f>
        <v/>
      </c>
    </row>
    <row r="182" customFormat="false" ht="15" hidden="false" customHeight="false" outlineLevel="0" collapsed="false">
      <c r="A182" s="21" t="str">
        <f aca="false">IF(Tasks[[#This Row],[Task Name]]="","",COUNTA(Tasks[[#Headers],[Task Name]]:Tasks[[#This Row],[Task Name]])-1)</f>
        <v/>
      </c>
      <c r="B182" s="22" t="n">
        <v>190</v>
      </c>
      <c r="C182" s="22"/>
      <c r="D182" s="23"/>
      <c r="E182" s="22"/>
      <c r="F182" s="23"/>
      <c r="G182" s="22"/>
      <c r="H182" s="22"/>
      <c r="I182" s="23"/>
      <c r="J182" s="22"/>
      <c r="K182" s="22"/>
      <c r="L182" s="23"/>
      <c r="M182" s="22"/>
      <c r="N182" s="22"/>
      <c r="O182" s="23"/>
      <c r="P182" s="22"/>
      <c r="Q182" s="22"/>
      <c r="R182" s="23"/>
      <c r="S182" s="23"/>
      <c r="T182" s="83"/>
      <c r="U182" s="23"/>
      <c r="V182" s="83"/>
      <c r="W182" s="23"/>
      <c r="X182" s="83"/>
      <c r="Y182" s="23"/>
      <c r="Z182" s="83"/>
      <c r="AA182" s="23"/>
      <c r="AB182" s="23"/>
      <c r="AC182" s="7"/>
      <c r="AD182" s="7"/>
      <c r="AE182" s="62" t="str">
        <f aca="false">IF(Tasks[[#This Row],[Task Name]]="","",IF(Tasks[[#This Row],[_IsSummary]],MIN(INDEX(Tasks[_ShownFcstStart],Tasks[[#This Row],[_Row]]+1):INDEX(Tasks[_ShownFcstStart],Tasks[[#This Row],[_Row]]+Tasks[[#This Row],[_Descendants]])),Tasks[[#This Row],[_ShownFcstStart]]))</f>
        <v/>
      </c>
      <c r="AF182" s="62" t="str">
        <f aca="false">IF(Tasks[[#This Row],[Task Name]]="","",IF(Tasks[[#This Row],[_IsSummary]],MAX(INDEX(Tasks[_ShownFcstFinish],Tasks[[#This Row],[_Row]]+1):INDEX(Tasks[_ShownFcstFinish],Tasks[[#This Row],[_Row]]+Tasks[[#This Row],[_Descendants]])),Tasks[[#This Row],[_ShownFcstFinish]]))</f>
        <v/>
      </c>
      <c r="AG182" s="21" t="str">
        <f aca="false">""</f>
        <v/>
      </c>
      <c r="AH182" s="23"/>
      <c r="AI18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2" s="7"/>
      <c r="AK182" s="22"/>
      <c r="AL182" s="23"/>
      <c r="AM182" s="7"/>
      <c r="AN182" s="46" t="str">
        <f aca="false">IF(Tasks[[#This Row],[Task Name]]="","",IF(Tasks[[#This Row],[Finish]]&gt;=Tasks[[#This Row],[Planned Finish]],NETWORKDAYS.INTL(Tasks[[#This Row],[Planned Finish]],Tasks[[#This Row],[Finish]],WorkWeek,Holidays)-1,1-NETWORKDAYS.INTL(Tasks[[#This Row],[Finish]],Tasks[[#This Row],[Planned Finish]],WorkWeek,Holidays)))</f>
        <v/>
      </c>
      <c r="AO182" s="21" t="str">
        <f aca="false">IF(Tasks[[#This Row],[Task Name]]="","",IF(Tasks[[#This Row],[Progress]]&gt;=1,"Complete",IF(OR(N(Tasks[[#This Row],[Actual Start]])&gt;0,Tasks[[#This Row],[Progress]]&gt;0),IF(Tasks[[#This Row],[Finish Var]]&gt;0,"Behind","In Progress"),IF(Tasks[[#This Row],[Planned Start]]&lt;StatusDate,"Late Start","Not Started"))))</f>
        <v/>
      </c>
      <c r="AP182" s="21" t="str">
        <f aca="false">IF(Tasks[[#This Row],[Task Name]]="","",IF(IF(Tasks[[#This Row],[_IsSummary]],COUNTIF(INDEX(Tasks[_LeafCritical],Tasks[[#This Row],[_Row]]+1):INDEX(Tasks[_LeafCritical],Tasks[[#This Row],[_Row]]+Tasks[[#This Row],[_Descendants]]),TRUE())&gt;0,Tasks[[#This Row],[_LeafCritical]]),"Yes",""))</f>
        <v/>
      </c>
      <c r="AQ182" s="62" t="str">
        <f aca="false">IF(Tasks[[#This Row],[Task Name]]="","",IF(N(Tasks[[#This Row],[Baseline Start]])&gt;0,Tasks[[#This Row],[Baseline Start]],Tasks[[#This Row],[_CalcStart]]))</f>
        <v/>
      </c>
      <c r="AR182" s="62" t="str">
        <f aca="false">IF(Tasks[[#This Row],[Task Name]]="","",IF(N(Tasks[[#This Row],[Baseline Finish]])&gt;0,Tasks[[#This Row],[Baseline Finish]],Tasks[[#This Row],[_CalcFinish]]))</f>
        <v/>
      </c>
      <c r="AS182" s="46" t="str">
        <f aca="false">IF(Tasks[[#This Row],[Task Name]]="","",IF(Tasks[[#This Row],[Start]]&gt;=Tasks[[#This Row],[Planned Start]],NETWORKDAYS.INTL(Tasks[[#This Row],[Planned Start]],Tasks[[#This Row],[Start]],WorkWeek,Holidays)-1,1-NETWORKDAYS.INTL(Tasks[[#This Row],[Start]],Tasks[[#This Row],[Planned Start]],WorkWeek,Holidays)))</f>
        <v/>
      </c>
      <c r="AT182" s="62" t="str">
        <f aca="false">IF(Tasks[[#This Row],[Task Name]]="","",IF(Tasks[[#This Row],[_IsSummary]],MIN(INDEX(Tasks[_LeafLateStart],Tasks[[#This Row],[_Row]]+1):INDEX(Tasks[_LeafLateStart],Tasks[[#This Row],[_Row]]+Tasks[[#This Row],[_Descendants]])),Tasks[[#This Row],[_LeafLateStart]]))</f>
        <v/>
      </c>
      <c r="AU182" s="62" t="str">
        <f aca="false">IF(Tasks[[#This Row],[Task Name]]="","",IF(Tasks[[#This Row],[_IsSummary]],MAX(INDEX(Tasks[_LeafLateFinish],Tasks[[#This Row],[_Row]]+1):INDEX(Tasks[_LeafLateFinish],Tasks[[#This Row],[_Row]]+Tasks[[#This Row],[_Descendants]])),Tasks[[#This Row],[_LeafLateFinish]]))</f>
        <v/>
      </c>
      <c r="AV182" s="46" t="str">
        <f aca="false">IF(Tasks[[#This Row],[Task Name]]="","",IF(Tasks[[#This Row],[_IsSummary]],MIN(INDEX(Tasks[_LeafTotalSlack],Tasks[[#This Row],[_Row]]+1):INDEX(Tasks[_LeafTotalSlack],Tasks[[#This Row],[_Row]]+Tasks[[#This Row],[_Descendants]])),Tasks[[#This Row],[_LeafTotalSlack]]))</f>
        <v/>
      </c>
      <c r="AW18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4"/>
      <c r="BA18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t="str">
        <f aca="false">IF(Tasks[[#This Row],[Task Name]]="","",IF(Tasks[[#This Row],[_Level]]&lt;=OutlineShowLevel,"Yes","No"))</f>
        <v/>
      </c>
      <c r="BE182" s="85" t="str">
        <f aca="false">IF(Tasks[[#This Row],[Task Name]]="","",IF(Tasks[[#This Row],[_IsSummary]],SUM(INDEX(Tasks[_LeafTotalWork],Tasks[[#This Row],[_Row]]+1):INDEX(Tasks[_LeafTotalWork],Tasks[[#This Row],[_Row]]+Tasks[[#This Row],[_Descendants]])),Tasks[[#This Row],[_LeafTotalWork]]))</f>
        <v/>
      </c>
      <c r="BF182" s="23"/>
      <c r="BG18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t="str">
        <f aca="false">""</f>
        <v/>
      </c>
      <c r="BI182" s="86"/>
      <c r="BJ182" s="22"/>
      <c r="BK182" s="46" t="str">
        <f aca="false">IF(OR(Tasks[[#This Row],[Task Name]]="",Tasks[[#This Row],[Baseline Duration]]=""),"",Tasks[[#This Row],[_SpanDays]]-N(Tasks[[#This Row],[Baseline Duration]]))</f>
        <v/>
      </c>
      <c r="BL182" s="85" t="str">
        <f aca="false">IF(OR(Tasks[[#This Row],[Task Name]]="",Tasks[[#This Row],[Baseline Work]]=""),"",Tasks[[#This Row],[Work]]-N(Tasks[[#This Row],[Baseline Work]]))</f>
        <v/>
      </c>
      <c r="BM182" s="62" t="str">
        <f aca="false">IF(Tasks[[#This Row],[Task Name]]="","",IF(OR(TakeBaseline="Yes",N(Tasks[[#This Row],[Baseline Start]])=0),Tasks[[#This Row],[Start]],Tasks[[#This Row],[Baseline Start]]))</f>
        <v/>
      </c>
      <c r="BN182" s="62" t="str">
        <f aca="false">IF(Tasks[[#This Row],[Task Name]]="","",IF(OR(TakeBaseline="Yes",N(Tasks[[#This Row],[Baseline Finish]])=0),Tasks[[#This Row],[Finish]],Tasks[[#This Row],[Baseline Finish]]))</f>
        <v/>
      </c>
      <c r="BO182" s="21" t="str">
        <f aca="false">IF(Tasks[[#This Row],[Task Name]]="","",IF(OR(TakeBaseline="Yes",N(Tasks[[#This Row],[Baseline Duration]])=0),Tasks[[#This Row],[_SpanDays]],Tasks[[#This Row],[Baseline Duration]]))</f>
        <v/>
      </c>
      <c r="BP182" s="85" t="str">
        <f aca="false">IF(Tasks[[#This Row],[Task Name]]="","",IF(OR(TakeBaseline="Yes",N(Tasks[[#This Row],[Baseline Work]])=0),Tasks[[#This Row],[Work]],Tasks[[#This Row],[Baseline Work]]))</f>
        <v/>
      </c>
      <c r="BQ182" s="7"/>
      <c r="BR182" s="7"/>
      <c r="BS182" s="22"/>
      <c r="BT182" s="87"/>
      <c r="BU182" s="42" t="str">
        <f aca="false">IF(Tasks[[#This Row],[Task Name]]="","",MAX(1,N(Tasks[[#This Row],[Level]])))</f>
        <v/>
      </c>
      <c r="BV182" s="42" t="n">
        <f aca="false">ROW()-ROW(Tasks[[#Headers],[ID]])</f>
        <v>177</v>
      </c>
      <c r="BW182" s="42" t="n">
        <f aca="false">IF(OR(Tasks[[#This Row],[Task Name]]="",Tasks[[#This Row],[_Level]]&lt;=1),0,IFERROR(LOOKUP(2,1/(Tasks[[#Headers],[_Level]]:Tasks[[#This Row],[_Level]]=Tasks[[#This Row],[_Level]]-1),ROW(Tasks[[#Headers],[_Level]]:Tasks[[#This Row],[_Level]])),0))</f>
        <v>0</v>
      </c>
      <c r="BX182" s="42" t="n">
        <f aca="false">IFERROR(N(INDEX(Tasks[_Level],Tasks[[#This Row],[_Row]]+1)),0)</f>
        <v>0</v>
      </c>
      <c r="BY182" s="88" t="b">
        <f aca="false">AND(Tasks[[#This Row],[Task Name]]&lt;&gt;"",Tasks[[#This Row],[_NextLevel]]&gt;Tasks[[#This Row],[_Level]])</f>
        <v>0</v>
      </c>
      <c r="BZ182" s="42" t="n">
        <f aca="false">IF(Tasks[[#This Row],[_IsSummary]],COUNTIF(Tasks[WBS],Tasks[[#This Row],[WBS]]&amp;".*"),0)</f>
        <v>0</v>
      </c>
      <c r="CA182" s="42" t="n">
        <f aca="false">IF(AND(Tasks[[#This Row],[Task Name]]&lt;&gt;"",NOT(Tasks[[#This Row],[_IsSummary]])),1,0)</f>
        <v>0</v>
      </c>
      <c r="CB182" s="42" t="n">
        <f aca="false">IF(N(Tasks[[#This Row],[_Pred1UID]])=0,0,IFERROR(MATCH(Tasks[[#This Row],[_Pred1UID]],Tasks[UID],0),-1))</f>
        <v>0</v>
      </c>
      <c r="CC182" s="42" t="n">
        <f aca="false">IF(N(Tasks[[#This Row],[_Pred2UID]])=0,0,IFERROR(MATCH(Tasks[[#This Row],[_Pred2UID]],Tasks[UID],0),-1))</f>
        <v>0</v>
      </c>
      <c r="CD182" s="42" t="n">
        <f aca="false">IF(N(Tasks[[#This Row],[_Pred3UID]])=0,0,IFERROR(MATCH(Tasks[[#This Row],[_Pred3UID]],Tasks[UID],0),-1))</f>
        <v>0</v>
      </c>
      <c r="CE182" s="42" t="n">
        <f aca="false">IF(N(Tasks[[#This Row],[_Pred4UID]])=0,0,IFERROR(MATCH(Tasks[[#This Row],[_Pred4UID]],Tasks[UID],0),-1))</f>
        <v>0</v>
      </c>
      <c r="CF18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2" s="89" t="n">
        <f aca="false">IF(OR(Tasks[[#This Row],[_ConstraintCode]]=2,Tasks[[#This Row],[_ConstraintCode]]=3,Tasks[[#This Row],[_ConstraintCode]]=4,Tasks[[#This Row],[_ConstraintCode]]=6),Tasks[[#This Row],[_ConstraintStart]],0)</f>
        <v>0</v>
      </c>
      <c r="CI182" s="89" t="n">
        <f aca="false">IF(OR(Tasks[[#This Row],[_ConstraintCode]]=2,Tasks[[#This Row],[_ConstraintCode]]=3,Tasks[[#This Row],[_ConstraintCode]]=5,Tasks[[#This Row],[_ConstraintCode]]=7),Tasks[[#This Row],[_ConstraintStart]],2958465)</f>
        <v>2958465</v>
      </c>
      <c r="CJ18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2" s="89" t="str">
        <f aca="false">IF(NOT(Tasks[[#This Row],[_IsLeaf]]=1),"",IF(N(Tasks[[#This Row],[_Days]])&lt;=0,Tasks[[#This Row],[_LeafCalcStart]],WORKDAY.INTL(Tasks[[#This Row],[_LeafCalcStart]],Tasks[[#This Row],[_Days]]-1,WorkWeek,Holidays)))</f>
        <v/>
      </c>
      <c r="CL18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2" s="42" t="str">
        <f aca="false">IF(Tasks[[#This Row],[_Predecessors]]="","",TRIM(MID(SUBSTITUTE(SUBSTITUTE(SUBSTITUTE(UPPER(Tasks[[#This Row],[_Predecessors]]),";",",")," ",""),",",REPT(" ",99)),1,99)))</f>
        <v/>
      </c>
      <c r="CO182" s="42" t="str">
        <f aca="false">IF(Tasks[[#This Row],[_Pred1Text]]="","",IFERROR(VALUE(LEFT(Tasks[[#This Row],[_Pred1Text]],MIN(FIND("F",Tasks[[#This Row],[_Pred1Text]]&amp;"F"),FIND("S",Tasks[[#This Row],[_Pred1Text]]&amp;"S"),FIND("+",Tasks[[#This Row],[_Pred1Text]]&amp;"+"),FIND("-",Tasks[[#This Row],[_Pred1Text]]&amp;"-"))-1)),""))</f>
        <v/>
      </c>
      <c r="CP18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2" s="42" t="str">
        <f aca="false">IF(Tasks[[#This Row],[_Pred1Text]]="","",TRIM(MID(SUBSTITUTE(SUBSTITUTE(SUBSTITUTE(UPPER(Tasks[[#This Row],[_Predecessors]]),";",",")," ",""),",",REPT(" ",99)),100,99)))</f>
        <v/>
      </c>
      <c r="CS182" s="42" t="str">
        <f aca="false">IF(Tasks[[#This Row],[_Pred2Text]]="","",IFERROR(VALUE(LEFT(Tasks[[#This Row],[_Pred2Text]],MIN(FIND("F",Tasks[[#This Row],[_Pred2Text]]&amp;"F"),FIND("S",Tasks[[#This Row],[_Pred2Text]]&amp;"S"),FIND("+",Tasks[[#This Row],[_Pred2Text]]&amp;"+"),FIND("-",Tasks[[#This Row],[_Pred2Text]]&amp;"-"))-1)),""))</f>
        <v/>
      </c>
      <c r="CT18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2" s="42" t="str">
        <f aca="false">IF(Tasks[[#This Row],[_Pred2Text]]="","",TRIM(MID(SUBSTITUTE(SUBSTITUTE(SUBSTITUTE(UPPER(Tasks[[#This Row],[_Predecessors]]),";",",")," ",""),",",REPT(" ",99)),199,99)))</f>
        <v/>
      </c>
      <c r="CW182" s="42" t="str">
        <f aca="false">IF(Tasks[[#This Row],[_Pred3Text]]="","",IFERROR(VALUE(LEFT(Tasks[[#This Row],[_Pred3Text]],MIN(FIND("F",Tasks[[#This Row],[_Pred3Text]]&amp;"F"),FIND("S",Tasks[[#This Row],[_Pred3Text]]&amp;"S"),FIND("+",Tasks[[#This Row],[_Pred3Text]]&amp;"+"),FIND("-",Tasks[[#This Row],[_Pred3Text]]&amp;"-"))-1)),""))</f>
        <v/>
      </c>
      <c r="CX18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2" s="42" t="str">
        <f aca="false">IF(Tasks[[#This Row],[_Pred3Text]]="","",TRIM(MID(SUBSTITUTE(SUBSTITUTE(SUBSTITUTE(UPPER(Tasks[[#This Row],[_Predecessors]]),";",",")," ",""),",",REPT(" ",99)),298,99)))</f>
        <v/>
      </c>
      <c r="DA182" s="42" t="str">
        <f aca="false">IF(Tasks[[#This Row],[_Pred4Text]]="","",IFERROR(VALUE(LEFT(Tasks[[#This Row],[_Pred4Text]],MIN(FIND("F",Tasks[[#This Row],[_Pred4Text]]&amp;"F"),FIND("S",Tasks[[#This Row],[_Pred4Text]]&amp;"S"),FIND("+",Tasks[[#This Row],[_Pred4Text]]&amp;"+"),FIND("-",Tasks[[#This Row],[_Pred4Text]]&amp;"-"))-1)),""))</f>
        <v/>
      </c>
      <c r="DB18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2" s="42" t="str">
        <f aca="false">IF(OR(Tasks[[#This Row],[Task Name]]="",Tasks[[#This Row],[_Resources]]=""),"",TRIM(MID(SUBSTITUTE(Tasks[[#This Row],[_Resources]],",",REPT(" ",99)),1,99)))</f>
        <v/>
      </c>
      <c r="DE182" s="42" t="str">
        <f aca="false">IF(Tasks[[#This Row],[_Res1Text]]="","",TRIM(MID(SUBSTITUTE(Tasks[[#This Row],[_Resources]],",",REPT(" ",99)),100,99)))</f>
        <v/>
      </c>
      <c r="DF182" s="42" t="str">
        <f aca="false">IF(Tasks[[#This Row],[_Res2Text]]="","",TRIM(MID(SUBSTITUTE(Tasks[[#This Row],[_Resources]],",",REPT(" ",99)),199,99)))</f>
        <v/>
      </c>
      <c r="DG182" s="42" t="str">
        <f aca="false">IF(Tasks[[#This Row],[_Res3Text]]="","",TRIM(MID(SUBSTITUTE(Tasks[[#This Row],[_Resources]],",",REPT(" ",99)),298,99)))</f>
        <v/>
      </c>
      <c r="DH182" s="42" t="n">
        <f aca="false">IF(Tasks[[#This Row],[_Res1Text]]="",0,IFERROR(MATCH(TRIM(LEFT(Tasks[[#This Row],[_Res1Text]],FIND("[",Tasks[[#This Row],[_Res1Text]]&amp;"[")-1)),res_Name,0),IFERROR(MATCH(TRIM(LEFT(Tasks[[#This Row],[_Res1Text]],FIND("[",Tasks[[#This Row],[_Res1Text]]&amp;"[")-1)),res_Initials,0),0)))</f>
        <v>0</v>
      </c>
      <c r="DI182" s="42" t="n">
        <f aca="false">IF(Tasks[[#This Row],[_Res2Text]]="",0,IFERROR(MATCH(TRIM(LEFT(Tasks[[#This Row],[_Res2Text]],FIND("[",Tasks[[#This Row],[_Res2Text]]&amp;"[")-1)),res_Name,0),IFERROR(MATCH(TRIM(LEFT(Tasks[[#This Row],[_Res2Text]],FIND("[",Tasks[[#This Row],[_Res2Text]]&amp;"[")-1)),res_Initials,0),0)))</f>
        <v>0</v>
      </c>
      <c r="DJ182" s="42" t="n">
        <f aca="false">IF(Tasks[[#This Row],[_Res3Text]]="",0,IFERROR(MATCH(TRIM(LEFT(Tasks[[#This Row],[_Res3Text]],FIND("[",Tasks[[#This Row],[_Res3Text]]&amp;"[")-1)),res_Name,0),IFERROR(MATCH(TRIM(LEFT(Tasks[[#This Row],[_Res3Text]],FIND("[",Tasks[[#This Row],[_Res3Text]]&amp;"[")-1)),res_Initials,0),0)))</f>
        <v>0</v>
      </c>
      <c r="DK182" s="42" t="n">
        <f aca="false">IF(Tasks[[#This Row],[_Res4Text]]="",0,IFERROR(MATCH(TRIM(LEFT(Tasks[[#This Row],[_Res4Text]],FIND("[",Tasks[[#This Row],[_Res4Text]]&amp;"[")-1)),res_Name,0),IFERROR(MATCH(TRIM(LEFT(Tasks[[#This Row],[_Res4Text]],FIND("[",Tasks[[#This Row],[_Res4Text]]&amp;"[")-1)),res_Initials,0),0)))</f>
        <v>0</v>
      </c>
      <c r="DL182" s="42" t="str">
        <f aca="false">IF(Tasks[[#This Row],[_Res1Text]]="","",IF(Tasks[[#This Row],[_Res1Row]]&gt;0,INDEX(res_Name,Tasks[[#This Row],[_Res1Row]]),TRIM(LEFT(Tasks[[#This Row],[_Res1Text]],FIND("[",Tasks[[#This Row],[_Res1Text]]&amp;"[")-1))))</f>
        <v/>
      </c>
      <c r="DM18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2" s="42" t="n">
        <f aca="false">IF(NOT(Tasks[[#This Row],[_IsLeaf]]=1),0,(Tasks[[#This Row],[_Resource1]]&lt;&gt;"")+(Tasks[[#This Row],[_Res2]]&lt;&gt;"")+(Tasks[[#This Row],[_Res3]]&lt;&gt;"")+(Tasks[[#This Row],[_Res4]]&lt;&gt;""))</f>
        <v>0</v>
      </c>
      <c r="DO182" s="42" t="str">
        <f aca="false">IF(Tasks[[#This Row],[_Res2Text]]="","",IF(Tasks[[#This Row],[_Res2Row]]&gt;0,INDEX(res_Name,Tasks[[#This Row],[_Res2Row]]),TRIM(LEFT(Tasks[[#This Row],[_Res2Text]],FIND("[",Tasks[[#This Row],[_Res2Text]]&amp;"[")-1))))</f>
        <v/>
      </c>
      <c r="DP18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2" s="42" t="n">
        <f aca="false">IF(OR(NOT(Tasks[[#This Row],[_IsLeaf]]=1),Tasks[[#This Row],[_Res2Row]]=0),0,N(Tasks[[#This Row],[_Days]])*HoursPerDay*IF(Tasks[[#This Row],[_Res2Units]]="",DefaultUnits,Tasks[[#This Row],[_Res2Units]]))</f>
        <v>0</v>
      </c>
      <c r="DR182" s="42" t="n">
        <f aca="false">IF(AND(AND(Tasks[[#This Row],[_IsLeaf]]=1,Tasks[[#This Row],[_LeafTotalWork]]&gt;0),Tasks[[#This Row],[_Res2Work]]&gt;0),Tasks[[#This Row],[_Res2Work]]/(Tasks[[#This Row],[_FinishWorkday]]-Tasks[[#This Row],[_StartWorkday]]+1),0)</f>
        <v>0</v>
      </c>
      <c r="DS182" s="42" t="n">
        <f aca="false">Tasks[[#This Row],[_Res2WorkPerWD]]*MAX(0,Tasks[[#This Row],[_StartWorkday]]-1)</f>
        <v>0</v>
      </c>
      <c r="DT182" s="42" t="n">
        <f aca="false">Tasks[[#This Row],[_Res2Work]]*Tasks[[#This Row],[_LeafProgress]]</f>
        <v>0</v>
      </c>
      <c r="DU182" s="42" t="str">
        <f aca="false">IF(Tasks[[#This Row],[_Res3Text]]="","",IF(Tasks[[#This Row],[_Res3Row]]&gt;0,INDEX(res_Name,Tasks[[#This Row],[_Res3Row]]),TRIM(LEFT(Tasks[[#This Row],[_Res3Text]],FIND("[",Tasks[[#This Row],[_Res3Text]]&amp;"[")-1))))</f>
        <v/>
      </c>
      <c r="DV18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2" s="42" t="n">
        <f aca="false">IF(OR(NOT(Tasks[[#This Row],[_IsLeaf]]=1),Tasks[[#This Row],[_Res3Row]]=0),0,N(Tasks[[#This Row],[_Days]])*HoursPerDay*IF(Tasks[[#This Row],[_Res3Units]]="",DefaultUnits,Tasks[[#This Row],[_Res3Units]]))</f>
        <v>0</v>
      </c>
      <c r="DX182" s="42" t="n">
        <f aca="false">IF(AND(AND(Tasks[[#This Row],[_IsLeaf]]=1,Tasks[[#This Row],[_LeafTotalWork]]&gt;0),Tasks[[#This Row],[_Res3Work]]&gt;0),Tasks[[#This Row],[_Res3Work]]/(Tasks[[#This Row],[_FinishWorkday]]-Tasks[[#This Row],[_StartWorkday]]+1),0)</f>
        <v>0</v>
      </c>
      <c r="DY182" s="42" t="n">
        <f aca="false">Tasks[[#This Row],[_Res3WorkPerWD]]*MAX(0,Tasks[[#This Row],[_StartWorkday]]-1)</f>
        <v>0</v>
      </c>
      <c r="DZ182" s="42" t="n">
        <f aca="false">Tasks[[#This Row],[_Res3Work]]*Tasks[[#This Row],[_LeafProgress]]</f>
        <v>0</v>
      </c>
      <c r="EA182" s="42" t="str">
        <f aca="false">IF(Tasks[[#This Row],[_Res4Text]]="","",IF(Tasks[[#This Row],[_Res4Row]]&gt;0,INDEX(res_Name,Tasks[[#This Row],[_Res4Row]]),TRIM(LEFT(Tasks[[#This Row],[_Res4Text]],FIND("[",Tasks[[#This Row],[_Res4Text]]&amp;"[")-1))))</f>
        <v/>
      </c>
      <c r="EB18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2" s="42" t="n">
        <f aca="false">IF(OR(NOT(Tasks[[#This Row],[_IsLeaf]]=1),Tasks[[#This Row],[_Res4Row]]=0),0,N(Tasks[[#This Row],[_Days]])*HoursPerDay*IF(Tasks[[#This Row],[_Res4Units]]="",DefaultUnits,Tasks[[#This Row],[_Res4Units]]))</f>
        <v>0</v>
      </c>
      <c r="ED182" s="42" t="n">
        <f aca="false">IF(AND(AND(Tasks[[#This Row],[_IsLeaf]]=1,Tasks[[#This Row],[_LeafTotalWork]]&gt;0),Tasks[[#This Row],[_Res4Work]]&gt;0),Tasks[[#This Row],[_Res4Work]]/(Tasks[[#This Row],[_FinishWorkday]]-Tasks[[#This Row],[_StartWorkday]]+1),0)</f>
        <v>0</v>
      </c>
      <c r="EE182" s="42" t="n">
        <f aca="false">Tasks[[#This Row],[_Res4WorkPerWD]]*MAX(0,Tasks[[#This Row],[_StartWorkday]]-1)</f>
        <v>0</v>
      </c>
      <c r="EF182" s="42" t="n">
        <f aca="false">Tasks[[#This Row],[_Res4Work]]*Tasks[[#This Row],[_LeafProgress]]</f>
        <v>0</v>
      </c>
      <c r="EG182" s="42" t="n">
        <f aca="false">IF(ISNUMBER(Tasks[[#This Row],[% Complete]]),Tasks[[#This Row],[% Complete]],IF(Tasks[[#This Row],[Stage]]="",0,IFERROR(INDEX(stg_Pct,MATCH(Tasks[[#This Row],[Stage]],stg_Name,0)),0)))</f>
        <v>0</v>
      </c>
      <c r="EH182" s="42" t="n">
        <f aca="false">IF(NOT(Tasks[[#This Row],[_IsLeaf]]=1),0,IF(N(Tasks[[#This Row],[Actual Finish]])&gt;0,1,MIN(1,Tasks[[#This Row],[_Pct]])))</f>
        <v>0</v>
      </c>
      <c r="EI182" s="42" t="n">
        <f aca="false">IF(OR(NOT(Tasks[[#This Row],[_IsLeaf]]=1),Tasks[[#This Row],[_Res1Row]]=0),0,N(Tasks[[#This Row],[_Days]])*HoursPerDay*IF(Tasks[[#This Row],[_Units1]]="",DefaultUnits,Tasks[[#This Row],[_Units1]]))</f>
        <v>0</v>
      </c>
      <c r="EJ182" s="42" t="n">
        <f aca="false">Tasks[[#This Row],[_LeafWork]]+Tasks[[#This Row],[_Res2Work]]+Tasks[[#This Row],[_Res3Work]]+Tasks[[#This Row],[_Res4Work]]</f>
        <v>0</v>
      </c>
      <c r="EK18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2" s="42" t="n">
        <f aca="false">IF(NOT(Tasks[[#This Row],[_IsLeaf]]=1),0,MAX(_xlfn.MAXIFS(Tasks[_Row],Tasks[_Pred1UID],Tasks[[#This Row],[UID]]),_xlfn.MAXIFS(Tasks[_Row],Tasks[_Pred2UID],Tasks[[#This Row],[UID]]),_xlfn.MAXIFS(Tasks[_Row],Tasks[_Pred3UID],Tasks[[#This Row],[UID]]),_xlfn.MAXIFS(Tasks[_Row],Tasks[_Pred4UID],Tasks[[#This Row],[UID]])))</f>
        <v>0</v>
      </c>
      <c r="ET18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2" s="89" t="str">
        <f aca="false">IF(NOT(Tasks[[#This Row],[_IsLeaf]]=1),"",IF(N(Tasks[[#This Row],[_Days]])&lt;=0,Tasks[[#This Row],[_LeafLateFinish]],WORKDAY.INTL(Tasks[[#This Row],[_LeafLateFinish]],-(Tasks[[#This Row],[_Days]]-1),WorkWeek,Holidays)))</f>
        <v/>
      </c>
      <c r="EW18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2" s="88" t="b">
        <f aca="false">AND(Tasks[[#This Row],[_IsLeaf]]=1,Tasks[[#This Row],[_LeafProgress]]&lt;1,N(Tasks[[#This Row],[_LeafTotalSlack]])&lt;=CriticalSlackDays)</f>
        <v>0</v>
      </c>
      <c r="EY182" s="42" t="n">
        <f aca="false">IF(AND(Tasks[[#This Row],[_IsLeaf]]=1,Tasks[[#This Row],[_ConstraintCode]]=1,Tasks[[#This Row],[Mode]]&lt;&gt;"Manual",N(Tasks[[#This Row],[Actual Start]])=0),MAX(0,N(Tasks[[#This Row],[Free Slack]])),0)</f>
        <v>0</v>
      </c>
      <c r="EZ182" s="89" t="str">
        <f aca="false">IF(NOT(Tasks[[#This Row],[_IsLeaf]]=1),"",IF(Tasks[[#This Row],[_AlapShift]]=0,Tasks[[#This Row],[_LeafCalcStart]],WORKDAY.INTL(Tasks[[#This Row],[_LeafCalcStart]],Tasks[[#This Row],[_AlapShift]],WorkWeek,Holidays)))</f>
        <v/>
      </c>
      <c r="FA182" s="89" t="str">
        <f aca="false">IF(NOT(Tasks[[#This Row],[_IsLeaf]]=1),"",IF(Tasks[[#This Row],[_AlapShift]]=0,Tasks[[#This Row],[_LeafCalcFinish]],WORKDAY.INTL(Tasks[[#This Row],[_LeafCalcFinish]],Tasks[[#This Row],[_AlapShift]],WorkWeek,Holidays)))</f>
        <v/>
      </c>
      <c r="FB182" s="89" t="str">
        <f aca="false">IF(NOT(Tasks[[#This Row],[_IsLeaf]]=1),"",IF(Tasks[[#This Row],[_AlapShift]]=0,Tasks[[#This Row],[_LeafFcstStart]],WORKDAY.INTL(Tasks[[#This Row],[_LeafFcstStart]],Tasks[[#This Row],[_AlapShift]],WorkWeek,Holidays)))</f>
        <v/>
      </c>
      <c r="FC182" s="89" t="str">
        <f aca="false">IF(NOT(Tasks[[#This Row],[_IsLeaf]]=1),"",IF(Tasks[[#This Row],[_AlapShift]]=0,Tasks[[#This Row],[_LeafFcstFinish]],WORKDAY.INTL(Tasks[[#This Row],[_LeafFcstFinish]],Tasks[[#This Row],[_AlapShift]],WorkWeek,Holidays)))</f>
        <v/>
      </c>
      <c r="FD182" s="89" t="str">
        <f aca="false">IF(Tasks[[#This Row],[Task Name]]="","",IF(Tasks[[#This Row],[_IsSummary]],MIN(INDEX(Tasks[_ShownCalcStart],Tasks[[#This Row],[_Row]]+1):INDEX(Tasks[_ShownCalcStart],Tasks[[#This Row],[_Row]]+Tasks[[#This Row],[_Descendants]])),Tasks[[#This Row],[_ShownCalcStart]]))</f>
        <v/>
      </c>
      <c r="FE182" s="89" t="str">
        <f aca="false">IF(Tasks[[#This Row],[Task Name]]="","",IF(Tasks[[#This Row],[_IsSummary]],MAX(INDEX(Tasks[_ShownCalcFinish],Tasks[[#This Row],[_Row]]+1):INDEX(Tasks[_ShownCalcFinish],Tasks[[#This Row],[_Row]]+Tasks[[#This Row],[_Descendants]])),Tasks[[#This Row],[_ShownCalcFinish]]))</f>
        <v/>
      </c>
      <c r="FF18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2" s="42" t="n">
        <f aca="false">IF(AND(Tasks[[#This Row],[_IsLeaf]]=1,Tasks[[#This Row],[_LeafTotalWork]]&gt;0),NETWORKDAYS.INTL(ProjectStart,Tasks[[#This Row],[_ShownFcstStart]],WorkWeek,Holidays),0)</f>
        <v>0</v>
      </c>
      <c r="FS182" s="42" t="n">
        <f aca="false">IF(AND(Tasks[[#This Row],[_IsLeaf]]=1,Tasks[[#This Row],[_LeafTotalWork]]&gt;0),MAX(Tasks[[#This Row],[_StartWorkday]],NETWORKDAYS.INTL(ProjectStart,Tasks[[#This Row],[_ShownFcstFinish]],WorkWeek,Holidays)),0)</f>
        <v>0</v>
      </c>
      <c r="FT182" s="42" t="n">
        <f aca="false">IF(AND(Tasks[[#This Row],[_IsLeaf]]=1,Tasks[[#This Row],[_LeafTotalWork]]&gt;0),Tasks[[#This Row],[_LeafWork]]/(Tasks[[#This Row],[_FinishWorkday]]-Tasks[[#This Row],[_StartWorkday]]+1),0)</f>
        <v>0</v>
      </c>
      <c r="FU182" s="42" t="n">
        <f aca="false">Tasks[[#This Row],[_WorkPerWorkday]]*(Tasks[[#This Row],[_StartWorkday]]-1)</f>
        <v>-0</v>
      </c>
      <c r="FV182" s="42" t="n">
        <f aca="false">IF(Tasks[[#This Row],[_IsLeaf]]=1,MAX(N(Tasks[[#This Row],[_Days]]),0.1),0)</f>
        <v>0</v>
      </c>
      <c r="FW182" s="42" t="n">
        <f aca="false">Tasks[[#This Row],[_WeightDur]]*Tasks[[#This Row],[_LeafProgress]]</f>
        <v>0</v>
      </c>
      <c r="FX182" s="42" t="n">
        <f aca="false">Tasks[[#This Row],[_WeightDur]]*Tasks[[#This Row],[_PlannedPct]]</f>
        <v>0</v>
      </c>
      <c r="FY18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2" s="42" t="str">
        <f aca="false">IF(AND(Tasks[[#This Row],[_IsLeaf]]=1,N(Tasks[[#This Row],[_Days]])=0,Tasks[[#This Row],[_LeafProgress]]&lt;1),Tasks[[#This Row],[_ShownFcstFinish]]+Tasks[[#This Row],[_Row]]/100000,"")</f>
        <v/>
      </c>
      <c r="GA18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2" s="42" t="str">
        <f aca="false">IF(Tasks[[#This Row],[Task Name]]="","",LEFT(Tasks[[#This Row],[WBS]],FIND(".",Tasks[[#This Row],[WBS]]&amp;".")-1))</f>
        <v/>
      </c>
      <c r="GC182" s="42" t="str">
        <f aca="false">IF(AND(Tasks[[#This Row],[Task Name]]&lt;&gt;"",Tasks[[#This Row],[_Level]]=1),Tasks[[#This Row],[_Row]],"")</f>
        <v/>
      </c>
      <c r="GD182" s="42" t="str">
        <f aca="false">IF(AND(Tasks[[#This Row],[_IsLeaf]]=1,N(Tasks[[#This Row],[_Days]])=0),Tasks[[#This Row],[Planned Finish]]+Tasks[[#This Row],[_Row]]/100000,"")</f>
        <v/>
      </c>
      <c r="GE182" s="42" t="str">
        <f aca="false">IF(AND(Tasks[[#This Row],[_IsLeaf]]=1,Tasks[[#This Row],[_LeafProgress]]&lt;1,OR(N(Tasks[[#This Row],[Finish Var]])&gt;0,Tasks[[#This Row],[Status]]="Late Start")),MAX(0,Tasks[[#This Row],[Finish Var]])+1-Tasks[[#This Row],[_Row]]/1000000,"")</f>
        <v/>
      </c>
      <c r="GF182" s="42" t="str">
        <f aca="false">IF(AND(Tasks[[#This Row],[_IsLeaf]]=1,N(Tasks[[#This Row],[Actual Start]])=0,Tasks[[#This Row],[_ShownFcstStart]]&gt;=StatusDate,Tasks[[#This Row],[_ShownFcstStart]]&lt;=LookaheadEnd),Tasks[[#This Row],[_ShownFcstStart]]+Tasks[[#This Row],[_Row]]/100000,"")</f>
        <v/>
      </c>
      <c r="GG182" s="42" t="str">
        <f aca="false">IF(AND(Tasks[[#This Row],[_IsLeaf]]=1,Tasks[[#This Row],[_LeafProgress]]&lt;1,Tasks[[#This Row],[_ShownFcstFinish]]&gt;=StatusDate,Tasks[[#This Row],[_ShownFcstFinish]]&lt;=LookaheadEnd),Tasks[[#This Row],[_ShownFcstFinish]]+Tasks[[#This Row],[_Row]]/100000,"")</f>
        <v/>
      </c>
      <c r="GH182" s="42" t="str">
        <f aca="false">IF(Tasks[[#This Row],[_LeafCritical]],Tasks[[#This Row],[_ShownFcstStart]]+Tasks[[#This Row],[_Row]]/100000,"")</f>
        <v/>
      </c>
      <c r="GI182" s="42" t="n">
        <f aca="false">Tasks[[#This Row],[_LeafWork]]*Tasks[[#This Row],[_LeafProgress]]</f>
        <v>0</v>
      </c>
      <c r="GJ182" s="89" t="str">
        <f aca="false">IF(AND(Tasks[[#This Row],[_IsLeaf]]=1,Tasks[[#This Row],[_LeafProgress]]&gt;=1),IF(N(Tasks[[#This Row],[Actual Finish]])&gt;0,Tasks[[#This Row],[Actual Finish]],Tasks[[#This Row],[_ShownFcstFinish]]),"")</f>
        <v/>
      </c>
      <c r="GK182" s="42" t="n">
        <f aca="false">IF(Tasks[[#This Row],[_IsLeaf]]=1,N(Tasks[[#This Row],[Story Points]]),0)</f>
        <v>0</v>
      </c>
      <c r="GL182" s="42" t="str">
        <f aca="false">""</f>
        <v/>
      </c>
      <c r="GM182" s="88" t="b">
        <f aca="false">IF(Tasks[[#This Row],[Task Name]]="",FALSE(),AND(Tasks[[#This Row],[_IsLeaf]]=1,N(Tasks[[#This Row],[_Days]])=0))</f>
        <v>0</v>
      </c>
      <c r="GN182" s="89" t="n">
        <f aca="false">IF(Tasks[[#This Row],[Task Name]]="",0,IF(AND(Tasks[[#This Row],[_IsLeaf]]=1,NOT(Tasks[[#This Row],[_IsMilestone]]),N(Tasks[[#This Row],[Progress]])&gt;0),Tasks[[#This Row],[Start]],0))</f>
        <v>0</v>
      </c>
      <c r="GO182" s="89" t="n">
        <f aca="false">IF(Tasks[[#This Row],[_DoneFrom]]=0,0,IF(Tasks[[#This Row],[Progress]]&gt;=1,Tasks[[#This Row],[Finish]],MAX(Tasks[[#This Row],[_DoneFrom]],Tasks[[#This Row],[Start]]+ROUND((Tasks[[#This Row],[Finish]]-Tasks[[#This Row],[Start]]+1)*Tasks[[#This Row],[Progress]],0)-1)))</f>
        <v>0</v>
      </c>
      <c r="GP182" s="89" t="n">
        <f aca="false">IF(Tasks[[#This Row],[Task Name]]="",0,IF(OR(NOT(Tasks[[#This Row],[_IsLeaf]]=1),Tasks[[#This Row],[_IsMilestone]],N(Tasks[[#This Row],[Progress]])&gt;=1),0,IF(Tasks[[#This Row],[_DoneTo]]&gt;0,Tasks[[#This Row],[_DoneTo]]+1,Tasks[[#This Row],[Start]])))</f>
        <v>0</v>
      </c>
      <c r="GQ182" s="89" t="n">
        <f aca="false">IF(Tasks[[#This Row],[_RemFrom]]=0,0,Tasks[[#This Row],[Finish]])</f>
        <v>0</v>
      </c>
      <c r="GR182" s="88" t="b">
        <f aca="false">IF(Tasks[[#This Row],[Task Name]]="",FALSE(),OR(NOT(BaselineSet),N(Tasks[[#This Row],[Baseline Start]])&gt;0))</f>
        <v>0</v>
      </c>
      <c r="GS18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2" s="90" t="str">
        <f aca="false">IF(Tasks[[#This Row],[_IsLeaf]]=1,Tasks[[#This Row],[_Row]],"")</f>
        <v/>
      </c>
      <c r="GW182" s="90" t="str">
        <f aca="false">IFERROR(INDEX(Tasks[UID],SMALL(Tasks[_PickKey],Tasks[[#This Row],[_Row]]))&amp;" "&amp;INDEX(Tasks[Task Name],SMALL(Tasks[_PickKey],Tasks[[#This Row],[_Row]])),"")</f>
        <v/>
      </c>
      <c r="GX182" s="42" t="str">
        <f aca="false">IF(Tasks[[#This Row],[Task Name]]="","",IF(Tasks[[#This Row],[_IsSummary]],NETWORKDAYS.INTL(Tasks[[#This Row],[Start]],Tasks[[#This Row],[Finish]],WorkWeek,Holidays),N(Tasks[[#This Row],[_Days]])))</f>
        <v/>
      </c>
    </row>
    <row r="183" customFormat="false" ht="15" hidden="false" customHeight="false" outlineLevel="0" collapsed="false">
      <c r="A183" s="21" t="str">
        <f aca="false">IF(Tasks[[#This Row],[Task Name]]="","",COUNTA(Tasks[[#Headers],[Task Name]]:Tasks[[#This Row],[Task Name]])-1)</f>
        <v/>
      </c>
      <c r="B183" s="22" t="n">
        <v>191</v>
      </c>
      <c r="C183" s="22"/>
      <c r="D183" s="23"/>
      <c r="E183" s="22"/>
      <c r="F183" s="23"/>
      <c r="G183" s="22"/>
      <c r="H183" s="22"/>
      <c r="I183" s="23"/>
      <c r="J183" s="22"/>
      <c r="K183" s="22"/>
      <c r="L183" s="23"/>
      <c r="M183" s="22"/>
      <c r="N183" s="22"/>
      <c r="O183" s="23"/>
      <c r="P183" s="22"/>
      <c r="Q183" s="22"/>
      <c r="R183" s="23"/>
      <c r="S183" s="23"/>
      <c r="T183" s="83"/>
      <c r="U183" s="23"/>
      <c r="V183" s="83"/>
      <c r="W183" s="23"/>
      <c r="X183" s="83"/>
      <c r="Y183" s="23"/>
      <c r="Z183" s="83"/>
      <c r="AA183" s="23"/>
      <c r="AB183" s="23"/>
      <c r="AC183" s="7"/>
      <c r="AD183" s="7"/>
      <c r="AE183" s="62" t="str">
        <f aca="false">IF(Tasks[[#This Row],[Task Name]]="","",IF(Tasks[[#This Row],[_IsSummary]],MIN(INDEX(Tasks[_ShownFcstStart],Tasks[[#This Row],[_Row]]+1):INDEX(Tasks[_ShownFcstStart],Tasks[[#This Row],[_Row]]+Tasks[[#This Row],[_Descendants]])),Tasks[[#This Row],[_ShownFcstStart]]))</f>
        <v/>
      </c>
      <c r="AF183" s="62" t="str">
        <f aca="false">IF(Tasks[[#This Row],[Task Name]]="","",IF(Tasks[[#This Row],[_IsSummary]],MAX(INDEX(Tasks[_ShownFcstFinish],Tasks[[#This Row],[_Row]]+1):INDEX(Tasks[_ShownFcstFinish],Tasks[[#This Row],[_Row]]+Tasks[[#This Row],[_Descendants]])),Tasks[[#This Row],[_ShownFcstFinish]]))</f>
        <v/>
      </c>
      <c r="AG183" s="21" t="str">
        <f aca="false">""</f>
        <v/>
      </c>
      <c r="AH183" s="23"/>
      <c r="AI18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3" s="7"/>
      <c r="AK183" s="22"/>
      <c r="AL183" s="23"/>
      <c r="AM183" s="7"/>
      <c r="AN183" s="46" t="str">
        <f aca="false">IF(Tasks[[#This Row],[Task Name]]="","",IF(Tasks[[#This Row],[Finish]]&gt;=Tasks[[#This Row],[Planned Finish]],NETWORKDAYS.INTL(Tasks[[#This Row],[Planned Finish]],Tasks[[#This Row],[Finish]],WorkWeek,Holidays)-1,1-NETWORKDAYS.INTL(Tasks[[#This Row],[Finish]],Tasks[[#This Row],[Planned Finish]],WorkWeek,Holidays)))</f>
        <v/>
      </c>
      <c r="AO183" s="21" t="str">
        <f aca="false">IF(Tasks[[#This Row],[Task Name]]="","",IF(Tasks[[#This Row],[Progress]]&gt;=1,"Complete",IF(OR(N(Tasks[[#This Row],[Actual Start]])&gt;0,Tasks[[#This Row],[Progress]]&gt;0),IF(Tasks[[#This Row],[Finish Var]]&gt;0,"Behind","In Progress"),IF(Tasks[[#This Row],[Planned Start]]&lt;StatusDate,"Late Start","Not Started"))))</f>
        <v/>
      </c>
      <c r="AP183" s="21" t="str">
        <f aca="false">IF(Tasks[[#This Row],[Task Name]]="","",IF(IF(Tasks[[#This Row],[_IsSummary]],COUNTIF(INDEX(Tasks[_LeafCritical],Tasks[[#This Row],[_Row]]+1):INDEX(Tasks[_LeafCritical],Tasks[[#This Row],[_Row]]+Tasks[[#This Row],[_Descendants]]),TRUE())&gt;0,Tasks[[#This Row],[_LeafCritical]]),"Yes",""))</f>
        <v/>
      </c>
      <c r="AQ183" s="62" t="str">
        <f aca="false">IF(Tasks[[#This Row],[Task Name]]="","",IF(N(Tasks[[#This Row],[Baseline Start]])&gt;0,Tasks[[#This Row],[Baseline Start]],Tasks[[#This Row],[_CalcStart]]))</f>
        <v/>
      </c>
      <c r="AR183" s="62" t="str">
        <f aca="false">IF(Tasks[[#This Row],[Task Name]]="","",IF(N(Tasks[[#This Row],[Baseline Finish]])&gt;0,Tasks[[#This Row],[Baseline Finish]],Tasks[[#This Row],[_CalcFinish]]))</f>
        <v/>
      </c>
      <c r="AS183" s="46" t="str">
        <f aca="false">IF(Tasks[[#This Row],[Task Name]]="","",IF(Tasks[[#This Row],[Start]]&gt;=Tasks[[#This Row],[Planned Start]],NETWORKDAYS.INTL(Tasks[[#This Row],[Planned Start]],Tasks[[#This Row],[Start]],WorkWeek,Holidays)-1,1-NETWORKDAYS.INTL(Tasks[[#This Row],[Start]],Tasks[[#This Row],[Planned Start]],WorkWeek,Holidays)))</f>
        <v/>
      </c>
      <c r="AT183" s="62" t="str">
        <f aca="false">IF(Tasks[[#This Row],[Task Name]]="","",IF(Tasks[[#This Row],[_IsSummary]],MIN(INDEX(Tasks[_LeafLateStart],Tasks[[#This Row],[_Row]]+1):INDEX(Tasks[_LeafLateStart],Tasks[[#This Row],[_Row]]+Tasks[[#This Row],[_Descendants]])),Tasks[[#This Row],[_LeafLateStart]]))</f>
        <v/>
      </c>
      <c r="AU183" s="62" t="str">
        <f aca="false">IF(Tasks[[#This Row],[Task Name]]="","",IF(Tasks[[#This Row],[_IsSummary]],MAX(INDEX(Tasks[_LeafLateFinish],Tasks[[#This Row],[_Row]]+1):INDEX(Tasks[_LeafLateFinish],Tasks[[#This Row],[_Row]]+Tasks[[#This Row],[_Descendants]])),Tasks[[#This Row],[_LeafLateFinish]]))</f>
        <v/>
      </c>
      <c r="AV183" s="46" t="str">
        <f aca="false">IF(Tasks[[#This Row],[Task Name]]="","",IF(Tasks[[#This Row],[_IsSummary]],MIN(INDEX(Tasks[_LeafTotalSlack],Tasks[[#This Row],[_Row]]+1):INDEX(Tasks[_LeafTotalSlack],Tasks[[#This Row],[_Row]]+Tasks[[#This Row],[_Descendants]])),Tasks[[#This Row],[_LeafTotalSlack]]))</f>
        <v/>
      </c>
      <c r="AW18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4"/>
      <c r="BA18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t="str">
        <f aca="false">IF(Tasks[[#This Row],[Task Name]]="","",IF(Tasks[[#This Row],[_Level]]&lt;=OutlineShowLevel,"Yes","No"))</f>
        <v/>
      </c>
      <c r="BE183" s="85" t="str">
        <f aca="false">IF(Tasks[[#This Row],[Task Name]]="","",IF(Tasks[[#This Row],[_IsSummary]],SUM(INDEX(Tasks[_LeafTotalWork],Tasks[[#This Row],[_Row]]+1):INDEX(Tasks[_LeafTotalWork],Tasks[[#This Row],[_Row]]+Tasks[[#This Row],[_Descendants]])),Tasks[[#This Row],[_LeafTotalWork]]))</f>
        <v/>
      </c>
      <c r="BF183" s="23"/>
      <c r="BG18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t="str">
        <f aca="false">""</f>
        <v/>
      </c>
      <c r="BI183" s="86"/>
      <c r="BJ183" s="22"/>
      <c r="BK183" s="46" t="str">
        <f aca="false">IF(OR(Tasks[[#This Row],[Task Name]]="",Tasks[[#This Row],[Baseline Duration]]=""),"",Tasks[[#This Row],[_SpanDays]]-N(Tasks[[#This Row],[Baseline Duration]]))</f>
        <v/>
      </c>
      <c r="BL183" s="85" t="str">
        <f aca="false">IF(OR(Tasks[[#This Row],[Task Name]]="",Tasks[[#This Row],[Baseline Work]]=""),"",Tasks[[#This Row],[Work]]-N(Tasks[[#This Row],[Baseline Work]]))</f>
        <v/>
      </c>
      <c r="BM183" s="62" t="str">
        <f aca="false">IF(Tasks[[#This Row],[Task Name]]="","",IF(OR(TakeBaseline="Yes",N(Tasks[[#This Row],[Baseline Start]])=0),Tasks[[#This Row],[Start]],Tasks[[#This Row],[Baseline Start]]))</f>
        <v/>
      </c>
      <c r="BN183" s="62" t="str">
        <f aca="false">IF(Tasks[[#This Row],[Task Name]]="","",IF(OR(TakeBaseline="Yes",N(Tasks[[#This Row],[Baseline Finish]])=0),Tasks[[#This Row],[Finish]],Tasks[[#This Row],[Baseline Finish]]))</f>
        <v/>
      </c>
      <c r="BO183" s="21" t="str">
        <f aca="false">IF(Tasks[[#This Row],[Task Name]]="","",IF(OR(TakeBaseline="Yes",N(Tasks[[#This Row],[Baseline Duration]])=0),Tasks[[#This Row],[_SpanDays]],Tasks[[#This Row],[Baseline Duration]]))</f>
        <v/>
      </c>
      <c r="BP183" s="85" t="str">
        <f aca="false">IF(Tasks[[#This Row],[Task Name]]="","",IF(OR(TakeBaseline="Yes",N(Tasks[[#This Row],[Baseline Work]])=0),Tasks[[#This Row],[Work]],Tasks[[#This Row],[Baseline Work]]))</f>
        <v/>
      </c>
      <c r="BQ183" s="7"/>
      <c r="BR183" s="7"/>
      <c r="BS183" s="22"/>
      <c r="BT183" s="87"/>
      <c r="BU183" s="42" t="str">
        <f aca="false">IF(Tasks[[#This Row],[Task Name]]="","",MAX(1,N(Tasks[[#This Row],[Level]])))</f>
        <v/>
      </c>
      <c r="BV183" s="42" t="n">
        <f aca="false">ROW()-ROW(Tasks[[#Headers],[ID]])</f>
        <v>178</v>
      </c>
      <c r="BW183" s="42" t="n">
        <f aca="false">IF(OR(Tasks[[#This Row],[Task Name]]="",Tasks[[#This Row],[_Level]]&lt;=1),0,IFERROR(LOOKUP(2,1/(Tasks[[#Headers],[_Level]]:Tasks[[#This Row],[_Level]]=Tasks[[#This Row],[_Level]]-1),ROW(Tasks[[#Headers],[_Level]]:Tasks[[#This Row],[_Level]])),0))</f>
        <v>0</v>
      </c>
      <c r="BX183" s="42" t="n">
        <f aca="false">IFERROR(N(INDEX(Tasks[_Level],Tasks[[#This Row],[_Row]]+1)),0)</f>
        <v>0</v>
      </c>
      <c r="BY183" s="88" t="b">
        <f aca="false">AND(Tasks[[#This Row],[Task Name]]&lt;&gt;"",Tasks[[#This Row],[_NextLevel]]&gt;Tasks[[#This Row],[_Level]])</f>
        <v>0</v>
      </c>
      <c r="BZ183" s="42" t="n">
        <f aca="false">IF(Tasks[[#This Row],[_IsSummary]],COUNTIF(Tasks[WBS],Tasks[[#This Row],[WBS]]&amp;".*"),0)</f>
        <v>0</v>
      </c>
      <c r="CA183" s="42" t="n">
        <f aca="false">IF(AND(Tasks[[#This Row],[Task Name]]&lt;&gt;"",NOT(Tasks[[#This Row],[_IsSummary]])),1,0)</f>
        <v>0</v>
      </c>
      <c r="CB183" s="42" t="n">
        <f aca="false">IF(N(Tasks[[#This Row],[_Pred1UID]])=0,0,IFERROR(MATCH(Tasks[[#This Row],[_Pred1UID]],Tasks[UID],0),-1))</f>
        <v>0</v>
      </c>
      <c r="CC183" s="42" t="n">
        <f aca="false">IF(N(Tasks[[#This Row],[_Pred2UID]])=0,0,IFERROR(MATCH(Tasks[[#This Row],[_Pred2UID]],Tasks[UID],0),-1))</f>
        <v>0</v>
      </c>
      <c r="CD183" s="42" t="n">
        <f aca="false">IF(N(Tasks[[#This Row],[_Pred3UID]])=0,0,IFERROR(MATCH(Tasks[[#This Row],[_Pred3UID]],Tasks[UID],0),-1))</f>
        <v>0</v>
      </c>
      <c r="CE183" s="42" t="n">
        <f aca="false">IF(N(Tasks[[#This Row],[_Pred4UID]])=0,0,IFERROR(MATCH(Tasks[[#This Row],[_Pred4UID]],Tasks[UID],0),-1))</f>
        <v>0</v>
      </c>
      <c r="CF18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3" s="89" t="n">
        <f aca="false">IF(OR(Tasks[[#This Row],[_ConstraintCode]]=2,Tasks[[#This Row],[_ConstraintCode]]=3,Tasks[[#This Row],[_ConstraintCode]]=4,Tasks[[#This Row],[_ConstraintCode]]=6),Tasks[[#This Row],[_ConstraintStart]],0)</f>
        <v>0</v>
      </c>
      <c r="CI183" s="89" t="n">
        <f aca="false">IF(OR(Tasks[[#This Row],[_ConstraintCode]]=2,Tasks[[#This Row],[_ConstraintCode]]=3,Tasks[[#This Row],[_ConstraintCode]]=5,Tasks[[#This Row],[_ConstraintCode]]=7),Tasks[[#This Row],[_ConstraintStart]],2958465)</f>
        <v>2958465</v>
      </c>
      <c r="CJ18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3" s="89" t="str">
        <f aca="false">IF(NOT(Tasks[[#This Row],[_IsLeaf]]=1),"",IF(N(Tasks[[#This Row],[_Days]])&lt;=0,Tasks[[#This Row],[_LeafCalcStart]],WORKDAY.INTL(Tasks[[#This Row],[_LeafCalcStart]],Tasks[[#This Row],[_Days]]-1,WorkWeek,Holidays)))</f>
        <v/>
      </c>
      <c r="CL18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3" s="42" t="str">
        <f aca="false">IF(Tasks[[#This Row],[_Predecessors]]="","",TRIM(MID(SUBSTITUTE(SUBSTITUTE(SUBSTITUTE(UPPER(Tasks[[#This Row],[_Predecessors]]),";",",")," ",""),",",REPT(" ",99)),1,99)))</f>
        <v/>
      </c>
      <c r="CO183" s="42" t="str">
        <f aca="false">IF(Tasks[[#This Row],[_Pred1Text]]="","",IFERROR(VALUE(LEFT(Tasks[[#This Row],[_Pred1Text]],MIN(FIND("F",Tasks[[#This Row],[_Pred1Text]]&amp;"F"),FIND("S",Tasks[[#This Row],[_Pred1Text]]&amp;"S"),FIND("+",Tasks[[#This Row],[_Pred1Text]]&amp;"+"),FIND("-",Tasks[[#This Row],[_Pred1Text]]&amp;"-"))-1)),""))</f>
        <v/>
      </c>
      <c r="CP18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3" s="42" t="str">
        <f aca="false">IF(Tasks[[#This Row],[_Pred1Text]]="","",TRIM(MID(SUBSTITUTE(SUBSTITUTE(SUBSTITUTE(UPPER(Tasks[[#This Row],[_Predecessors]]),";",",")," ",""),",",REPT(" ",99)),100,99)))</f>
        <v/>
      </c>
      <c r="CS183" s="42" t="str">
        <f aca="false">IF(Tasks[[#This Row],[_Pred2Text]]="","",IFERROR(VALUE(LEFT(Tasks[[#This Row],[_Pred2Text]],MIN(FIND("F",Tasks[[#This Row],[_Pred2Text]]&amp;"F"),FIND("S",Tasks[[#This Row],[_Pred2Text]]&amp;"S"),FIND("+",Tasks[[#This Row],[_Pred2Text]]&amp;"+"),FIND("-",Tasks[[#This Row],[_Pred2Text]]&amp;"-"))-1)),""))</f>
        <v/>
      </c>
      <c r="CT18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3" s="42" t="str">
        <f aca="false">IF(Tasks[[#This Row],[_Pred2Text]]="","",TRIM(MID(SUBSTITUTE(SUBSTITUTE(SUBSTITUTE(UPPER(Tasks[[#This Row],[_Predecessors]]),";",",")," ",""),",",REPT(" ",99)),199,99)))</f>
        <v/>
      </c>
      <c r="CW183" s="42" t="str">
        <f aca="false">IF(Tasks[[#This Row],[_Pred3Text]]="","",IFERROR(VALUE(LEFT(Tasks[[#This Row],[_Pred3Text]],MIN(FIND("F",Tasks[[#This Row],[_Pred3Text]]&amp;"F"),FIND("S",Tasks[[#This Row],[_Pred3Text]]&amp;"S"),FIND("+",Tasks[[#This Row],[_Pred3Text]]&amp;"+"),FIND("-",Tasks[[#This Row],[_Pred3Text]]&amp;"-"))-1)),""))</f>
        <v/>
      </c>
      <c r="CX18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3" s="42" t="str">
        <f aca="false">IF(Tasks[[#This Row],[_Pred3Text]]="","",TRIM(MID(SUBSTITUTE(SUBSTITUTE(SUBSTITUTE(UPPER(Tasks[[#This Row],[_Predecessors]]),";",",")," ",""),",",REPT(" ",99)),298,99)))</f>
        <v/>
      </c>
      <c r="DA183" s="42" t="str">
        <f aca="false">IF(Tasks[[#This Row],[_Pred4Text]]="","",IFERROR(VALUE(LEFT(Tasks[[#This Row],[_Pred4Text]],MIN(FIND("F",Tasks[[#This Row],[_Pred4Text]]&amp;"F"),FIND("S",Tasks[[#This Row],[_Pred4Text]]&amp;"S"),FIND("+",Tasks[[#This Row],[_Pred4Text]]&amp;"+"),FIND("-",Tasks[[#This Row],[_Pred4Text]]&amp;"-"))-1)),""))</f>
        <v/>
      </c>
      <c r="DB18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3" s="42" t="str">
        <f aca="false">IF(OR(Tasks[[#This Row],[Task Name]]="",Tasks[[#This Row],[_Resources]]=""),"",TRIM(MID(SUBSTITUTE(Tasks[[#This Row],[_Resources]],",",REPT(" ",99)),1,99)))</f>
        <v/>
      </c>
      <c r="DE183" s="42" t="str">
        <f aca="false">IF(Tasks[[#This Row],[_Res1Text]]="","",TRIM(MID(SUBSTITUTE(Tasks[[#This Row],[_Resources]],",",REPT(" ",99)),100,99)))</f>
        <v/>
      </c>
      <c r="DF183" s="42" t="str">
        <f aca="false">IF(Tasks[[#This Row],[_Res2Text]]="","",TRIM(MID(SUBSTITUTE(Tasks[[#This Row],[_Resources]],",",REPT(" ",99)),199,99)))</f>
        <v/>
      </c>
      <c r="DG183" s="42" t="str">
        <f aca="false">IF(Tasks[[#This Row],[_Res3Text]]="","",TRIM(MID(SUBSTITUTE(Tasks[[#This Row],[_Resources]],",",REPT(" ",99)),298,99)))</f>
        <v/>
      </c>
      <c r="DH183" s="42" t="n">
        <f aca="false">IF(Tasks[[#This Row],[_Res1Text]]="",0,IFERROR(MATCH(TRIM(LEFT(Tasks[[#This Row],[_Res1Text]],FIND("[",Tasks[[#This Row],[_Res1Text]]&amp;"[")-1)),res_Name,0),IFERROR(MATCH(TRIM(LEFT(Tasks[[#This Row],[_Res1Text]],FIND("[",Tasks[[#This Row],[_Res1Text]]&amp;"[")-1)),res_Initials,0),0)))</f>
        <v>0</v>
      </c>
      <c r="DI183" s="42" t="n">
        <f aca="false">IF(Tasks[[#This Row],[_Res2Text]]="",0,IFERROR(MATCH(TRIM(LEFT(Tasks[[#This Row],[_Res2Text]],FIND("[",Tasks[[#This Row],[_Res2Text]]&amp;"[")-1)),res_Name,0),IFERROR(MATCH(TRIM(LEFT(Tasks[[#This Row],[_Res2Text]],FIND("[",Tasks[[#This Row],[_Res2Text]]&amp;"[")-1)),res_Initials,0),0)))</f>
        <v>0</v>
      </c>
      <c r="DJ183" s="42" t="n">
        <f aca="false">IF(Tasks[[#This Row],[_Res3Text]]="",0,IFERROR(MATCH(TRIM(LEFT(Tasks[[#This Row],[_Res3Text]],FIND("[",Tasks[[#This Row],[_Res3Text]]&amp;"[")-1)),res_Name,0),IFERROR(MATCH(TRIM(LEFT(Tasks[[#This Row],[_Res3Text]],FIND("[",Tasks[[#This Row],[_Res3Text]]&amp;"[")-1)),res_Initials,0),0)))</f>
        <v>0</v>
      </c>
      <c r="DK183" s="42" t="n">
        <f aca="false">IF(Tasks[[#This Row],[_Res4Text]]="",0,IFERROR(MATCH(TRIM(LEFT(Tasks[[#This Row],[_Res4Text]],FIND("[",Tasks[[#This Row],[_Res4Text]]&amp;"[")-1)),res_Name,0),IFERROR(MATCH(TRIM(LEFT(Tasks[[#This Row],[_Res4Text]],FIND("[",Tasks[[#This Row],[_Res4Text]]&amp;"[")-1)),res_Initials,0),0)))</f>
        <v>0</v>
      </c>
      <c r="DL183" s="42" t="str">
        <f aca="false">IF(Tasks[[#This Row],[_Res1Text]]="","",IF(Tasks[[#This Row],[_Res1Row]]&gt;0,INDEX(res_Name,Tasks[[#This Row],[_Res1Row]]),TRIM(LEFT(Tasks[[#This Row],[_Res1Text]],FIND("[",Tasks[[#This Row],[_Res1Text]]&amp;"[")-1))))</f>
        <v/>
      </c>
      <c r="DM18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3" s="42" t="n">
        <f aca="false">IF(NOT(Tasks[[#This Row],[_IsLeaf]]=1),0,(Tasks[[#This Row],[_Resource1]]&lt;&gt;"")+(Tasks[[#This Row],[_Res2]]&lt;&gt;"")+(Tasks[[#This Row],[_Res3]]&lt;&gt;"")+(Tasks[[#This Row],[_Res4]]&lt;&gt;""))</f>
        <v>0</v>
      </c>
      <c r="DO183" s="42" t="str">
        <f aca="false">IF(Tasks[[#This Row],[_Res2Text]]="","",IF(Tasks[[#This Row],[_Res2Row]]&gt;0,INDEX(res_Name,Tasks[[#This Row],[_Res2Row]]),TRIM(LEFT(Tasks[[#This Row],[_Res2Text]],FIND("[",Tasks[[#This Row],[_Res2Text]]&amp;"[")-1))))</f>
        <v/>
      </c>
      <c r="DP18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3" s="42" t="n">
        <f aca="false">IF(OR(NOT(Tasks[[#This Row],[_IsLeaf]]=1),Tasks[[#This Row],[_Res2Row]]=0),0,N(Tasks[[#This Row],[_Days]])*HoursPerDay*IF(Tasks[[#This Row],[_Res2Units]]="",DefaultUnits,Tasks[[#This Row],[_Res2Units]]))</f>
        <v>0</v>
      </c>
      <c r="DR183" s="42" t="n">
        <f aca="false">IF(AND(AND(Tasks[[#This Row],[_IsLeaf]]=1,Tasks[[#This Row],[_LeafTotalWork]]&gt;0),Tasks[[#This Row],[_Res2Work]]&gt;0),Tasks[[#This Row],[_Res2Work]]/(Tasks[[#This Row],[_FinishWorkday]]-Tasks[[#This Row],[_StartWorkday]]+1),0)</f>
        <v>0</v>
      </c>
      <c r="DS183" s="42" t="n">
        <f aca="false">Tasks[[#This Row],[_Res2WorkPerWD]]*MAX(0,Tasks[[#This Row],[_StartWorkday]]-1)</f>
        <v>0</v>
      </c>
      <c r="DT183" s="42" t="n">
        <f aca="false">Tasks[[#This Row],[_Res2Work]]*Tasks[[#This Row],[_LeafProgress]]</f>
        <v>0</v>
      </c>
      <c r="DU183" s="42" t="str">
        <f aca="false">IF(Tasks[[#This Row],[_Res3Text]]="","",IF(Tasks[[#This Row],[_Res3Row]]&gt;0,INDEX(res_Name,Tasks[[#This Row],[_Res3Row]]),TRIM(LEFT(Tasks[[#This Row],[_Res3Text]],FIND("[",Tasks[[#This Row],[_Res3Text]]&amp;"[")-1))))</f>
        <v/>
      </c>
      <c r="DV18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3" s="42" t="n">
        <f aca="false">IF(OR(NOT(Tasks[[#This Row],[_IsLeaf]]=1),Tasks[[#This Row],[_Res3Row]]=0),0,N(Tasks[[#This Row],[_Days]])*HoursPerDay*IF(Tasks[[#This Row],[_Res3Units]]="",DefaultUnits,Tasks[[#This Row],[_Res3Units]]))</f>
        <v>0</v>
      </c>
      <c r="DX183" s="42" t="n">
        <f aca="false">IF(AND(AND(Tasks[[#This Row],[_IsLeaf]]=1,Tasks[[#This Row],[_LeafTotalWork]]&gt;0),Tasks[[#This Row],[_Res3Work]]&gt;0),Tasks[[#This Row],[_Res3Work]]/(Tasks[[#This Row],[_FinishWorkday]]-Tasks[[#This Row],[_StartWorkday]]+1),0)</f>
        <v>0</v>
      </c>
      <c r="DY183" s="42" t="n">
        <f aca="false">Tasks[[#This Row],[_Res3WorkPerWD]]*MAX(0,Tasks[[#This Row],[_StartWorkday]]-1)</f>
        <v>0</v>
      </c>
      <c r="DZ183" s="42" t="n">
        <f aca="false">Tasks[[#This Row],[_Res3Work]]*Tasks[[#This Row],[_LeafProgress]]</f>
        <v>0</v>
      </c>
      <c r="EA183" s="42" t="str">
        <f aca="false">IF(Tasks[[#This Row],[_Res4Text]]="","",IF(Tasks[[#This Row],[_Res4Row]]&gt;0,INDEX(res_Name,Tasks[[#This Row],[_Res4Row]]),TRIM(LEFT(Tasks[[#This Row],[_Res4Text]],FIND("[",Tasks[[#This Row],[_Res4Text]]&amp;"[")-1))))</f>
        <v/>
      </c>
      <c r="EB18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3" s="42" t="n">
        <f aca="false">IF(OR(NOT(Tasks[[#This Row],[_IsLeaf]]=1),Tasks[[#This Row],[_Res4Row]]=0),0,N(Tasks[[#This Row],[_Days]])*HoursPerDay*IF(Tasks[[#This Row],[_Res4Units]]="",DefaultUnits,Tasks[[#This Row],[_Res4Units]]))</f>
        <v>0</v>
      </c>
      <c r="ED183" s="42" t="n">
        <f aca="false">IF(AND(AND(Tasks[[#This Row],[_IsLeaf]]=1,Tasks[[#This Row],[_LeafTotalWork]]&gt;0),Tasks[[#This Row],[_Res4Work]]&gt;0),Tasks[[#This Row],[_Res4Work]]/(Tasks[[#This Row],[_FinishWorkday]]-Tasks[[#This Row],[_StartWorkday]]+1),0)</f>
        <v>0</v>
      </c>
      <c r="EE183" s="42" t="n">
        <f aca="false">Tasks[[#This Row],[_Res4WorkPerWD]]*MAX(0,Tasks[[#This Row],[_StartWorkday]]-1)</f>
        <v>0</v>
      </c>
      <c r="EF183" s="42" t="n">
        <f aca="false">Tasks[[#This Row],[_Res4Work]]*Tasks[[#This Row],[_LeafProgress]]</f>
        <v>0</v>
      </c>
      <c r="EG183" s="42" t="n">
        <f aca="false">IF(ISNUMBER(Tasks[[#This Row],[% Complete]]),Tasks[[#This Row],[% Complete]],IF(Tasks[[#This Row],[Stage]]="",0,IFERROR(INDEX(stg_Pct,MATCH(Tasks[[#This Row],[Stage]],stg_Name,0)),0)))</f>
        <v>0</v>
      </c>
      <c r="EH183" s="42" t="n">
        <f aca="false">IF(NOT(Tasks[[#This Row],[_IsLeaf]]=1),0,IF(N(Tasks[[#This Row],[Actual Finish]])&gt;0,1,MIN(1,Tasks[[#This Row],[_Pct]])))</f>
        <v>0</v>
      </c>
      <c r="EI183" s="42" t="n">
        <f aca="false">IF(OR(NOT(Tasks[[#This Row],[_IsLeaf]]=1),Tasks[[#This Row],[_Res1Row]]=0),0,N(Tasks[[#This Row],[_Days]])*HoursPerDay*IF(Tasks[[#This Row],[_Units1]]="",DefaultUnits,Tasks[[#This Row],[_Units1]]))</f>
        <v>0</v>
      </c>
      <c r="EJ183" s="42" t="n">
        <f aca="false">Tasks[[#This Row],[_LeafWork]]+Tasks[[#This Row],[_Res2Work]]+Tasks[[#This Row],[_Res3Work]]+Tasks[[#This Row],[_Res4Work]]</f>
        <v>0</v>
      </c>
      <c r="EK18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3" s="42" t="n">
        <f aca="false">IF(NOT(Tasks[[#This Row],[_IsLeaf]]=1),0,MAX(_xlfn.MAXIFS(Tasks[_Row],Tasks[_Pred1UID],Tasks[[#This Row],[UID]]),_xlfn.MAXIFS(Tasks[_Row],Tasks[_Pred2UID],Tasks[[#This Row],[UID]]),_xlfn.MAXIFS(Tasks[_Row],Tasks[_Pred3UID],Tasks[[#This Row],[UID]]),_xlfn.MAXIFS(Tasks[_Row],Tasks[_Pred4UID],Tasks[[#This Row],[UID]])))</f>
        <v>0</v>
      </c>
      <c r="ET18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3" s="89" t="str">
        <f aca="false">IF(NOT(Tasks[[#This Row],[_IsLeaf]]=1),"",IF(N(Tasks[[#This Row],[_Days]])&lt;=0,Tasks[[#This Row],[_LeafLateFinish]],WORKDAY.INTL(Tasks[[#This Row],[_LeafLateFinish]],-(Tasks[[#This Row],[_Days]]-1),WorkWeek,Holidays)))</f>
        <v/>
      </c>
      <c r="EW18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3" s="88" t="b">
        <f aca="false">AND(Tasks[[#This Row],[_IsLeaf]]=1,Tasks[[#This Row],[_LeafProgress]]&lt;1,N(Tasks[[#This Row],[_LeafTotalSlack]])&lt;=CriticalSlackDays)</f>
        <v>0</v>
      </c>
      <c r="EY183" s="42" t="n">
        <f aca="false">IF(AND(Tasks[[#This Row],[_IsLeaf]]=1,Tasks[[#This Row],[_ConstraintCode]]=1,Tasks[[#This Row],[Mode]]&lt;&gt;"Manual",N(Tasks[[#This Row],[Actual Start]])=0),MAX(0,N(Tasks[[#This Row],[Free Slack]])),0)</f>
        <v>0</v>
      </c>
      <c r="EZ183" s="89" t="str">
        <f aca="false">IF(NOT(Tasks[[#This Row],[_IsLeaf]]=1),"",IF(Tasks[[#This Row],[_AlapShift]]=0,Tasks[[#This Row],[_LeafCalcStart]],WORKDAY.INTL(Tasks[[#This Row],[_LeafCalcStart]],Tasks[[#This Row],[_AlapShift]],WorkWeek,Holidays)))</f>
        <v/>
      </c>
      <c r="FA183" s="89" t="str">
        <f aca="false">IF(NOT(Tasks[[#This Row],[_IsLeaf]]=1),"",IF(Tasks[[#This Row],[_AlapShift]]=0,Tasks[[#This Row],[_LeafCalcFinish]],WORKDAY.INTL(Tasks[[#This Row],[_LeafCalcFinish]],Tasks[[#This Row],[_AlapShift]],WorkWeek,Holidays)))</f>
        <v/>
      </c>
      <c r="FB183" s="89" t="str">
        <f aca="false">IF(NOT(Tasks[[#This Row],[_IsLeaf]]=1),"",IF(Tasks[[#This Row],[_AlapShift]]=0,Tasks[[#This Row],[_LeafFcstStart]],WORKDAY.INTL(Tasks[[#This Row],[_LeafFcstStart]],Tasks[[#This Row],[_AlapShift]],WorkWeek,Holidays)))</f>
        <v/>
      </c>
      <c r="FC183" s="89" t="str">
        <f aca="false">IF(NOT(Tasks[[#This Row],[_IsLeaf]]=1),"",IF(Tasks[[#This Row],[_AlapShift]]=0,Tasks[[#This Row],[_LeafFcstFinish]],WORKDAY.INTL(Tasks[[#This Row],[_LeafFcstFinish]],Tasks[[#This Row],[_AlapShift]],WorkWeek,Holidays)))</f>
        <v/>
      </c>
      <c r="FD183" s="89" t="str">
        <f aca="false">IF(Tasks[[#This Row],[Task Name]]="","",IF(Tasks[[#This Row],[_IsSummary]],MIN(INDEX(Tasks[_ShownCalcStart],Tasks[[#This Row],[_Row]]+1):INDEX(Tasks[_ShownCalcStart],Tasks[[#This Row],[_Row]]+Tasks[[#This Row],[_Descendants]])),Tasks[[#This Row],[_ShownCalcStart]]))</f>
        <v/>
      </c>
      <c r="FE183" s="89" t="str">
        <f aca="false">IF(Tasks[[#This Row],[Task Name]]="","",IF(Tasks[[#This Row],[_IsSummary]],MAX(INDEX(Tasks[_ShownCalcFinish],Tasks[[#This Row],[_Row]]+1):INDEX(Tasks[_ShownCalcFinish],Tasks[[#This Row],[_Row]]+Tasks[[#This Row],[_Descendants]])),Tasks[[#This Row],[_ShownCalcFinish]]))</f>
        <v/>
      </c>
      <c r="FF18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3" s="42" t="n">
        <f aca="false">IF(AND(Tasks[[#This Row],[_IsLeaf]]=1,Tasks[[#This Row],[_LeafTotalWork]]&gt;0),NETWORKDAYS.INTL(ProjectStart,Tasks[[#This Row],[_ShownFcstStart]],WorkWeek,Holidays),0)</f>
        <v>0</v>
      </c>
      <c r="FS183" s="42" t="n">
        <f aca="false">IF(AND(Tasks[[#This Row],[_IsLeaf]]=1,Tasks[[#This Row],[_LeafTotalWork]]&gt;0),MAX(Tasks[[#This Row],[_StartWorkday]],NETWORKDAYS.INTL(ProjectStart,Tasks[[#This Row],[_ShownFcstFinish]],WorkWeek,Holidays)),0)</f>
        <v>0</v>
      </c>
      <c r="FT183" s="42" t="n">
        <f aca="false">IF(AND(Tasks[[#This Row],[_IsLeaf]]=1,Tasks[[#This Row],[_LeafTotalWork]]&gt;0),Tasks[[#This Row],[_LeafWork]]/(Tasks[[#This Row],[_FinishWorkday]]-Tasks[[#This Row],[_StartWorkday]]+1),0)</f>
        <v>0</v>
      </c>
      <c r="FU183" s="42" t="n">
        <f aca="false">Tasks[[#This Row],[_WorkPerWorkday]]*(Tasks[[#This Row],[_StartWorkday]]-1)</f>
        <v>-0</v>
      </c>
      <c r="FV183" s="42" t="n">
        <f aca="false">IF(Tasks[[#This Row],[_IsLeaf]]=1,MAX(N(Tasks[[#This Row],[_Days]]),0.1),0)</f>
        <v>0</v>
      </c>
      <c r="FW183" s="42" t="n">
        <f aca="false">Tasks[[#This Row],[_WeightDur]]*Tasks[[#This Row],[_LeafProgress]]</f>
        <v>0</v>
      </c>
      <c r="FX183" s="42" t="n">
        <f aca="false">Tasks[[#This Row],[_WeightDur]]*Tasks[[#This Row],[_PlannedPct]]</f>
        <v>0</v>
      </c>
      <c r="FY18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3" s="42" t="str">
        <f aca="false">IF(AND(Tasks[[#This Row],[_IsLeaf]]=1,N(Tasks[[#This Row],[_Days]])=0,Tasks[[#This Row],[_LeafProgress]]&lt;1),Tasks[[#This Row],[_ShownFcstFinish]]+Tasks[[#This Row],[_Row]]/100000,"")</f>
        <v/>
      </c>
      <c r="GA18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3" s="42" t="str">
        <f aca="false">IF(Tasks[[#This Row],[Task Name]]="","",LEFT(Tasks[[#This Row],[WBS]],FIND(".",Tasks[[#This Row],[WBS]]&amp;".")-1))</f>
        <v/>
      </c>
      <c r="GC183" s="42" t="str">
        <f aca="false">IF(AND(Tasks[[#This Row],[Task Name]]&lt;&gt;"",Tasks[[#This Row],[_Level]]=1),Tasks[[#This Row],[_Row]],"")</f>
        <v/>
      </c>
      <c r="GD183" s="42" t="str">
        <f aca="false">IF(AND(Tasks[[#This Row],[_IsLeaf]]=1,N(Tasks[[#This Row],[_Days]])=0),Tasks[[#This Row],[Planned Finish]]+Tasks[[#This Row],[_Row]]/100000,"")</f>
        <v/>
      </c>
      <c r="GE183" s="42" t="str">
        <f aca="false">IF(AND(Tasks[[#This Row],[_IsLeaf]]=1,Tasks[[#This Row],[_LeafProgress]]&lt;1,OR(N(Tasks[[#This Row],[Finish Var]])&gt;0,Tasks[[#This Row],[Status]]="Late Start")),MAX(0,Tasks[[#This Row],[Finish Var]])+1-Tasks[[#This Row],[_Row]]/1000000,"")</f>
        <v/>
      </c>
      <c r="GF183" s="42" t="str">
        <f aca="false">IF(AND(Tasks[[#This Row],[_IsLeaf]]=1,N(Tasks[[#This Row],[Actual Start]])=0,Tasks[[#This Row],[_ShownFcstStart]]&gt;=StatusDate,Tasks[[#This Row],[_ShownFcstStart]]&lt;=LookaheadEnd),Tasks[[#This Row],[_ShownFcstStart]]+Tasks[[#This Row],[_Row]]/100000,"")</f>
        <v/>
      </c>
      <c r="GG183" s="42" t="str">
        <f aca="false">IF(AND(Tasks[[#This Row],[_IsLeaf]]=1,Tasks[[#This Row],[_LeafProgress]]&lt;1,Tasks[[#This Row],[_ShownFcstFinish]]&gt;=StatusDate,Tasks[[#This Row],[_ShownFcstFinish]]&lt;=LookaheadEnd),Tasks[[#This Row],[_ShownFcstFinish]]+Tasks[[#This Row],[_Row]]/100000,"")</f>
        <v/>
      </c>
      <c r="GH183" s="42" t="str">
        <f aca="false">IF(Tasks[[#This Row],[_LeafCritical]],Tasks[[#This Row],[_ShownFcstStart]]+Tasks[[#This Row],[_Row]]/100000,"")</f>
        <v/>
      </c>
      <c r="GI183" s="42" t="n">
        <f aca="false">Tasks[[#This Row],[_LeafWork]]*Tasks[[#This Row],[_LeafProgress]]</f>
        <v>0</v>
      </c>
      <c r="GJ183" s="89" t="str">
        <f aca="false">IF(AND(Tasks[[#This Row],[_IsLeaf]]=1,Tasks[[#This Row],[_LeafProgress]]&gt;=1),IF(N(Tasks[[#This Row],[Actual Finish]])&gt;0,Tasks[[#This Row],[Actual Finish]],Tasks[[#This Row],[_ShownFcstFinish]]),"")</f>
        <v/>
      </c>
      <c r="GK183" s="42" t="n">
        <f aca="false">IF(Tasks[[#This Row],[_IsLeaf]]=1,N(Tasks[[#This Row],[Story Points]]),0)</f>
        <v>0</v>
      </c>
      <c r="GL183" s="42" t="str">
        <f aca="false">""</f>
        <v/>
      </c>
      <c r="GM183" s="88" t="b">
        <f aca="false">IF(Tasks[[#This Row],[Task Name]]="",FALSE(),AND(Tasks[[#This Row],[_IsLeaf]]=1,N(Tasks[[#This Row],[_Days]])=0))</f>
        <v>0</v>
      </c>
      <c r="GN183" s="89" t="n">
        <f aca="false">IF(Tasks[[#This Row],[Task Name]]="",0,IF(AND(Tasks[[#This Row],[_IsLeaf]]=1,NOT(Tasks[[#This Row],[_IsMilestone]]),N(Tasks[[#This Row],[Progress]])&gt;0),Tasks[[#This Row],[Start]],0))</f>
        <v>0</v>
      </c>
      <c r="GO183" s="89" t="n">
        <f aca="false">IF(Tasks[[#This Row],[_DoneFrom]]=0,0,IF(Tasks[[#This Row],[Progress]]&gt;=1,Tasks[[#This Row],[Finish]],MAX(Tasks[[#This Row],[_DoneFrom]],Tasks[[#This Row],[Start]]+ROUND((Tasks[[#This Row],[Finish]]-Tasks[[#This Row],[Start]]+1)*Tasks[[#This Row],[Progress]],0)-1)))</f>
        <v>0</v>
      </c>
      <c r="GP183" s="89" t="n">
        <f aca="false">IF(Tasks[[#This Row],[Task Name]]="",0,IF(OR(NOT(Tasks[[#This Row],[_IsLeaf]]=1),Tasks[[#This Row],[_IsMilestone]],N(Tasks[[#This Row],[Progress]])&gt;=1),0,IF(Tasks[[#This Row],[_DoneTo]]&gt;0,Tasks[[#This Row],[_DoneTo]]+1,Tasks[[#This Row],[Start]])))</f>
        <v>0</v>
      </c>
      <c r="GQ183" s="89" t="n">
        <f aca="false">IF(Tasks[[#This Row],[_RemFrom]]=0,0,Tasks[[#This Row],[Finish]])</f>
        <v>0</v>
      </c>
      <c r="GR183" s="88" t="b">
        <f aca="false">IF(Tasks[[#This Row],[Task Name]]="",FALSE(),OR(NOT(BaselineSet),N(Tasks[[#This Row],[Baseline Start]])&gt;0))</f>
        <v>0</v>
      </c>
      <c r="GS18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3" s="90" t="str">
        <f aca="false">IF(Tasks[[#This Row],[_IsLeaf]]=1,Tasks[[#This Row],[_Row]],"")</f>
        <v/>
      </c>
      <c r="GW183" s="90" t="str">
        <f aca="false">IFERROR(INDEX(Tasks[UID],SMALL(Tasks[_PickKey],Tasks[[#This Row],[_Row]]))&amp;" "&amp;INDEX(Tasks[Task Name],SMALL(Tasks[_PickKey],Tasks[[#This Row],[_Row]])),"")</f>
        <v/>
      </c>
      <c r="GX183" s="42" t="str">
        <f aca="false">IF(Tasks[[#This Row],[Task Name]]="","",IF(Tasks[[#This Row],[_IsSummary]],NETWORKDAYS.INTL(Tasks[[#This Row],[Start]],Tasks[[#This Row],[Finish]],WorkWeek,Holidays),N(Tasks[[#This Row],[_Days]])))</f>
        <v/>
      </c>
    </row>
    <row r="184" customFormat="false" ht="15" hidden="false" customHeight="false" outlineLevel="0" collapsed="false">
      <c r="A184" s="21" t="str">
        <f aca="false">IF(Tasks[[#This Row],[Task Name]]="","",COUNTA(Tasks[[#Headers],[Task Name]]:Tasks[[#This Row],[Task Name]])-1)</f>
        <v/>
      </c>
      <c r="B184" s="22" t="n">
        <v>192</v>
      </c>
      <c r="C184" s="22"/>
      <c r="D184" s="23"/>
      <c r="E184" s="22"/>
      <c r="F184" s="23"/>
      <c r="G184" s="22"/>
      <c r="H184" s="22"/>
      <c r="I184" s="23"/>
      <c r="J184" s="22"/>
      <c r="K184" s="22"/>
      <c r="L184" s="23"/>
      <c r="M184" s="22"/>
      <c r="N184" s="22"/>
      <c r="O184" s="23"/>
      <c r="P184" s="22"/>
      <c r="Q184" s="22"/>
      <c r="R184" s="23"/>
      <c r="S184" s="23"/>
      <c r="T184" s="83"/>
      <c r="U184" s="23"/>
      <c r="V184" s="83"/>
      <c r="W184" s="23"/>
      <c r="X184" s="83"/>
      <c r="Y184" s="23"/>
      <c r="Z184" s="83"/>
      <c r="AA184" s="23"/>
      <c r="AB184" s="23"/>
      <c r="AC184" s="7"/>
      <c r="AD184" s="7"/>
      <c r="AE184" s="62" t="str">
        <f aca="false">IF(Tasks[[#This Row],[Task Name]]="","",IF(Tasks[[#This Row],[_IsSummary]],MIN(INDEX(Tasks[_ShownFcstStart],Tasks[[#This Row],[_Row]]+1):INDEX(Tasks[_ShownFcstStart],Tasks[[#This Row],[_Row]]+Tasks[[#This Row],[_Descendants]])),Tasks[[#This Row],[_ShownFcstStart]]))</f>
        <v/>
      </c>
      <c r="AF184" s="62" t="str">
        <f aca="false">IF(Tasks[[#This Row],[Task Name]]="","",IF(Tasks[[#This Row],[_IsSummary]],MAX(INDEX(Tasks[_ShownFcstFinish],Tasks[[#This Row],[_Row]]+1):INDEX(Tasks[_ShownFcstFinish],Tasks[[#This Row],[_Row]]+Tasks[[#This Row],[_Descendants]])),Tasks[[#This Row],[_ShownFcstFinish]]))</f>
        <v/>
      </c>
      <c r="AG184" s="21" t="str">
        <f aca="false">""</f>
        <v/>
      </c>
      <c r="AH184" s="23"/>
      <c r="AI18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4" s="7"/>
      <c r="AK184" s="22"/>
      <c r="AL184" s="23"/>
      <c r="AM184" s="7"/>
      <c r="AN184" s="46" t="str">
        <f aca="false">IF(Tasks[[#This Row],[Task Name]]="","",IF(Tasks[[#This Row],[Finish]]&gt;=Tasks[[#This Row],[Planned Finish]],NETWORKDAYS.INTL(Tasks[[#This Row],[Planned Finish]],Tasks[[#This Row],[Finish]],WorkWeek,Holidays)-1,1-NETWORKDAYS.INTL(Tasks[[#This Row],[Finish]],Tasks[[#This Row],[Planned Finish]],WorkWeek,Holidays)))</f>
        <v/>
      </c>
      <c r="AO184" s="21" t="str">
        <f aca="false">IF(Tasks[[#This Row],[Task Name]]="","",IF(Tasks[[#This Row],[Progress]]&gt;=1,"Complete",IF(OR(N(Tasks[[#This Row],[Actual Start]])&gt;0,Tasks[[#This Row],[Progress]]&gt;0),IF(Tasks[[#This Row],[Finish Var]]&gt;0,"Behind","In Progress"),IF(Tasks[[#This Row],[Planned Start]]&lt;StatusDate,"Late Start","Not Started"))))</f>
        <v/>
      </c>
      <c r="AP184" s="21" t="str">
        <f aca="false">IF(Tasks[[#This Row],[Task Name]]="","",IF(IF(Tasks[[#This Row],[_IsSummary]],COUNTIF(INDEX(Tasks[_LeafCritical],Tasks[[#This Row],[_Row]]+1):INDEX(Tasks[_LeafCritical],Tasks[[#This Row],[_Row]]+Tasks[[#This Row],[_Descendants]]),TRUE())&gt;0,Tasks[[#This Row],[_LeafCritical]]),"Yes",""))</f>
        <v/>
      </c>
      <c r="AQ184" s="62" t="str">
        <f aca="false">IF(Tasks[[#This Row],[Task Name]]="","",IF(N(Tasks[[#This Row],[Baseline Start]])&gt;0,Tasks[[#This Row],[Baseline Start]],Tasks[[#This Row],[_CalcStart]]))</f>
        <v/>
      </c>
      <c r="AR184" s="62" t="str">
        <f aca="false">IF(Tasks[[#This Row],[Task Name]]="","",IF(N(Tasks[[#This Row],[Baseline Finish]])&gt;0,Tasks[[#This Row],[Baseline Finish]],Tasks[[#This Row],[_CalcFinish]]))</f>
        <v/>
      </c>
      <c r="AS184" s="46" t="str">
        <f aca="false">IF(Tasks[[#This Row],[Task Name]]="","",IF(Tasks[[#This Row],[Start]]&gt;=Tasks[[#This Row],[Planned Start]],NETWORKDAYS.INTL(Tasks[[#This Row],[Planned Start]],Tasks[[#This Row],[Start]],WorkWeek,Holidays)-1,1-NETWORKDAYS.INTL(Tasks[[#This Row],[Start]],Tasks[[#This Row],[Planned Start]],WorkWeek,Holidays)))</f>
        <v/>
      </c>
      <c r="AT184" s="62" t="str">
        <f aca="false">IF(Tasks[[#This Row],[Task Name]]="","",IF(Tasks[[#This Row],[_IsSummary]],MIN(INDEX(Tasks[_LeafLateStart],Tasks[[#This Row],[_Row]]+1):INDEX(Tasks[_LeafLateStart],Tasks[[#This Row],[_Row]]+Tasks[[#This Row],[_Descendants]])),Tasks[[#This Row],[_LeafLateStart]]))</f>
        <v/>
      </c>
      <c r="AU184" s="62" t="str">
        <f aca="false">IF(Tasks[[#This Row],[Task Name]]="","",IF(Tasks[[#This Row],[_IsSummary]],MAX(INDEX(Tasks[_LeafLateFinish],Tasks[[#This Row],[_Row]]+1):INDEX(Tasks[_LeafLateFinish],Tasks[[#This Row],[_Row]]+Tasks[[#This Row],[_Descendants]])),Tasks[[#This Row],[_LeafLateFinish]]))</f>
        <v/>
      </c>
      <c r="AV184" s="46" t="str">
        <f aca="false">IF(Tasks[[#This Row],[Task Name]]="","",IF(Tasks[[#This Row],[_IsSummary]],MIN(INDEX(Tasks[_LeafTotalSlack],Tasks[[#This Row],[_Row]]+1):INDEX(Tasks[_LeafTotalSlack],Tasks[[#This Row],[_Row]]+Tasks[[#This Row],[_Descendants]])),Tasks[[#This Row],[_LeafTotalSlack]]))</f>
        <v/>
      </c>
      <c r="AW18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4"/>
      <c r="BA18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t="str">
        <f aca="false">IF(Tasks[[#This Row],[Task Name]]="","",IF(Tasks[[#This Row],[_Level]]&lt;=OutlineShowLevel,"Yes","No"))</f>
        <v/>
      </c>
      <c r="BE184" s="85" t="str">
        <f aca="false">IF(Tasks[[#This Row],[Task Name]]="","",IF(Tasks[[#This Row],[_IsSummary]],SUM(INDEX(Tasks[_LeafTotalWork],Tasks[[#This Row],[_Row]]+1):INDEX(Tasks[_LeafTotalWork],Tasks[[#This Row],[_Row]]+Tasks[[#This Row],[_Descendants]])),Tasks[[#This Row],[_LeafTotalWork]]))</f>
        <v/>
      </c>
      <c r="BF184" s="23"/>
      <c r="BG18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t="str">
        <f aca="false">""</f>
        <v/>
      </c>
      <c r="BI184" s="86"/>
      <c r="BJ184" s="22"/>
      <c r="BK184" s="46" t="str">
        <f aca="false">IF(OR(Tasks[[#This Row],[Task Name]]="",Tasks[[#This Row],[Baseline Duration]]=""),"",Tasks[[#This Row],[_SpanDays]]-N(Tasks[[#This Row],[Baseline Duration]]))</f>
        <v/>
      </c>
      <c r="BL184" s="85" t="str">
        <f aca="false">IF(OR(Tasks[[#This Row],[Task Name]]="",Tasks[[#This Row],[Baseline Work]]=""),"",Tasks[[#This Row],[Work]]-N(Tasks[[#This Row],[Baseline Work]]))</f>
        <v/>
      </c>
      <c r="BM184" s="62" t="str">
        <f aca="false">IF(Tasks[[#This Row],[Task Name]]="","",IF(OR(TakeBaseline="Yes",N(Tasks[[#This Row],[Baseline Start]])=0),Tasks[[#This Row],[Start]],Tasks[[#This Row],[Baseline Start]]))</f>
        <v/>
      </c>
      <c r="BN184" s="62" t="str">
        <f aca="false">IF(Tasks[[#This Row],[Task Name]]="","",IF(OR(TakeBaseline="Yes",N(Tasks[[#This Row],[Baseline Finish]])=0),Tasks[[#This Row],[Finish]],Tasks[[#This Row],[Baseline Finish]]))</f>
        <v/>
      </c>
      <c r="BO184" s="21" t="str">
        <f aca="false">IF(Tasks[[#This Row],[Task Name]]="","",IF(OR(TakeBaseline="Yes",N(Tasks[[#This Row],[Baseline Duration]])=0),Tasks[[#This Row],[_SpanDays]],Tasks[[#This Row],[Baseline Duration]]))</f>
        <v/>
      </c>
      <c r="BP184" s="85" t="str">
        <f aca="false">IF(Tasks[[#This Row],[Task Name]]="","",IF(OR(TakeBaseline="Yes",N(Tasks[[#This Row],[Baseline Work]])=0),Tasks[[#This Row],[Work]],Tasks[[#This Row],[Baseline Work]]))</f>
        <v/>
      </c>
      <c r="BQ184" s="7"/>
      <c r="BR184" s="7"/>
      <c r="BS184" s="22"/>
      <c r="BT184" s="87"/>
      <c r="BU184" s="42" t="str">
        <f aca="false">IF(Tasks[[#This Row],[Task Name]]="","",MAX(1,N(Tasks[[#This Row],[Level]])))</f>
        <v/>
      </c>
      <c r="BV184" s="42" t="n">
        <f aca="false">ROW()-ROW(Tasks[[#Headers],[ID]])</f>
        <v>179</v>
      </c>
      <c r="BW184" s="42" t="n">
        <f aca="false">IF(OR(Tasks[[#This Row],[Task Name]]="",Tasks[[#This Row],[_Level]]&lt;=1),0,IFERROR(LOOKUP(2,1/(Tasks[[#Headers],[_Level]]:Tasks[[#This Row],[_Level]]=Tasks[[#This Row],[_Level]]-1),ROW(Tasks[[#Headers],[_Level]]:Tasks[[#This Row],[_Level]])),0))</f>
        <v>0</v>
      </c>
      <c r="BX184" s="42" t="n">
        <f aca="false">IFERROR(N(INDEX(Tasks[_Level],Tasks[[#This Row],[_Row]]+1)),0)</f>
        <v>0</v>
      </c>
      <c r="BY184" s="88" t="b">
        <f aca="false">AND(Tasks[[#This Row],[Task Name]]&lt;&gt;"",Tasks[[#This Row],[_NextLevel]]&gt;Tasks[[#This Row],[_Level]])</f>
        <v>0</v>
      </c>
      <c r="BZ184" s="42" t="n">
        <f aca="false">IF(Tasks[[#This Row],[_IsSummary]],COUNTIF(Tasks[WBS],Tasks[[#This Row],[WBS]]&amp;".*"),0)</f>
        <v>0</v>
      </c>
      <c r="CA184" s="42" t="n">
        <f aca="false">IF(AND(Tasks[[#This Row],[Task Name]]&lt;&gt;"",NOT(Tasks[[#This Row],[_IsSummary]])),1,0)</f>
        <v>0</v>
      </c>
      <c r="CB184" s="42" t="n">
        <f aca="false">IF(N(Tasks[[#This Row],[_Pred1UID]])=0,0,IFERROR(MATCH(Tasks[[#This Row],[_Pred1UID]],Tasks[UID],0),-1))</f>
        <v>0</v>
      </c>
      <c r="CC184" s="42" t="n">
        <f aca="false">IF(N(Tasks[[#This Row],[_Pred2UID]])=0,0,IFERROR(MATCH(Tasks[[#This Row],[_Pred2UID]],Tasks[UID],0),-1))</f>
        <v>0</v>
      </c>
      <c r="CD184" s="42" t="n">
        <f aca="false">IF(N(Tasks[[#This Row],[_Pred3UID]])=0,0,IFERROR(MATCH(Tasks[[#This Row],[_Pred3UID]],Tasks[UID],0),-1))</f>
        <v>0</v>
      </c>
      <c r="CE184" s="42" t="n">
        <f aca="false">IF(N(Tasks[[#This Row],[_Pred4UID]])=0,0,IFERROR(MATCH(Tasks[[#This Row],[_Pred4UID]],Tasks[UID],0),-1))</f>
        <v>0</v>
      </c>
      <c r="CF18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4" s="89" t="n">
        <f aca="false">IF(OR(Tasks[[#This Row],[_ConstraintCode]]=2,Tasks[[#This Row],[_ConstraintCode]]=3,Tasks[[#This Row],[_ConstraintCode]]=4,Tasks[[#This Row],[_ConstraintCode]]=6),Tasks[[#This Row],[_ConstraintStart]],0)</f>
        <v>0</v>
      </c>
      <c r="CI184" s="89" t="n">
        <f aca="false">IF(OR(Tasks[[#This Row],[_ConstraintCode]]=2,Tasks[[#This Row],[_ConstraintCode]]=3,Tasks[[#This Row],[_ConstraintCode]]=5,Tasks[[#This Row],[_ConstraintCode]]=7),Tasks[[#This Row],[_ConstraintStart]],2958465)</f>
        <v>2958465</v>
      </c>
      <c r="CJ18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4" s="89" t="str">
        <f aca="false">IF(NOT(Tasks[[#This Row],[_IsLeaf]]=1),"",IF(N(Tasks[[#This Row],[_Days]])&lt;=0,Tasks[[#This Row],[_LeafCalcStart]],WORKDAY.INTL(Tasks[[#This Row],[_LeafCalcStart]],Tasks[[#This Row],[_Days]]-1,WorkWeek,Holidays)))</f>
        <v/>
      </c>
      <c r="CL18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4" s="42" t="str">
        <f aca="false">IF(Tasks[[#This Row],[_Predecessors]]="","",TRIM(MID(SUBSTITUTE(SUBSTITUTE(SUBSTITUTE(UPPER(Tasks[[#This Row],[_Predecessors]]),";",",")," ",""),",",REPT(" ",99)),1,99)))</f>
        <v/>
      </c>
      <c r="CO184" s="42" t="str">
        <f aca="false">IF(Tasks[[#This Row],[_Pred1Text]]="","",IFERROR(VALUE(LEFT(Tasks[[#This Row],[_Pred1Text]],MIN(FIND("F",Tasks[[#This Row],[_Pred1Text]]&amp;"F"),FIND("S",Tasks[[#This Row],[_Pred1Text]]&amp;"S"),FIND("+",Tasks[[#This Row],[_Pred1Text]]&amp;"+"),FIND("-",Tasks[[#This Row],[_Pred1Text]]&amp;"-"))-1)),""))</f>
        <v/>
      </c>
      <c r="CP18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4" s="42" t="str">
        <f aca="false">IF(Tasks[[#This Row],[_Pred1Text]]="","",TRIM(MID(SUBSTITUTE(SUBSTITUTE(SUBSTITUTE(UPPER(Tasks[[#This Row],[_Predecessors]]),";",",")," ",""),",",REPT(" ",99)),100,99)))</f>
        <v/>
      </c>
      <c r="CS184" s="42" t="str">
        <f aca="false">IF(Tasks[[#This Row],[_Pred2Text]]="","",IFERROR(VALUE(LEFT(Tasks[[#This Row],[_Pred2Text]],MIN(FIND("F",Tasks[[#This Row],[_Pred2Text]]&amp;"F"),FIND("S",Tasks[[#This Row],[_Pred2Text]]&amp;"S"),FIND("+",Tasks[[#This Row],[_Pred2Text]]&amp;"+"),FIND("-",Tasks[[#This Row],[_Pred2Text]]&amp;"-"))-1)),""))</f>
        <v/>
      </c>
      <c r="CT18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4" s="42" t="str">
        <f aca="false">IF(Tasks[[#This Row],[_Pred2Text]]="","",TRIM(MID(SUBSTITUTE(SUBSTITUTE(SUBSTITUTE(UPPER(Tasks[[#This Row],[_Predecessors]]),";",",")," ",""),",",REPT(" ",99)),199,99)))</f>
        <v/>
      </c>
      <c r="CW184" s="42" t="str">
        <f aca="false">IF(Tasks[[#This Row],[_Pred3Text]]="","",IFERROR(VALUE(LEFT(Tasks[[#This Row],[_Pred3Text]],MIN(FIND("F",Tasks[[#This Row],[_Pred3Text]]&amp;"F"),FIND("S",Tasks[[#This Row],[_Pred3Text]]&amp;"S"),FIND("+",Tasks[[#This Row],[_Pred3Text]]&amp;"+"),FIND("-",Tasks[[#This Row],[_Pred3Text]]&amp;"-"))-1)),""))</f>
        <v/>
      </c>
      <c r="CX18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4" s="42" t="str">
        <f aca="false">IF(Tasks[[#This Row],[_Pred3Text]]="","",TRIM(MID(SUBSTITUTE(SUBSTITUTE(SUBSTITUTE(UPPER(Tasks[[#This Row],[_Predecessors]]),";",",")," ",""),",",REPT(" ",99)),298,99)))</f>
        <v/>
      </c>
      <c r="DA184" s="42" t="str">
        <f aca="false">IF(Tasks[[#This Row],[_Pred4Text]]="","",IFERROR(VALUE(LEFT(Tasks[[#This Row],[_Pred4Text]],MIN(FIND("F",Tasks[[#This Row],[_Pred4Text]]&amp;"F"),FIND("S",Tasks[[#This Row],[_Pred4Text]]&amp;"S"),FIND("+",Tasks[[#This Row],[_Pred4Text]]&amp;"+"),FIND("-",Tasks[[#This Row],[_Pred4Text]]&amp;"-"))-1)),""))</f>
        <v/>
      </c>
      <c r="DB18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4" s="42" t="str">
        <f aca="false">IF(OR(Tasks[[#This Row],[Task Name]]="",Tasks[[#This Row],[_Resources]]=""),"",TRIM(MID(SUBSTITUTE(Tasks[[#This Row],[_Resources]],",",REPT(" ",99)),1,99)))</f>
        <v/>
      </c>
      <c r="DE184" s="42" t="str">
        <f aca="false">IF(Tasks[[#This Row],[_Res1Text]]="","",TRIM(MID(SUBSTITUTE(Tasks[[#This Row],[_Resources]],",",REPT(" ",99)),100,99)))</f>
        <v/>
      </c>
      <c r="DF184" s="42" t="str">
        <f aca="false">IF(Tasks[[#This Row],[_Res2Text]]="","",TRIM(MID(SUBSTITUTE(Tasks[[#This Row],[_Resources]],",",REPT(" ",99)),199,99)))</f>
        <v/>
      </c>
      <c r="DG184" s="42" t="str">
        <f aca="false">IF(Tasks[[#This Row],[_Res3Text]]="","",TRIM(MID(SUBSTITUTE(Tasks[[#This Row],[_Resources]],",",REPT(" ",99)),298,99)))</f>
        <v/>
      </c>
      <c r="DH184" s="42" t="n">
        <f aca="false">IF(Tasks[[#This Row],[_Res1Text]]="",0,IFERROR(MATCH(TRIM(LEFT(Tasks[[#This Row],[_Res1Text]],FIND("[",Tasks[[#This Row],[_Res1Text]]&amp;"[")-1)),res_Name,0),IFERROR(MATCH(TRIM(LEFT(Tasks[[#This Row],[_Res1Text]],FIND("[",Tasks[[#This Row],[_Res1Text]]&amp;"[")-1)),res_Initials,0),0)))</f>
        <v>0</v>
      </c>
      <c r="DI184" s="42" t="n">
        <f aca="false">IF(Tasks[[#This Row],[_Res2Text]]="",0,IFERROR(MATCH(TRIM(LEFT(Tasks[[#This Row],[_Res2Text]],FIND("[",Tasks[[#This Row],[_Res2Text]]&amp;"[")-1)),res_Name,0),IFERROR(MATCH(TRIM(LEFT(Tasks[[#This Row],[_Res2Text]],FIND("[",Tasks[[#This Row],[_Res2Text]]&amp;"[")-1)),res_Initials,0),0)))</f>
        <v>0</v>
      </c>
      <c r="DJ184" s="42" t="n">
        <f aca="false">IF(Tasks[[#This Row],[_Res3Text]]="",0,IFERROR(MATCH(TRIM(LEFT(Tasks[[#This Row],[_Res3Text]],FIND("[",Tasks[[#This Row],[_Res3Text]]&amp;"[")-1)),res_Name,0),IFERROR(MATCH(TRIM(LEFT(Tasks[[#This Row],[_Res3Text]],FIND("[",Tasks[[#This Row],[_Res3Text]]&amp;"[")-1)),res_Initials,0),0)))</f>
        <v>0</v>
      </c>
      <c r="DK184" s="42" t="n">
        <f aca="false">IF(Tasks[[#This Row],[_Res4Text]]="",0,IFERROR(MATCH(TRIM(LEFT(Tasks[[#This Row],[_Res4Text]],FIND("[",Tasks[[#This Row],[_Res4Text]]&amp;"[")-1)),res_Name,0),IFERROR(MATCH(TRIM(LEFT(Tasks[[#This Row],[_Res4Text]],FIND("[",Tasks[[#This Row],[_Res4Text]]&amp;"[")-1)),res_Initials,0),0)))</f>
        <v>0</v>
      </c>
      <c r="DL184" s="42" t="str">
        <f aca="false">IF(Tasks[[#This Row],[_Res1Text]]="","",IF(Tasks[[#This Row],[_Res1Row]]&gt;0,INDEX(res_Name,Tasks[[#This Row],[_Res1Row]]),TRIM(LEFT(Tasks[[#This Row],[_Res1Text]],FIND("[",Tasks[[#This Row],[_Res1Text]]&amp;"[")-1))))</f>
        <v/>
      </c>
      <c r="DM18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4" s="42" t="n">
        <f aca="false">IF(NOT(Tasks[[#This Row],[_IsLeaf]]=1),0,(Tasks[[#This Row],[_Resource1]]&lt;&gt;"")+(Tasks[[#This Row],[_Res2]]&lt;&gt;"")+(Tasks[[#This Row],[_Res3]]&lt;&gt;"")+(Tasks[[#This Row],[_Res4]]&lt;&gt;""))</f>
        <v>0</v>
      </c>
      <c r="DO184" s="42" t="str">
        <f aca="false">IF(Tasks[[#This Row],[_Res2Text]]="","",IF(Tasks[[#This Row],[_Res2Row]]&gt;0,INDEX(res_Name,Tasks[[#This Row],[_Res2Row]]),TRIM(LEFT(Tasks[[#This Row],[_Res2Text]],FIND("[",Tasks[[#This Row],[_Res2Text]]&amp;"[")-1))))</f>
        <v/>
      </c>
      <c r="DP18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4" s="42" t="n">
        <f aca="false">IF(OR(NOT(Tasks[[#This Row],[_IsLeaf]]=1),Tasks[[#This Row],[_Res2Row]]=0),0,N(Tasks[[#This Row],[_Days]])*HoursPerDay*IF(Tasks[[#This Row],[_Res2Units]]="",DefaultUnits,Tasks[[#This Row],[_Res2Units]]))</f>
        <v>0</v>
      </c>
      <c r="DR184" s="42" t="n">
        <f aca="false">IF(AND(AND(Tasks[[#This Row],[_IsLeaf]]=1,Tasks[[#This Row],[_LeafTotalWork]]&gt;0),Tasks[[#This Row],[_Res2Work]]&gt;0),Tasks[[#This Row],[_Res2Work]]/(Tasks[[#This Row],[_FinishWorkday]]-Tasks[[#This Row],[_StartWorkday]]+1),0)</f>
        <v>0</v>
      </c>
      <c r="DS184" s="42" t="n">
        <f aca="false">Tasks[[#This Row],[_Res2WorkPerWD]]*MAX(0,Tasks[[#This Row],[_StartWorkday]]-1)</f>
        <v>0</v>
      </c>
      <c r="DT184" s="42" t="n">
        <f aca="false">Tasks[[#This Row],[_Res2Work]]*Tasks[[#This Row],[_LeafProgress]]</f>
        <v>0</v>
      </c>
      <c r="DU184" s="42" t="str">
        <f aca="false">IF(Tasks[[#This Row],[_Res3Text]]="","",IF(Tasks[[#This Row],[_Res3Row]]&gt;0,INDEX(res_Name,Tasks[[#This Row],[_Res3Row]]),TRIM(LEFT(Tasks[[#This Row],[_Res3Text]],FIND("[",Tasks[[#This Row],[_Res3Text]]&amp;"[")-1))))</f>
        <v/>
      </c>
      <c r="DV18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4" s="42" t="n">
        <f aca="false">IF(OR(NOT(Tasks[[#This Row],[_IsLeaf]]=1),Tasks[[#This Row],[_Res3Row]]=0),0,N(Tasks[[#This Row],[_Days]])*HoursPerDay*IF(Tasks[[#This Row],[_Res3Units]]="",DefaultUnits,Tasks[[#This Row],[_Res3Units]]))</f>
        <v>0</v>
      </c>
      <c r="DX184" s="42" t="n">
        <f aca="false">IF(AND(AND(Tasks[[#This Row],[_IsLeaf]]=1,Tasks[[#This Row],[_LeafTotalWork]]&gt;0),Tasks[[#This Row],[_Res3Work]]&gt;0),Tasks[[#This Row],[_Res3Work]]/(Tasks[[#This Row],[_FinishWorkday]]-Tasks[[#This Row],[_StartWorkday]]+1),0)</f>
        <v>0</v>
      </c>
      <c r="DY184" s="42" t="n">
        <f aca="false">Tasks[[#This Row],[_Res3WorkPerWD]]*MAX(0,Tasks[[#This Row],[_StartWorkday]]-1)</f>
        <v>0</v>
      </c>
      <c r="DZ184" s="42" t="n">
        <f aca="false">Tasks[[#This Row],[_Res3Work]]*Tasks[[#This Row],[_LeafProgress]]</f>
        <v>0</v>
      </c>
      <c r="EA184" s="42" t="str">
        <f aca="false">IF(Tasks[[#This Row],[_Res4Text]]="","",IF(Tasks[[#This Row],[_Res4Row]]&gt;0,INDEX(res_Name,Tasks[[#This Row],[_Res4Row]]),TRIM(LEFT(Tasks[[#This Row],[_Res4Text]],FIND("[",Tasks[[#This Row],[_Res4Text]]&amp;"[")-1))))</f>
        <v/>
      </c>
      <c r="EB18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4" s="42" t="n">
        <f aca="false">IF(OR(NOT(Tasks[[#This Row],[_IsLeaf]]=1),Tasks[[#This Row],[_Res4Row]]=0),0,N(Tasks[[#This Row],[_Days]])*HoursPerDay*IF(Tasks[[#This Row],[_Res4Units]]="",DefaultUnits,Tasks[[#This Row],[_Res4Units]]))</f>
        <v>0</v>
      </c>
      <c r="ED184" s="42" t="n">
        <f aca="false">IF(AND(AND(Tasks[[#This Row],[_IsLeaf]]=1,Tasks[[#This Row],[_LeafTotalWork]]&gt;0),Tasks[[#This Row],[_Res4Work]]&gt;0),Tasks[[#This Row],[_Res4Work]]/(Tasks[[#This Row],[_FinishWorkday]]-Tasks[[#This Row],[_StartWorkday]]+1),0)</f>
        <v>0</v>
      </c>
      <c r="EE184" s="42" t="n">
        <f aca="false">Tasks[[#This Row],[_Res4WorkPerWD]]*MAX(0,Tasks[[#This Row],[_StartWorkday]]-1)</f>
        <v>0</v>
      </c>
      <c r="EF184" s="42" t="n">
        <f aca="false">Tasks[[#This Row],[_Res4Work]]*Tasks[[#This Row],[_LeafProgress]]</f>
        <v>0</v>
      </c>
      <c r="EG184" s="42" t="n">
        <f aca="false">IF(ISNUMBER(Tasks[[#This Row],[% Complete]]),Tasks[[#This Row],[% Complete]],IF(Tasks[[#This Row],[Stage]]="",0,IFERROR(INDEX(stg_Pct,MATCH(Tasks[[#This Row],[Stage]],stg_Name,0)),0)))</f>
        <v>0</v>
      </c>
      <c r="EH184" s="42" t="n">
        <f aca="false">IF(NOT(Tasks[[#This Row],[_IsLeaf]]=1),0,IF(N(Tasks[[#This Row],[Actual Finish]])&gt;0,1,MIN(1,Tasks[[#This Row],[_Pct]])))</f>
        <v>0</v>
      </c>
      <c r="EI184" s="42" t="n">
        <f aca="false">IF(OR(NOT(Tasks[[#This Row],[_IsLeaf]]=1),Tasks[[#This Row],[_Res1Row]]=0),0,N(Tasks[[#This Row],[_Days]])*HoursPerDay*IF(Tasks[[#This Row],[_Units1]]="",DefaultUnits,Tasks[[#This Row],[_Units1]]))</f>
        <v>0</v>
      </c>
      <c r="EJ184" s="42" t="n">
        <f aca="false">Tasks[[#This Row],[_LeafWork]]+Tasks[[#This Row],[_Res2Work]]+Tasks[[#This Row],[_Res3Work]]+Tasks[[#This Row],[_Res4Work]]</f>
        <v>0</v>
      </c>
      <c r="EK18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4" s="42" t="n">
        <f aca="false">IF(NOT(Tasks[[#This Row],[_IsLeaf]]=1),0,MAX(_xlfn.MAXIFS(Tasks[_Row],Tasks[_Pred1UID],Tasks[[#This Row],[UID]]),_xlfn.MAXIFS(Tasks[_Row],Tasks[_Pred2UID],Tasks[[#This Row],[UID]]),_xlfn.MAXIFS(Tasks[_Row],Tasks[_Pred3UID],Tasks[[#This Row],[UID]]),_xlfn.MAXIFS(Tasks[_Row],Tasks[_Pred4UID],Tasks[[#This Row],[UID]])))</f>
        <v>0</v>
      </c>
      <c r="ET18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4" s="89" t="str">
        <f aca="false">IF(NOT(Tasks[[#This Row],[_IsLeaf]]=1),"",IF(N(Tasks[[#This Row],[_Days]])&lt;=0,Tasks[[#This Row],[_LeafLateFinish]],WORKDAY.INTL(Tasks[[#This Row],[_LeafLateFinish]],-(Tasks[[#This Row],[_Days]]-1),WorkWeek,Holidays)))</f>
        <v/>
      </c>
      <c r="EW18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4" s="88" t="b">
        <f aca="false">AND(Tasks[[#This Row],[_IsLeaf]]=1,Tasks[[#This Row],[_LeafProgress]]&lt;1,N(Tasks[[#This Row],[_LeafTotalSlack]])&lt;=CriticalSlackDays)</f>
        <v>0</v>
      </c>
      <c r="EY184" s="42" t="n">
        <f aca="false">IF(AND(Tasks[[#This Row],[_IsLeaf]]=1,Tasks[[#This Row],[_ConstraintCode]]=1,Tasks[[#This Row],[Mode]]&lt;&gt;"Manual",N(Tasks[[#This Row],[Actual Start]])=0),MAX(0,N(Tasks[[#This Row],[Free Slack]])),0)</f>
        <v>0</v>
      </c>
      <c r="EZ184" s="89" t="str">
        <f aca="false">IF(NOT(Tasks[[#This Row],[_IsLeaf]]=1),"",IF(Tasks[[#This Row],[_AlapShift]]=0,Tasks[[#This Row],[_LeafCalcStart]],WORKDAY.INTL(Tasks[[#This Row],[_LeafCalcStart]],Tasks[[#This Row],[_AlapShift]],WorkWeek,Holidays)))</f>
        <v/>
      </c>
      <c r="FA184" s="89" t="str">
        <f aca="false">IF(NOT(Tasks[[#This Row],[_IsLeaf]]=1),"",IF(Tasks[[#This Row],[_AlapShift]]=0,Tasks[[#This Row],[_LeafCalcFinish]],WORKDAY.INTL(Tasks[[#This Row],[_LeafCalcFinish]],Tasks[[#This Row],[_AlapShift]],WorkWeek,Holidays)))</f>
        <v/>
      </c>
      <c r="FB184" s="89" t="str">
        <f aca="false">IF(NOT(Tasks[[#This Row],[_IsLeaf]]=1),"",IF(Tasks[[#This Row],[_AlapShift]]=0,Tasks[[#This Row],[_LeafFcstStart]],WORKDAY.INTL(Tasks[[#This Row],[_LeafFcstStart]],Tasks[[#This Row],[_AlapShift]],WorkWeek,Holidays)))</f>
        <v/>
      </c>
      <c r="FC184" s="89" t="str">
        <f aca="false">IF(NOT(Tasks[[#This Row],[_IsLeaf]]=1),"",IF(Tasks[[#This Row],[_AlapShift]]=0,Tasks[[#This Row],[_LeafFcstFinish]],WORKDAY.INTL(Tasks[[#This Row],[_LeafFcstFinish]],Tasks[[#This Row],[_AlapShift]],WorkWeek,Holidays)))</f>
        <v/>
      </c>
      <c r="FD184" s="89" t="str">
        <f aca="false">IF(Tasks[[#This Row],[Task Name]]="","",IF(Tasks[[#This Row],[_IsSummary]],MIN(INDEX(Tasks[_ShownCalcStart],Tasks[[#This Row],[_Row]]+1):INDEX(Tasks[_ShownCalcStart],Tasks[[#This Row],[_Row]]+Tasks[[#This Row],[_Descendants]])),Tasks[[#This Row],[_ShownCalcStart]]))</f>
        <v/>
      </c>
      <c r="FE184" s="89" t="str">
        <f aca="false">IF(Tasks[[#This Row],[Task Name]]="","",IF(Tasks[[#This Row],[_IsSummary]],MAX(INDEX(Tasks[_ShownCalcFinish],Tasks[[#This Row],[_Row]]+1):INDEX(Tasks[_ShownCalcFinish],Tasks[[#This Row],[_Row]]+Tasks[[#This Row],[_Descendants]])),Tasks[[#This Row],[_ShownCalcFinish]]))</f>
        <v/>
      </c>
      <c r="FF18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4" s="42" t="n">
        <f aca="false">IF(AND(Tasks[[#This Row],[_IsLeaf]]=1,Tasks[[#This Row],[_LeafTotalWork]]&gt;0),NETWORKDAYS.INTL(ProjectStart,Tasks[[#This Row],[_ShownFcstStart]],WorkWeek,Holidays),0)</f>
        <v>0</v>
      </c>
      <c r="FS184" s="42" t="n">
        <f aca="false">IF(AND(Tasks[[#This Row],[_IsLeaf]]=1,Tasks[[#This Row],[_LeafTotalWork]]&gt;0),MAX(Tasks[[#This Row],[_StartWorkday]],NETWORKDAYS.INTL(ProjectStart,Tasks[[#This Row],[_ShownFcstFinish]],WorkWeek,Holidays)),0)</f>
        <v>0</v>
      </c>
      <c r="FT184" s="42" t="n">
        <f aca="false">IF(AND(Tasks[[#This Row],[_IsLeaf]]=1,Tasks[[#This Row],[_LeafTotalWork]]&gt;0),Tasks[[#This Row],[_LeafWork]]/(Tasks[[#This Row],[_FinishWorkday]]-Tasks[[#This Row],[_StartWorkday]]+1),0)</f>
        <v>0</v>
      </c>
      <c r="FU184" s="42" t="n">
        <f aca="false">Tasks[[#This Row],[_WorkPerWorkday]]*(Tasks[[#This Row],[_StartWorkday]]-1)</f>
        <v>-0</v>
      </c>
      <c r="FV184" s="42" t="n">
        <f aca="false">IF(Tasks[[#This Row],[_IsLeaf]]=1,MAX(N(Tasks[[#This Row],[_Days]]),0.1),0)</f>
        <v>0</v>
      </c>
      <c r="FW184" s="42" t="n">
        <f aca="false">Tasks[[#This Row],[_WeightDur]]*Tasks[[#This Row],[_LeafProgress]]</f>
        <v>0</v>
      </c>
      <c r="FX184" s="42" t="n">
        <f aca="false">Tasks[[#This Row],[_WeightDur]]*Tasks[[#This Row],[_PlannedPct]]</f>
        <v>0</v>
      </c>
      <c r="FY18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4" s="42" t="str">
        <f aca="false">IF(AND(Tasks[[#This Row],[_IsLeaf]]=1,N(Tasks[[#This Row],[_Days]])=0,Tasks[[#This Row],[_LeafProgress]]&lt;1),Tasks[[#This Row],[_ShownFcstFinish]]+Tasks[[#This Row],[_Row]]/100000,"")</f>
        <v/>
      </c>
      <c r="GA18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4" s="42" t="str">
        <f aca="false">IF(Tasks[[#This Row],[Task Name]]="","",LEFT(Tasks[[#This Row],[WBS]],FIND(".",Tasks[[#This Row],[WBS]]&amp;".")-1))</f>
        <v/>
      </c>
      <c r="GC184" s="42" t="str">
        <f aca="false">IF(AND(Tasks[[#This Row],[Task Name]]&lt;&gt;"",Tasks[[#This Row],[_Level]]=1),Tasks[[#This Row],[_Row]],"")</f>
        <v/>
      </c>
      <c r="GD184" s="42" t="str">
        <f aca="false">IF(AND(Tasks[[#This Row],[_IsLeaf]]=1,N(Tasks[[#This Row],[_Days]])=0),Tasks[[#This Row],[Planned Finish]]+Tasks[[#This Row],[_Row]]/100000,"")</f>
        <v/>
      </c>
      <c r="GE184" s="42" t="str">
        <f aca="false">IF(AND(Tasks[[#This Row],[_IsLeaf]]=1,Tasks[[#This Row],[_LeafProgress]]&lt;1,OR(N(Tasks[[#This Row],[Finish Var]])&gt;0,Tasks[[#This Row],[Status]]="Late Start")),MAX(0,Tasks[[#This Row],[Finish Var]])+1-Tasks[[#This Row],[_Row]]/1000000,"")</f>
        <v/>
      </c>
      <c r="GF184" s="42" t="str">
        <f aca="false">IF(AND(Tasks[[#This Row],[_IsLeaf]]=1,N(Tasks[[#This Row],[Actual Start]])=0,Tasks[[#This Row],[_ShownFcstStart]]&gt;=StatusDate,Tasks[[#This Row],[_ShownFcstStart]]&lt;=LookaheadEnd),Tasks[[#This Row],[_ShownFcstStart]]+Tasks[[#This Row],[_Row]]/100000,"")</f>
        <v/>
      </c>
      <c r="GG184" s="42" t="str">
        <f aca="false">IF(AND(Tasks[[#This Row],[_IsLeaf]]=1,Tasks[[#This Row],[_LeafProgress]]&lt;1,Tasks[[#This Row],[_ShownFcstFinish]]&gt;=StatusDate,Tasks[[#This Row],[_ShownFcstFinish]]&lt;=LookaheadEnd),Tasks[[#This Row],[_ShownFcstFinish]]+Tasks[[#This Row],[_Row]]/100000,"")</f>
        <v/>
      </c>
      <c r="GH184" s="42" t="str">
        <f aca="false">IF(Tasks[[#This Row],[_LeafCritical]],Tasks[[#This Row],[_ShownFcstStart]]+Tasks[[#This Row],[_Row]]/100000,"")</f>
        <v/>
      </c>
      <c r="GI184" s="42" t="n">
        <f aca="false">Tasks[[#This Row],[_LeafWork]]*Tasks[[#This Row],[_LeafProgress]]</f>
        <v>0</v>
      </c>
      <c r="GJ184" s="89" t="str">
        <f aca="false">IF(AND(Tasks[[#This Row],[_IsLeaf]]=1,Tasks[[#This Row],[_LeafProgress]]&gt;=1),IF(N(Tasks[[#This Row],[Actual Finish]])&gt;0,Tasks[[#This Row],[Actual Finish]],Tasks[[#This Row],[_ShownFcstFinish]]),"")</f>
        <v/>
      </c>
      <c r="GK184" s="42" t="n">
        <f aca="false">IF(Tasks[[#This Row],[_IsLeaf]]=1,N(Tasks[[#This Row],[Story Points]]),0)</f>
        <v>0</v>
      </c>
      <c r="GL184" s="42" t="str">
        <f aca="false">""</f>
        <v/>
      </c>
      <c r="GM184" s="88" t="b">
        <f aca="false">IF(Tasks[[#This Row],[Task Name]]="",FALSE(),AND(Tasks[[#This Row],[_IsLeaf]]=1,N(Tasks[[#This Row],[_Days]])=0))</f>
        <v>0</v>
      </c>
      <c r="GN184" s="89" t="n">
        <f aca="false">IF(Tasks[[#This Row],[Task Name]]="",0,IF(AND(Tasks[[#This Row],[_IsLeaf]]=1,NOT(Tasks[[#This Row],[_IsMilestone]]),N(Tasks[[#This Row],[Progress]])&gt;0),Tasks[[#This Row],[Start]],0))</f>
        <v>0</v>
      </c>
      <c r="GO184" s="89" t="n">
        <f aca="false">IF(Tasks[[#This Row],[_DoneFrom]]=0,0,IF(Tasks[[#This Row],[Progress]]&gt;=1,Tasks[[#This Row],[Finish]],MAX(Tasks[[#This Row],[_DoneFrom]],Tasks[[#This Row],[Start]]+ROUND((Tasks[[#This Row],[Finish]]-Tasks[[#This Row],[Start]]+1)*Tasks[[#This Row],[Progress]],0)-1)))</f>
        <v>0</v>
      </c>
      <c r="GP184" s="89" t="n">
        <f aca="false">IF(Tasks[[#This Row],[Task Name]]="",0,IF(OR(NOT(Tasks[[#This Row],[_IsLeaf]]=1),Tasks[[#This Row],[_IsMilestone]],N(Tasks[[#This Row],[Progress]])&gt;=1),0,IF(Tasks[[#This Row],[_DoneTo]]&gt;0,Tasks[[#This Row],[_DoneTo]]+1,Tasks[[#This Row],[Start]])))</f>
        <v>0</v>
      </c>
      <c r="GQ184" s="89" t="n">
        <f aca="false">IF(Tasks[[#This Row],[_RemFrom]]=0,0,Tasks[[#This Row],[Finish]])</f>
        <v>0</v>
      </c>
      <c r="GR184" s="88" t="b">
        <f aca="false">IF(Tasks[[#This Row],[Task Name]]="",FALSE(),OR(NOT(BaselineSet),N(Tasks[[#This Row],[Baseline Start]])&gt;0))</f>
        <v>0</v>
      </c>
      <c r="GS18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4" s="90" t="str">
        <f aca="false">IF(Tasks[[#This Row],[_IsLeaf]]=1,Tasks[[#This Row],[_Row]],"")</f>
        <v/>
      </c>
      <c r="GW184" s="90" t="str">
        <f aca="false">IFERROR(INDEX(Tasks[UID],SMALL(Tasks[_PickKey],Tasks[[#This Row],[_Row]]))&amp;" "&amp;INDEX(Tasks[Task Name],SMALL(Tasks[_PickKey],Tasks[[#This Row],[_Row]])),"")</f>
        <v/>
      </c>
      <c r="GX184" s="42" t="str">
        <f aca="false">IF(Tasks[[#This Row],[Task Name]]="","",IF(Tasks[[#This Row],[_IsSummary]],NETWORKDAYS.INTL(Tasks[[#This Row],[Start]],Tasks[[#This Row],[Finish]],WorkWeek,Holidays),N(Tasks[[#This Row],[_Days]])))</f>
        <v/>
      </c>
    </row>
    <row r="185" customFormat="false" ht="15" hidden="false" customHeight="false" outlineLevel="0" collapsed="false">
      <c r="A185" s="21" t="str">
        <f aca="false">IF(Tasks[[#This Row],[Task Name]]="","",COUNTA(Tasks[[#Headers],[Task Name]]:Tasks[[#This Row],[Task Name]])-1)</f>
        <v/>
      </c>
      <c r="B185" s="22" t="n">
        <v>193</v>
      </c>
      <c r="C185" s="22"/>
      <c r="D185" s="23"/>
      <c r="E185" s="22"/>
      <c r="F185" s="23"/>
      <c r="G185" s="22"/>
      <c r="H185" s="22"/>
      <c r="I185" s="23"/>
      <c r="J185" s="22"/>
      <c r="K185" s="22"/>
      <c r="L185" s="23"/>
      <c r="M185" s="22"/>
      <c r="N185" s="22"/>
      <c r="O185" s="23"/>
      <c r="P185" s="22"/>
      <c r="Q185" s="22"/>
      <c r="R185" s="23"/>
      <c r="S185" s="23"/>
      <c r="T185" s="83"/>
      <c r="U185" s="23"/>
      <c r="V185" s="83"/>
      <c r="W185" s="23"/>
      <c r="X185" s="83"/>
      <c r="Y185" s="23"/>
      <c r="Z185" s="83"/>
      <c r="AA185" s="23"/>
      <c r="AB185" s="23"/>
      <c r="AC185" s="7"/>
      <c r="AD185" s="7"/>
      <c r="AE185" s="62" t="str">
        <f aca="false">IF(Tasks[[#This Row],[Task Name]]="","",IF(Tasks[[#This Row],[_IsSummary]],MIN(INDEX(Tasks[_ShownFcstStart],Tasks[[#This Row],[_Row]]+1):INDEX(Tasks[_ShownFcstStart],Tasks[[#This Row],[_Row]]+Tasks[[#This Row],[_Descendants]])),Tasks[[#This Row],[_ShownFcstStart]]))</f>
        <v/>
      </c>
      <c r="AF185" s="62" t="str">
        <f aca="false">IF(Tasks[[#This Row],[Task Name]]="","",IF(Tasks[[#This Row],[_IsSummary]],MAX(INDEX(Tasks[_ShownFcstFinish],Tasks[[#This Row],[_Row]]+1):INDEX(Tasks[_ShownFcstFinish],Tasks[[#This Row],[_Row]]+Tasks[[#This Row],[_Descendants]])),Tasks[[#This Row],[_ShownFcstFinish]]))</f>
        <v/>
      </c>
      <c r="AG185" s="21" t="str">
        <f aca="false">""</f>
        <v/>
      </c>
      <c r="AH185" s="23"/>
      <c r="AI18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5" s="7"/>
      <c r="AK185" s="22"/>
      <c r="AL185" s="23"/>
      <c r="AM185" s="7"/>
      <c r="AN185" s="46" t="str">
        <f aca="false">IF(Tasks[[#This Row],[Task Name]]="","",IF(Tasks[[#This Row],[Finish]]&gt;=Tasks[[#This Row],[Planned Finish]],NETWORKDAYS.INTL(Tasks[[#This Row],[Planned Finish]],Tasks[[#This Row],[Finish]],WorkWeek,Holidays)-1,1-NETWORKDAYS.INTL(Tasks[[#This Row],[Finish]],Tasks[[#This Row],[Planned Finish]],WorkWeek,Holidays)))</f>
        <v/>
      </c>
      <c r="AO185" s="21" t="str">
        <f aca="false">IF(Tasks[[#This Row],[Task Name]]="","",IF(Tasks[[#This Row],[Progress]]&gt;=1,"Complete",IF(OR(N(Tasks[[#This Row],[Actual Start]])&gt;0,Tasks[[#This Row],[Progress]]&gt;0),IF(Tasks[[#This Row],[Finish Var]]&gt;0,"Behind","In Progress"),IF(Tasks[[#This Row],[Planned Start]]&lt;StatusDate,"Late Start","Not Started"))))</f>
        <v/>
      </c>
      <c r="AP185" s="21" t="str">
        <f aca="false">IF(Tasks[[#This Row],[Task Name]]="","",IF(IF(Tasks[[#This Row],[_IsSummary]],COUNTIF(INDEX(Tasks[_LeafCritical],Tasks[[#This Row],[_Row]]+1):INDEX(Tasks[_LeafCritical],Tasks[[#This Row],[_Row]]+Tasks[[#This Row],[_Descendants]]),TRUE())&gt;0,Tasks[[#This Row],[_LeafCritical]]),"Yes",""))</f>
        <v/>
      </c>
      <c r="AQ185" s="62" t="str">
        <f aca="false">IF(Tasks[[#This Row],[Task Name]]="","",IF(N(Tasks[[#This Row],[Baseline Start]])&gt;0,Tasks[[#This Row],[Baseline Start]],Tasks[[#This Row],[_CalcStart]]))</f>
        <v/>
      </c>
      <c r="AR185" s="62" t="str">
        <f aca="false">IF(Tasks[[#This Row],[Task Name]]="","",IF(N(Tasks[[#This Row],[Baseline Finish]])&gt;0,Tasks[[#This Row],[Baseline Finish]],Tasks[[#This Row],[_CalcFinish]]))</f>
        <v/>
      </c>
      <c r="AS185" s="46" t="str">
        <f aca="false">IF(Tasks[[#This Row],[Task Name]]="","",IF(Tasks[[#This Row],[Start]]&gt;=Tasks[[#This Row],[Planned Start]],NETWORKDAYS.INTL(Tasks[[#This Row],[Planned Start]],Tasks[[#This Row],[Start]],WorkWeek,Holidays)-1,1-NETWORKDAYS.INTL(Tasks[[#This Row],[Start]],Tasks[[#This Row],[Planned Start]],WorkWeek,Holidays)))</f>
        <v/>
      </c>
      <c r="AT185" s="62" t="str">
        <f aca="false">IF(Tasks[[#This Row],[Task Name]]="","",IF(Tasks[[#This Row],[_IsSummary]],MIN(INDEX(Tasks[_LeafLateStart],Tasks[[#This Row],[_Row]]+1):INDEX(Tasks[_LeafLateStart],Tasks[[#This Row],[_Row]]+Tasks[[#This Row],[_Descendants]])),Tasks[[#This Row],[_LeafLateStart]]))</f>
        <v/>
      </c>
      <c r="AU185" s="62" t="str">
        <f aca="false">IF(Tasks[[#This Row],[Task Name]]="","",IF(Tasks[[#This Row],[_IsSummary]],MAX(INDEX(Tasks[_LeafLateFinish],Tasks[[#This Row],[_Row]]+1):INDEX(Tasks[_LeafLateFinish],Tasks[[#This Row],[_Row]]+Tasks[[#This Row],[_Descendants]])),Tasks[[#This Row],[_LeafLateFinish]]))</f>
        <v/>
      </c>
      <c r="AV185" s="46" t="str">
        <f aca="false">IF(Tasks[[#This Row],[Task Name]]="","",IF(Tasks[[#This Row],[_IsSummary]],MIN(INDEX(Tasks[_LeafTotalSlack],Tasks[[#This Row],[_Row]]+1):INDEX(Tasks[_LeafTotalSlack],Tasks[[#This Row],[_Row]]+Tasks[[#This Row],[_Descendants]])),Tasks[[#This Row],[_LeafTotalSlack]]))</f>
        <v/>
      </c>
      <c r="AW18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4"/>
      <c r="BA18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t="str">
        <f aca="false">IF(Tasks[[#This Row],[Task Name]]="","",IF(Tasks[[#This Row],[_Level]]&lt;=OutlineShowLevel,"Yes","No"))</f>
        <v/>
      </c>
      <c r="BE185" s="85" t="str">
        <f aca="false">IF(Tasks[[#This Row],[Task Name]]="","",IF(Tasks[[#This Row],[_IsSummary]],SUM(INDEX(Tasks[_LeafTotalWork],Tasks[[#This Row],[_Row]]+1):INDEX(Tasks[_LeafTotalWork],Tasks[[#This Row],[_Row]]+Tasks[[#This Row],[_Descendants]])),Tasks[[#This Row],[_LeafTotalWork]]))</f>
        <v/>
      </c>
      <c r="BF185" s="23"/>
      <c r="BG18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t="str">
        <f aca="false">""</f>
        <v/>
      </c>
      <c r="BI185" s="86"/>
      <c r="BJ185" s="22"/>
      <c r="BK185" s="46" t="str">
        <f aca="false">IF(OR(Tasks[[#This Row],[Task Name]]="",Tasks[[#This Row],[Baseline Duration]]=""),"",Tasks[[#This Row],[_SpanDays]]-N(Tasks[[#This Row],[Baseline Duration]]))</f>
        <v/>
      </c>
      <c r="BL185" s="85" t="str">
        <f aca="false">IF(OR(Tasks[[#This Row],[Task Name]]="",Tasks[[#This Row],[Baseline Work]]=""),"",Tasks[[#This Row],[Work]]-N(Tasks[[#This Row],[Baseline Work]]))</f>
        <v/>
      </c>
      <c r="BM185" s="62" t="str">
        <f aca="false">IF(Tasks[[#This Row],[Task Name]]="","",IF(OR(TakeBaseline="Yes",N(Tasks[[#This Row],[Baseline Start]])=0),Tasks[[#This Row],[Start]],Tasks[[#This Row],[Baseline Start]]))</f>
        <v/>
      </c>
      <c r="BN185" s="62" t="str">
        <f aca="false">IF(Tasks[[#This Row],[Task Name]]="","",IF(OR(TakeBaseline="Yes",N(Tasks[[#This Row],[Baseline Finish]])=0),Tasks[[#This Row],[Finish]],Tasks[[#This Row],[Baseline Finish]]))</f>
        <v/>
      </c>
      <c r="BO185" s="21" t="str">
        <f aca="false">IF(Tasks[[#This Row],[Task Name]]="","",IF(OR(TakeBaseline="Yes",N(Tasks[[#This Row],[Baseline Duration]])=0),Tasks[[#This Row],[_SpanDays]],Tasks[[#This Row],[Baseline Duration]]))</f>
        <v/>
      </c>
      <c r="BP185" s="85" t="str">
        <f aca="false">IF(Tasks[[#This Row],[Task Name]]="","",IF(OR(TakeBaseline="Yes",N(Tasks[[#This Row],[Baseline Work]])=0),Tasks[[#This Row],[Work]],Tasks[[#This Row],[Baseline Work]]))</f>
        <v/>
      </c>
      <c r="BQ185" s="7"/>
      <c r="BR185" s="7"/>
      <c r="BS185" s="22"/>
      <c r="BT185" s="87"/>
      <c r="BU185" s="42" t="str">
        <f aca="false">IF(Tasks[[#This Row],[Task Name]]="","",MAX(1,N(Tasks[[#This Row],[Level]])))</f>
        <v/>
      </c>
      <c r="BV185" s="42" t="n">
        <f aca="false">ROW()-ROW(Tasks[[#Headers],[ID]])</f>
        <v>180</v>
      </c>
      <c r="BW185" s="42" t="n">
        <f aca="false">IF(OR(Tasks[[#This Row],[Task Name]]="",Tasks[[#This Row],[_Level]]&lt;=1),0,IFERROR(LOOKUP(2,1/(Tasks[[#Headers],[_Level]]:Tasks[[#This Row],[_Level]]=Tasks[[#This Row],[_Level]]-1),ROW(Tasks[[#Headers],[_Level]]:Tasks[[#This Row],[_Level]])),0))</f>
        <v>0</v>
      </c>
      <c r="BX185" s="42" t="n">
        <f aca="false">IFERROR(N(INDEX(Tasks[_Level],Tasks[[#This Row],[_Row]]+1)),0)</f>
        <v>0</v>
      </c>
      <c r="BY185" s="88" t="b">
        <f aca="false">AND(Tasks[[#This Row],[Task Name]]&lt;&gt;"",Tasks[[#This Row],[_NextLevel]]&gt;Tasks[[#This Row],[_Level]])</f>
        <v>0</v>
      </c>
      <c r="BZ185" s="42" t="n">
        <f aca="false">IF(Tasks[[#This Row],[_IsSummary]],COUNTIF(Tasks[WBS],Tasks[[#This Row],[WBS]]&amp;".*"),0)</f>
        <v>0</v>
      </c>
      <c r="CA185" s="42" t="n">
        <f aca="false">IF(AND(Tasks[[#This Row],[Task Name]]&lt;&gt;"",NOT(Tasks[[#This Row],[_IsSummary]])),1,0)</f>
        <v>0</v>
      </c>
      <c r="CB185" s="42" t="n">
        <f aca="false">IF(N(Tasks[[#This Row],[_Pred1UID]])=0,0,IFERROR(MATCH(Tasks[[#This Row],[_Pred1UID]],Tasks[UID],0),-1))</f>
        <v>0</v>
      </c>
      <c r="CC185" s="42" t="n">
        <f aca="false">IF(N(Tasks[[#This Row],[_Pred2UID]])=0,0,IFERROR(MATCH(Tasks[[#This Row],[_Pred2UID]],Tasks[UID],0),-1))</f>
        <v>0</v>
      </c>
      <c r="CD185" s="42" t="n">
        <f aca="false">IF(N(Tasks[[#This Row],[_Pred3UID]])=0,0,IFERROR(MATCH(Tasks[[#This Row],[_Pred3UID]],Tasks[UID],0),-1))</f>
        <v>0</v>
      </c>
      <c r="CE185" s="42" t="n">
        <f aca="false">IF(N(Tasks[[#This Row],[_Pred4UID]])=0,0,IFERROR(MATCH(Tasks[[#This Row],[_Pred4UID]],Tasks[UID],0),-1))</f>
        <v>0</v>
      </c>
      <c r="CF18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5" s="89" t="n">
        <f aca="false">IF(OR(Tasks[[#This Row],[_ConstraintCode]]=2,Tasks[[#This Row],[_ConstraintCode]]=3,Tasks[[#This Row],[_ConstraintCode]]=4,Tasks[[#This Row],[_ConstraintCode]]=6),Tasks[[#This Row],[_ConstraintStart]],0)</f>
        <v>0</v>
      </c>
      <c r="CI185" s="89" t="n">
        <f aca="false">IF(OR(Tasks[[#This Row],[_ConstraintCode]]=2,Tasks[[#This Row],[_ConstraintCode]]=3,Tasks[[#This Row],[_ConstraintCode]]=5,Tasks[[#This Row],[_ConstraintCode]]=7),Tasks[[#This Row],[_ConstraintStart]],2958465)</f>
        <v>2958465</v>
      </c>
      <c r="CJ18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5" s="89" t="str">
        <f aca="false">IF(NOT(Tasks[[#This Row],[_IsLeaf]]=1),"",IF(N(Tasks[[#This Row],[_Days]])&lt;=0,Tasks[[#This Row],[_LeafCalcStart]],WORKDAY.INTL(Tasks[[#This Row],[_LeafCalcStart]],Tasks[[#This Row],[_Days]]-1,WorkWeek,Holidays)))</f>
        <v/>
      </c>
      <c r="CL18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5" s="42" t="str">
        <f aca="false">IF(Tasks[[#This Row],[_Predecessors]]="","",TRIM(MID(SUBSTITUTE(SUBSTITUTE(SUBSTITUTE(UPPER(Tasks[[#This Row],[_Predecessors]]),";",",")," ",""),",",REPT(" ",99)),1,99)))</f>
        <v/>
      </c>
      <c r="CO185" s="42" t="str">
        <f aca="false">IF(Tasks[[#This Row],[_Pred1Text]]="","",IFERROR(VALUE(LEFT(Tasks[[#This Row],[_Pred1Text]],MIN(FIND("F",Tasks[[#This Row],[_Pred1Text]]&amp;"F"),FIND("S",Tasks[[#This Row],[_Pred1Text]]&amp;"S"),FIND("+",Tasks[[#This Row],[_Pred1Text]]&amp;"+"),FIND("-",Tasks[[#This Row],[_Pred1Text]]&amp;"-"))-1)),""))</f>
        <v/>
      </c>
      <c r="CP18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5" s="42" t="str">
        <f aca="false">IF(Tasks[[#This Row],[_Pred1Text]]="","",TRIM(MID(SUBSTITUTE(SUBSTITUTE(SUBSTITUTE(UPPER(Tasks[[#This Row],[_Predecessors]]),";",",")," ",""),",",REPT(" ",99)),100,99)))</f>
        <v/>
      </c>
      <c r="CS185" s="42" t="str">
        <f aca="false">IF(Tasks[[#This Row],[_Pred2Text]]="","",IFERROR(VALUE(LEFT(Tasks[[#This Row],[_Pred2Text]],MIN(FIND("F",Tasks[[#This Row],[_Pred2Text]]&amp;"F"),FIND("S",Tasks[[#This Row],[_Pred2Text]]&amp;"S"),FIND("+",Tasks[[#This Row],[_Pred2Text]]&amp;"+"),FIND("-",Tasks[[#This Row],[_Pred2Text]]&amp;"-"))-1)),""))</f>
        <v/>
      </c>
      <c r="CT18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5" s="42" t="str">
        <f aca="false">IF(Tasks[[#This Row],[_Pred2Text]]="","",TRIM(MID(SUBSTITUTE(SUBSTITUTE(SUBSTITUTE(UPPER(Tasks[[#This Row],[_Predecessors]]),";",",")," ",""),",",REPT(" ",99)),199,99)))</f>
        <v/>
      </c>
      <c r="CW185" s="42" t="str">
        <f aca="false">IF(Tasks[[#This Row],[_Pred3Text]]="","",IFERROR(VALUE(LEFT(Tasks[[#This Row],[_Pred3Text]],MIN(FIND("F",Tasks[[#This Row],[_Pred3Text]]&amp;"F"),FIND("S",Tasks[[#This Row],[_Pred3Text]]&amp;"S"),FIND("+",Tasks[[#This Row],[_Pred3Text]]&amp;"+"),FIND("-",Tasks[[#This Row],[_Pred3Text]]&amp;"-"))-1)),""))</f>
        <v/>
      </c>
      <c r="CX18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5" s="42" t="str">
        <f aca="false">IF(Tasks[[#This Row],[_Pred3Text]]="","",TRIM(MID(SUBSTITUTE(SUBSTITUTE(SUBSTITUTE(UPPER(Tasks[[#This Row],[_Predecessors]]),";",",")," ",""),",",REPT(" ",99)),298,99)))</f>
        <v/>
      </c>
      <c r="DA185" s="42" t="str">
        <f aca="false">IF(Tasks[[#This Row],[_Pred4Text]]="","",IFERROR(VALUE(LEFT(Tasks[[#This Row],[_Pred4Text]],MIN(FIND("F",Tasks[[#This Row],[_Pred4Text]]&amp;"F"),FIND("S",Tasks[[#This Row],[_Pred4Text]]&amp;"S"),FIND("+",Tasks[[#This Row],[_Pred4Text]]&amp;"+"),FIND("-",Tasks[[#This Row],[_Pred4Text]]&amp;"-"))-1)),""))</f>
        <v/>
      </c>
      <c r="DB18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5" s="42" t="str">
        <f aca="false">IF(OR(Tasks[[#This Row],[Task Name]]="",Tasks[[#This Row],[_Resources]]=""),"",TRIM(MID(SUBSTITUTE(Tasks[[#This Row],[_Resources]],",",REPT(" ",99)),1,99)))</f>
        <v/>
      </c>
      <c r="DE185" s="42" t="str">
        <f aca="false">IF(Tasks[[#This Row],[_Res1Text]]="","",TRIM(MID(SUBSTITUTE(Tasks[[#This Row],[_Resources]],",",REPT(" ",99)),100,99)))</f>
        <v/>
      </c>
      <c r="DF185" s="42" t="str">
        <f aca="false">IF(Tasks[[#This Row],[_Res2Text]]="","",TRIM(MID(SUBSTITUTE(Tasks[[#This Row],[_Resources]],",",REPT(" ",99)),199,99)))</f>
        <v/>
      </c>
      <c r="DG185" s="42" t="str">
        <f aca="false">IF(Tasks[[#This Row],[_Res3Text]]="","",TRIM(MID(SUBSTITUTE(Tasks[[#This Row],[_Resources]],",",REPT(" ",99)),298,99)))</f>
        <v/>
      </c>
      <c r="DH185" s="42" t="n">
        <f aca="false">IF(Tasks[[#This Row],[_Res1Text]]="",0,IFERROR(MATCH(TRIM(LEFT(Tasks[[#This Row],[_Res1Text]],FIND("[",Tasks[[#This Row],[_Res1Text]]&amp;"[")-1)),res_Name,0),IFERROR(MATCH(TRIM(LEFT(Tasks[[#This Row],[_Res1Text]],FIND("[",Tasks[[#This Row],[_Res1Text]]&amp;"[")-1)),res_Initials,0),0)))</f>
        <v>0</v>
      </c>
      <c r="DI185" s="42" t="n">
        <f aca="false">IF(Tasks[[#This Row],[_Res2Text]]="",0,IFERROR(MATCH(TRIM(LEFT(Tasks[[#This Row],[_Res2Text]],FIND("[",Tasks[[#This Row],[_Res2Text]]&amp;"[")-1)),res_Name,0),IFERROR(MATCH(TRIM(LEFT(Tasks[[#This Row],[_Res2Text]],FIND("[",Tasks[[#This Row],[_Res2Text]]&amp;"[")-1)),res_Initials,0),0)))</f>
        <v>0</v>
      </c>
      <c r="DJ185" s="42" t="n">
        <f aca="false">IF(Tasks[[#This Row],[_Res3Text]]="",0,IFERROR(MATCH(TRIM(LEFT(Tasks[[#This Row],[_Res3Text]],FIND("[",Tasks[[#This Row],[_Res3Text]]&amp;"[")-1)),res_Name,0),IFERROR(MATCH(TRIM(LEFT(Tasks[[#This Row],[_Res3Text]],FIND("[",Tasks[[#This Row],[_Res3Text]]&amp;"[")-1)),res_Initials,0),0)))</f>
        <v>0</v>
      </c>
      <c r="DK185" s="42" t="n">
        <f aca="false">IF(Tasks[[#This Row],[_Res4Text]]="",0,IFERROR(MATCH(TRIM(LEFT(Tasks[[#This Row],[_Res4Text]],FIND("[",Tasks[[#This Row],[_Res4Text]]&amp;"[")-1)),res_Name,0),IFERROR(MATCH(TRIM(LEFT(Tasks[[#This Row],[_Res4Text]],FIND("[",Tasks[[#This Row],[_Res4Text]]&amp;"[")-1)),res_Initials,0),0)))</f>
        <v>0</v>
      </c>
      <c r="DL185" s="42" t="str">
        <f aca="false">IF(Tasks[[#This Row],[_Res1Text]]="","",IF(Tasks[[#This Row],[_Res1Row]]&gt;0,INDEX(res_Name,Tasks[[#This Row],[_Res1Row]]),TRIM(LEFT(Tasks[[#This Row],[_Res1Text]],FIND("[",Tasks[[#This Row],[_Res1Text]]&amp;"[")-1))))</f>
        <v/>
      </c>
      <c r="DM18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5" s="42" t="n">
        <f aca="false">IF(NOT(Tasks[[#This Row],[_IsLeaf]]=1),0,(Tasks[[#This Row],[_Resource1]]&lt;&gt;"")+(Tasks[[#This Row],[_Res2]]&lt;&gt;"")+(Tasks[[#This Row],[_Res3]]&lt;&gt;"")+(Tasks[[#This Row],[_Res4]]&lt;&gt;""))</f>
        <v>0</v>
      </c>
      <c r="DO185" s="42" t="str">
        <f aca="false">IF(Tasks[[#This Row],[_Res2Text]]="","",IF(Tasks[[#This Row],[_Res2Row]]&gt;0,INDEX(res_Name,Tasks[[#This Row],[_Res2Row]]),TRIM(LEFT(Tasks[[#This Row],[_Res2Text]],FIND("[",Tasks[[#This Row],[_Res2Text]]&amp;"[")-1))))</f>
        <v/>
      </c>
      <c r="DP18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5" s="42" t="n">
        <f aca="false">IF(OR(NOT(Tasks[[#This Row],[_IsLeaf]]=1),Tasks[[#This Row],[_Res2Row]]=0),0,N(Tasks[[#This Row],[_Days]])*HoursPerDay*IF(Tasks[[#This Row],[_Res2Units]]="",DefaultUnits,Tasks[[#This Row],[_Res2Units]]))</f>
        <v>0</v>
      </c>
      <c r="DR185" s="42" t="n">
        <f aca="false">IF(AND(AND(Tasks[[#This Row],[_IsLeaf]]=1,Tasks[[#This Row],[_LeafTotalWork]]&gt;0),Tasks[[#This Row],[_Res2Work]]&gt;0),Tasks[[#This Row],[_Res2Work]]/(Tasks[[#This Row],[_FinishWorkday]]-Tasks[[#This Row],[_StartWorkday]]+1),0)</f>
        <v>0</v>
      </c>
      <c r="DS185" s="42" t="n">
        <f aca="false">Tasks[[#This Row],[_Res2WorkPerWD]]*MAX(0,Tasks[[#This Row],[_StartWorkday]]-1)</f>
        <v>0</v>
      </c>
      <c r="DT185" s="42" t="n">
        <f aca="false">Tasks[[#This Row],[_Res2Work]]*Tasks[[#This Row],[_LeafProgress]]</f>
        <v>0</v>
      </c>
      <c r="DU185" s="42" t="str">
        <f aca="false">IF(Tasks[[#This Row],[_Res3Text]]="","",IF(Tasks[[#This Row],[_Res3Row]]&gt;0,INDEX(res_Name,Tasks[[#This Row],[_Res3Row]]),TRIM(LEFT(Tasks[[#This Row],[_Res3Text]],FIND("[",Tasks[[#This Row],[_Res3Text]]&amp;"[")-1))))</f>
        <v/>
      </c>
      <c r="DV18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5" s="42" t="n">
        <f aca="false">IF(OR(NOT(Tasks[[#This Row],[_IsLeaf]]=1),Tasks[[#This Row],[_Res3Row]]=0),0,N(Tasks[[#This Row],[_Days]])*HoursPerDay*IF(Tasks[[#This Row],[_Res3Units]]="",DefaultUnits,Tasks[[#This Row],[_Res3Units]]))</f>
        <v>0</v>
      </c>
      <c r="DX185" s="42" t="n">
        <f aca="false">IF(AND(AND(Tasks[[#This Row],[_IsLeaf]]=1,Tasks[[#This Row],[_LeafTotalWork]]&gt;0),Tasks[[#This Row],[_Res3Work]]&gt;0),Tasks[[#This Row],[_Res3Work]]/(Tasks[[#This Row],[_FinishWorkday]]-Tasks[[#This Row],[_StartWorkday]]+1),0)</f>
        <v>0</v>
      </c>
      <c r="DY185" s="42" t="n">
        <f aca="false">Tasks[[#This Row],[_Res3WorkPerWD]]*MAX(0,Tasks[[#This Row],[_StartWorkday]]-1)</f>
        <v>0</v>
      </c>
      <c r="DZ185" s="42" t="n">
        <f aca="false">Tasks[[#This Row],[_Res3Work]]*Tasks[[#This Row],[_LeafProgress]]</f>
        <v>0</v>
      </c>
      <c r="EA185" s="42" t="str">
        <f aca="false">IF(Tasks[[#This Row],[_Res4Text]]="","",IF(Tasks[[#This Row],[_Res4Row]]&gt;0,INDEX(res_Name,Tasks[[#This Row],[_Res4Row]]),TRIM(LEFT(Tasks[[#This Row],[_Res4Text]],FIND("[",Tasks[[#This Row],[_Res4Text]]&amp;"[")-1))))</f>
        <v/>
      </c>
      <c r="EB18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5" s="42" t="n">
        <f aca="false">IF(OR(NOT(Tasks[[#This Row],[_IsLeaf]]=1),Tasks[[#This Row],[_Res4Row]]=0),0,N(Tasks[[#This Row],[_Days]])*HoursPerDay*IF(Tasks[[#This Row],[_Res4Units]]="",DefaultUnits,Tasks[[#This Row],[_Res4Units]]))</f>
        <v>0</v>
      </c>
      <c r="ED185" s="42" t="n">
        <f aca="false">IF(AND(AND(Tasks[[#This Row],[_IsLeaf]]=1,Tasks[[#This Row],[_LeafTotalWork]]&gt;0),Tasks[[#This Row],[_Res4Work]]&gt;0),Tasks[[#This Row],[_Res4Work]]/(Tasks[[#This Row],[_FinishWorkday]]-Tasks[[#This Row],[_StartWorkday]]+1),0)</f>
        <v>0</v>
      </c>
      <c r="EE185" s="42" t="n">
        <f aca="false">Tasks[[#This Row],[_Res4WorkPerWD]]*MAX(0,Tasks[[#This Row],[_StartWorkday]]-1)</f>
        <v>0</v>
      </c>
      <c r="EF185" s="42" t="n">
        <f aca="false">Tasks[[#This Row],[_Res4Work]]*Tasks[[#This Row],[_LeafProgress]]</f>
        <v>0</v>
      </c>
      <c r="EG185" s="42" t="n">
        <f aca="false">IF(ISNUMBER(Tasks[[#This Row],[% Complete]]),Tasks[[#This Row],[% Complete]],IF(Tasks[[#This Row],[Stage]]="",0,IFERROR(INDEX(stg_Pct,MATCH(Tasks[[#This Row],[Stage]],stg_Name,0)),0)))</f>
        <v>0</v>
      </c>
      <c r="EH185" s="42" t="n">
        <f aca="false">IF(NOT(Tasks[[#This Row],[_IsLeaf]]=1),0,IF(N(Tasks[[#This Row],[Actual Finish]])&gt;0,1,MIN(1,Tasks[[#This Row],[_Pct]])))</f>
        <v>0</v>
      </c>
      <c r="EI185" s="42" t="n">
        <f aca="false">IF(OR(NOT(Tasks[[#This Row],[_IsLeaf]]=1),Tasks[[#This Row],[_Res1Row]]=0),0,N(Tasks[[#This Row],[_Days]])*HoursPerDay*IF(Tasks[[#This Row],[_Units1]]="",DefaultUnits,Tasks[[#This Row],[_Units1]]))</f>
        <v>0</v>
      </c>
      <c r="EJ185" s="42" t="n">
        <f aca="false">Tasks[[#This Row],[_LeafWork]]+Tasks[[#This Row],[_Res2Work]]+Tasks[[#This Row],[_Res3Work]]+Tasks[[#This Row],[_Res4Work]]</f>
        <v>0</v>
      </c>
      <c r="EK18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5" s="42" t="n">
        <f aca="false">IF(NOT(Tasks[[#This Row],[_IsLeaf]]=1),0,MAX(_xlfn.MAXIFS(Tasks[_Row],Tasks[_Pred1UID],Tasks[[#This Row],[UID]]),_xlfn.MAXIFS(Tasks[_Row],Tasks[_Pred2UID],Tasks[[#This Row],[UID]]),_xlfn.MAXIFS(Tasks[_Row],Tasks[_Pred3UID],Tasks[[#This Row],[UID]]),_xlfn.MAXIFS(Tasks[_Row],Tasks[_Pred4UID],Tasks[[#This Row],[UID]])))</f>
        <v>0</v>
      </c>
      <c r="ET18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5" s="89" t="str">
        <f aca="false">IF(NOT(Tasks[[#This Row],[_IsLeaf]]=1),"",IF(N(Tasks[[#This Row],[_Days]])&lt;=0,Tasks[[#This Row],[_LeafLateFinish]],WORKDAY.INTL(Tasks[[#This Row],[_LeafLateFinish]],-(Tasks[[#This Row],[_Days]]-1),WorkWeek,Holidays)))</f>
        <v/>
      </c>
      <c r="EW18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5" s="88" t="b">
        <f aca="false">AND(Tasks[[#This Row],[_IsLeaf]]=1,Tasks[[#This Row],[_LeafProgress]]&lt;1,N(Tasks[[#This Row],[_LeafTotalSlack]])&lt;=CriticalSlackDays)</f>
        <v>0</v>
      </c>
      <c r="EY185" s="42" t="n">
        <f aca="false">IF(AND(Tasks[[#This Row],[_IsLeaf]]=1,Tasks[[#This Row],[_ConstraintCode]]=1,Tasks[[#This Row],[Mode]]&lt;&gt;"Manual",N(Tasks[[#This Row],[Actual Start]])=0),MAX(0,N(Tasks[[#This Row],[Free Slack]])),0)</f>
        <v>0</v>
      </c>
      <c r="EZ185" s="89" t="str">
        <f aca="false">IF(NOT(Tasks[[#This Row],[_IsLeaf]]=1),"",IF(Tasks[[#This Row],[_AlapShift]]=0,Tasks[[#This Row],[_LeafCalcStart]],WORKDAY.INTL(Tasks[[#This Row],[_LeafCalcStart]],Tasks[[#This Row],[_AlapShift]],WorkWeek,Holidays)))</f>
        <v/>
      </c>
      <c r="FA185" s="89" t="str">
        <f aca="false">IF(NOT(Tasks[[#This Row],[_IsLeaf]]=1),"",IF(Tasks[[#This Row],[_AlapShift]]=0,Tasks[[#This Row],[_LeafCalcFinish]],WORKDAY.INTL(Tasks[[#This Row],[_LeafCalcFinish]],Tasks[[#This Row],[_AlapShift]],WorkWeek,Holidays)))</f>
        <v/>
      </c>
      <c r="FB185" s="89" t="str">
        <f aca="false">IF(NOT(Tasks[[#This Row],[_IsLeaf]]=1),"",IF(Tasks[[#This Row],[_AlapShift]]=0,Tasks[[#This Row],[_LeafFcstStart]],WORKDAY.INTL(Tasks[[#This Row],[_LeafFcstStart]],Tasks[[#This Row],[_AlapShift]],WorkWeek,Holidays)))</f>
        <v/>
      </c>
      <c r="FC185" s="89" t="str">
        <f aca="false">IF(NOT(Tasks[[#This Row],[_IsLeaf]]=1),"",IF(Tasks[[#This Row],[_AlapShift]]=0,Tasks[[#This Row],[_LeafFcstFinish]],WORKDAY.INTL(Tasks[[#This Row],[_LeafFcstFinish]],Tasks[[#This Row],[_AlapShift]],WorkWeek,Holidays)))</f>
        <v/>
      </c>
      <c r="FD185" s="89" t="str">
        <f aca="false">IF(Tasks[[#This Row],[Task Name]]="","",IF(Tasks[[#This Row],[_IsSummary]],MIN(INDEX(Tasks[_ShownCalcStart],Tasks[[#This Row],[_Row]]+1):INDEX(Tasks[_ShownCalcStart],Tasks[[#This Row],[_Row]]+Tasks[[#This Row],[_Descendants]])),Tasks[[#This Row],[_ShownCalcStart]]))</f>
        <v/>
      </c>
      <c r="FE185" s="89" t="str">
        <f aca="false">IF(Tasks[[#This Row],[Task Name]]="","",IF(Tasks[[#This Row],[_IsSummary]],MAX(INDEX(Tasks[_ShownCalcFinish],Tasks[[#This Row],[_Row]]+1):INDEX(Tasks[_ShownCalcFinish],Tasks[[#This Row],[_Row]]+Tasks[[#This Row],[_Descendants]])),Tasks[[#This Row],[_ShownCalcFinish]]))</f>
        <v/>
      </c>
      <c r="FF18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5" s="42" t="n">
        <f aca="false">IF(AND(Tasks[[#This Row],[_IsLeaf]]=1,Tasks[[#This Row],[_LeafTotalWork]]&gt;0),NETWORKDAYS.INTL(ProjectStart,Tasks[[#This Row],[_ShownFcstStart]],WorkWeek,Holidays),0)</f>
        <v>0</v>
      </c>
      <c r="FS185" s="42" t="n">
        <f aca="false">IF(AND(Tasks[[#This Row],[_IsLeaf]]=1,Tasks[[#This Row],[_LeafTotalWork]]&gt;0),MAX(Tasks[[#This Row],[_StartWorkday]],NETWORKDAYS.INTL(ProjectStart,Tasks[[#This Row],[_ShownFcstFinish]],WorkWeek,Holidays)),0)</f>
        <v>0</v>
      </c>
      <c r="FT185" s="42" t="n">
        <f aca="false">IF(AND(Tasks[[#This Row],[_IsLeaf]]=1,Tasks[[#This Row],[_LeafTotalWork]]&gt;0),Tasks[[#This Row],[_LeafWork]]/(Tasks[[#This Row],[_FinishWorkday]]-Tasks[[#This Row],[_StartWorkday]]+1),0)</f>
        <v>0</v>
      </c>
      <c r="FU185" s="42" t="n">
        <f aca="false">Tasks[[#This Row],[_WorkPerWorkday]]*(Tasks[[#This Row],[_StartWorkday]]-1)</f>
        <v>-0</v>
      </c>
      <c r="FV185" s="42" t="n">
        <f aca="false">IF(Tasks[[#This Row],[_IsLeaf]]=1,MAX(N(Tasks[[#This Row],[_Days]]),0.1),0)</f>
        <v>0</v>
      </c>
      <c r="FW185" s="42" t="n">
        <f aca="false">Tasks[[#This Row],[_WeightDur]]*Tasks[[#This Row],[_LeafProgress]]</f>
        <v>0</v>
      </c>
      <c r="FX185" s="42" t="n">
        <f aca="false">Tasks[[#This Row],[_WeightDur]]*Tasks[[#This Row],[_PlannedPct]]</f>
        <v>0</v>
      </c>
      <c r="FY18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5" s="42" t="str">
        <f aca="false">IF(AND(Tasks[[#This Row],[_IsLeaf]]=1,N(Tasks[[#This Row],[_Days]])=0,Tasks[[#This Row],[_LeafProgress]]&lt;1),Tasks[[#This Row],[_ShownFcstFinish]]+Tasks[[#This Row],[_Row]]/100000,"")</f>
        <v/>
      </c>
      <c r="GA18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5" s="42" t="str">
        <f aca="false">IF(Tasks[[#This Row],[Task Name]]="","",LEFT(Tasks[[#This Row],[WBS]],FIND(".",Tasks[[#This Row],[WBS]]&amp;".")-1))</f>
        <v/>
      </c>
      <c r="GC185" s="42" t="str">
        <f aca="false">IF(AND(Tasks[[#This Row],[Task Name]]&lt;&gt;"",Tasks[[#This Row],[_Level]]=1),Tasks[[#This Row],[_Row]],"")</f>
        <v/>
      </c>
      <c r="GD185" s="42" t="str">
        <f aca="false">IF(AND(Tasks[[#This Row],[_IsLeaf]]=1,N(Tasks[[#This Row],[_Days]])=0),Tasks[[#This Row],[Planned Finish]]+Tasks[[#This Row],[_Row]]/100000,"")</f>
        <v/>
      </c>
      <c r="GE185" s="42" t="str">
        <f aca="false">IF(AND(Tasks[[#This Row],[_IsLeaf]]=1,Tasks[[#This Row],[_LeafProgress]]&lt;1,OR(N(Tasks[[#This Row],[Finish Var]])&gt;0,Tasks[[#This Row],[Status]]="Late Start")),MAX(0,Tasks[[#This Row],[Finish Var]])+1-Tasks[[#This Row],[_Row]]/1000000,"")</f>
        <v/>
      </c>
      <c r="GF185" s="42" t="str">
        <f aca="false">IF(AND(Tasks[[#This Row],[_IsLeaf]]=1,N(Tasks[[#This Row],[Actual Start]])=0,Tasks[[#This Row],[_ShownFcstStart]]&gt;=StatusDate,Tasks[[#This Row],[_ShownFcstStart]]&lt;=LookaheadEnd),Tasks[[#This Row],[_ShownFcstStart]]+Tasks[[#This Row],[_Row]]/100000,"")</f>
        <v/>
      </c>
      <c r="GG185" s="42" t="str">
        <f aca="false">IF(AND(Tasks[[#This Row],[_IsLeaf]]=1,Tasks[[#This Row],[_LeafProgress]]&lt;1,Tasks[[#This Row],[_ShownFcstFinish]]&gt;=StatusDate,Tasks[[#This Row],[_ShownFcstFinish]]&lt;=LookaheadEnd),Tasks[[#This Row],[_ShownFcstFinish]]+Tasks[[#This Row],[_Row]]/100000,"")</f>
        <v/>
      </c>
      <c r="GH185" s="42" t="str">
        <f aca="false">IF(Tasks[[#This Row],[_LeafCritical]],Tasks[[#This Row],[_ShownFcstStart]]+Tasks[[#This Row],[_Row]]/100000,"")</f>
        <v/>
      </c>
      <c r="GI185" s="42" t="n">
        <f aca="false">Tasks[[#This Row],[_LeafWork]]*Tasks[[#This Row],[_LeafProgress]]</f>
        <v>0</v>
      </c>
      <c r="GJ185" s="89" t="str">
        <f aca="false">IF(AND(Tasks[[#This Row],[_IsLeaf]]=1,Tasks[[#This Row],[_LeafProgress]]&gt;=1),IF(N(Tasks[[#This Row],[Actual Finish]])&gt;0,Tasks[[#This Row],[Actual Finish]],Tasks[[#This Row],[_ShownFcstFinish]]),"")</f>
        <v/>
      </c>
      <c r="GK185" s="42" t="n">
        <f aca="false">IF(Tasks[[#This Row],[_IsLeaf]]=1,N(Tasks[[#This Row],[Story Points]]),0)</f>
        <v>0</v>
      </c>
      <c r="GL185" s="42" t="str">
        <f aca="false">""</f>
        <v/>
      </c>
      <c r="GM185" s="88" t="b">
        <f aca="false">IF(Tasks[[#This Row],[Task Name]]="",FALSE(),AND(Tasks[[#This Row],[_IsLeaf]]=1,N(Tasks[[#This Row],[_Days]])=0))</f>
        <v>0</v>
      </c>
      <c r="GN185" s="89" t="n">
        <f aca="false">IF(Tasks[[#This Row],[Task Name]]="",0,IF(AND(Tasks[[#This Row],[_IsLeaf]]=1,NOT(Tasks[[#This Row],[_IsMilestone]]),N(Tasks[[#This Row],[Progress]])&gt;0),Tasks[[#This Row],[Start]],0))</f>
        <v>0</v>
      </c>
      <c r="GO185" s="89" t="n">
        <f aca="false">IF(Tasks[[#This Row],[_DoneFrom]]=0,0,IF(Tasks[[#This Row],[Progress]]&gt;=1,Tasks[[#This Row],[Finish]],MAX(Tasks[[#This Row],[_DoneFrom]],Tasks[[#This Row],[Start]]+ROUND((Tasks[[#This Row],[Finish]]-Tasks[[#This Row],[Start]]+1)*Tasks[[#This Row],[Progress]],0)-1)))</f>
        <v>0</v>
      </c>
      <c r="GP185" s="89" t="n">
        <f aca="false">IF(Tasks[[#This Row],[Task Name]]="",0,IF(OR(NOT(Tasks[[#This Row],[_IsLeaf]]=1),Tasks[[#This Row],[_IsMilestone]],N(Tasks[[#This Row],[Progress]])&gt;=1),0,IF(Tasks[[#This Row],[_DoneTo]]&gt;0,Tasks[[#This Row],[_DoneTo]]+1,Tasks[[#This Row],[Start]])))</f>
        <v>0</v>
      </c>
      <c r="GQ185" s="89" t="n">
        <f aca="false">IF(Tasks[[#This Row],[_RemFrom]]=0,0,Tasks[[#This Row],[Finish]])</f>
        <v>0</v>
      </c>
      <c r="GR185" s="88" t="b">
        <f aca="false">IF(Tasks[[#This Row],[Task Name]]="",FALSE(),OR(NOT(BaselineSet),N(Tasks[[#This Row],[Baseline Start]])&gt;0))</f>
        <v>0</v>
      </c>
      <c r="GS18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5" s="90" t="str">
        <f aca="false">IF(Tasks[[#This Row],[_IsLeaf]]=1,Tasks[[#This Row],[_Row]],"")</f>
        <v/>
      </c>
      <c r="GW185" s="90" t="str">
        <f aca="false">IFERROR(INDEX(Tasks[UID],SMALL(Tasks[_PickKey],Tasks[[#This Row],[_Row]]))&amp;" "&amp;INDEX(Tasks[Task Name],SMALL(Tasks[_PickKey],Tasks[[#This Row],[_Row]])),"")</f>
        <v/>
      </c>
      <c r="GX185" s="42" t="str">
        <f aca="false">IF(Tasks[[#This Row],[Task Name]]="","",IF(Tasks[[#This Row],[_IsSummary]],NETWORKDAYS.INTL(Tasks[[#This Row],[Start]],Tasks[[#This Row],[Finish]],WorkWeek,Holidays),N(Tasks[[#This Row],[_Days]])))</f>
        <v/>
      </c>
    </row>
    <row r="186" customFormat="false" ht="15" hidden="false" customHeight="false" outlineLevel="0" collapsed="false">
      <c r="A186" s="21" t="str">
        <f aca="false">IF(Tasks[[#This Row],[Task Name]]="","",COUNTA(Tasks[[#Headers],[Task Name]]:Tasks[[#This Row],[Task Name]])-1)</f>
        <v/>
      </c>
      <c r="B186" s="22" t="n">
        <v>194</v>
      </c>
      <c r="C186" s="22"/>
      <c r="D186" s="23"/>
      <c r="E186" s="22"/>
      <c r="F186" s="23"/>
      <c r="G186" s="22"/>
      <c r="H186" s="22"/>
      <c r="I186" s="23"/>
      <c r="J186" s="22"/>
      <c r="K186" s="22"/>
      <c r="L186" s="23"/>
      <c r="M186" s="22"/>
      <c r="N186" s="22"/>
      <c r="O186" s="23"/>
      <c r="P186" s="22"/>
      <c r="Q186" s="22"/>
      <c r="R186" s="23"/>
      <c r="S186" s="23"/>
      <c r="T186" s="83"/>
      <c r="U186" s="23"/>
      <c r="V186" s="83"/>
      <c r="W186" s="23"/>
      <c r="X186" s="83"/>
      <c r="Y186" s="23"/>
      <c r="Z186" s="83"/>
      <c r="AA186" s="23"/>
      <c r="AB186" s="23"/>
      <c r="AC186" s="7"/>
      <c r="AD186" s="7"/>
      <c r="AE186" s="62" t="str">
        <f aca="false">IF(Tasks[[#This Row],[Task Name]]="","",IF(Tasks[[#This Row],[_IsSummary]],MIN(INDEX(Tasks[_ShownFcstStart],Tasks[[#This Row],[_Row]]+1):INDEX(Tasks[_ShownFcstStart],Tasks[[#This Row],[_Row]]+Tasks[[#This Row],[_Descendants]])),Tasks[[#This Row],[_ShownFcstStart]]))</f>
        <v/>
      </c>
      <c r="AF186" s="62" t="str">
        <f aca="false">IF(Tasks[[#This Row],[Task Name]]="","",IF(Tasks[[#This Row],[_IsSummary]],MAX(INDEX(Tasks[_ShownFcstFinish],Tasks[[#This Row],[_Row]]+1):INDEX(Tasks[_ShownFcstFinish],Tasks[[#This Row],[_Row]]+Tasks[[#This Row],[_Descendants]])),Tasks[[#This Row],[_ShownFcstFinish]]))</f>
        <v/>
      </c>
      <c r="AG186" s="21" t="str">
        <f aca="false">""</f>
        <v/>
      </c>
      <c r="AH186" s="23"/>
      <c r="AI18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6" s="7"/>
      <c r="AK186" s="22"/>
      <c r="AL186" s="23"/>
      <c r="AM186" s="7"/>
      <c r="AN186" s="46" t="str">
        <f aca="false">IF(Tasks[[#This Row],[Task Name]]="","",IF(Tasks[[#This Row],[Finish]]&gt;=Tasks[[#This Row],[Planned Finish]],NETWORKDAYS.INTL(Tasks[[#This Row],[Planned Finish]],Tasks[[#This Row],[Finish]],WorkWeek,Holidays)-1,1-NETWORKDAYS.INTL(Tasks[[#This Row],[Finish]],Tasks[[#This Row],[Planned Finish]],WorkWeek,Holidays)))</f>
        <v/>
      </c>
      <c r="AO186" s="21" t="str">
        <f aca="false">IF(Tasks[[#This Row],[Task Name]]="","",IF(Tasks[[#This Row],[Progress]]&gt;=1,"Complete",IF(OR(N(Tasks[[#This Row],[Actual Start]])&gt;0,Tasks[[#This Row],[Progress]]&gt;0),IF(Tasks[[#This Row],[Finish Var]]&gt;0,"Behind","In Progress"),IF(Tasks[[#This Row],[Planned Start]]&lt;StatusDate,"Late Start","Not Started"))))</f>
        <v/>
      </c>
      <c r="AP186" s="21" t="str">
        <f aca="false">IF(Tasks[[#This Row],[Task Name]]="","",IF(IF(Tasks[[#This Row],[_IsSummary]],COUNTIF(INDEX(Tasks[_LeafCritical],Tasks[[#This Row],[_Row]]+1):INDEX(Tasks[_LeafCritical],Tasks[[#This Row],[_Row]]+Tasks[[#This Row],[_Descendants]]),TRUE())&gt;0,Tasks[[#This Row],[_LeafCritical]]),"Yes",""))</f>
        <v/>
      </c>
      <c r="AQ186" s="62" t="str">
        <f aca="false">IF(Tasks[[#This Row],[Task Name]]="","",IF(N(Tasks[[#This Row],[Baseline Start]])&gt;0,Tasks[[#This Row],[Baseline Start]],Tasks[[#This Row],[_CalcStart]]))</f>
        <v/>
      </c>
      <c r="AR186" s="62" t="str">
        <f aca="false">IF(Tasks[[#This Row],[Task Name]]="","",IF(N(Tasks[[#This Row],[Baseline Finish]])&gt;0,Tasks[[#This Row],[Baseline Finish]],Tasks[[#This Row],[_CalcFinish]]))</f>
        <v/>
      </c>
      <c r="AS186" s="46" t="str">
        <f aca="false">IF(Tasks[[#This Row],[Task Name]]="","",IF(Tasks[[#This Row],[Start]]&gt;=Tasks[[#This Row],[Planned Start]],NETWORKDAYS.INTL(Tasks[[#This Row],[Planned Start]],Tasks[[#This Row],[Start]],WorkWeek,Holidays)-1,1-NETWORKDAYS.INTL(Tasks[[#This Row],[Start]],Tasks[[#This Row],[Planned Start]],WorkWeek,Holidays)))</f>
        <v/>
      </c>
      <c r="AT186" s="62" t="str">
        <f aca="false">IF(Tasks[[#This Row],[Task Name]]="","",IF(Tasks[[#This Row],[_IsSummary]],MIN(INDEX(Tasks[_LeafLateStart],Tasks[[#This Row],[_Row]]+1):INDEX(Tasks[_LeafLateStart],Tasks[[#This Row],[_Row]]+Tasks[[#This Row],[_Descendants]])),Tasks[[#This Row],[_LeafLateStart]]))</f>
        <v/>
      </c>
      <c r="AU186" s="62" t="str">
        <f aca="false">IF(Tasks[[#This Row],[Task Name]]="","",IF(Tasks[[#This Row],[_IsSummary]],MAX(INDEX(Tasks[_LeafLateFinish],Tasks[[#This Row],[_Row]]+1):INDEX(Tasks[_LeafLateFinish],Tasks[[#This Row],[_Row]]+Tasks[[#This Row],[_Descendants]])),Tasks[[#This Row],[_LeafLateFinish]]))</f>
        <v/>
      </c>
      <c r="AV186" s="46" t="str">
        <f aca="false">IF(Tasks[[#This Row],[Task Name]]="","",IF(Tasks[[#This Row],[_IsSummary]],MIN(INDEX(Tasks[_LeafTotalSlack],Tasks[[#This Row],[_Row]]+1):INDEX(Tasks[_LeafTotalSlack],Tasks[[#This Row],[_Row]]+Tasks[[#This Row],[_Descendants]])),Tasks[[#This Row],[_LeafTotalSlack]]))</f>
        <v/>
      </c>
      <c r="AW18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4"/>
      <c r="BA18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t="str">
        <f aca="false">IF(Tasks[[#This Row],[Task Name]]="","",IF(Tasks[[#This Row],[_Level]]&lt;=OutlineShowLevel,"Yes","No"))</f>
        <v/>
      </c>
      <c r="BE186" s="85" t="str">
        <f aca="false">IF(Tasks[[#This Row],[Task Name]]="","",IF(Tasks[[#This Row],[_IsSummary]],SUM(INDEX(Tasks[_LeafTotalWork],Tasks[[#This Row],[_Row]]+1):INDEX(Tasks[_LeafTotalWork],Tasks[[#This Row],[_Row]]+Tasks[[#This Row],[_Descendants]])),Tasks[[#This Row],[_LeafTotalWork]]))</f>
        <v/>
      </c>
      <c r="BF186" s="23"/>
      <c r="BG18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t="str">
        <f aca="false">""</f>
        <v/>
      </c>
      <c r="BI186" s="86"/>
      <c r="BJ186" s="22"/>
      <c r="BK186" s="46" t="str">
        <f aca="false">IF(OR(Tasks[[#This Row],[Task Name]]="",Tasks[[#This Row],[Baseline Duration]]=""),"",Tasks[[#This Row],[_SpanDays]]-N(Tasks[[#This Row],[Baseline Duration]]))</f>
        <v/>
      </c>
      <c r="BL186" s="85" t="str">
        <f aca="false">IF(OR(Tasks[[#This Row],[Task Name]]="",Tasks[[#This Row],[Baseline Work]]=""),"",Tasks[[#This Row],[Work]]-N(Tasks[[#This Row],[Baseline Work]]))</f>
        <v/>
      </c>
      <c r="BM186" s="62" t="str">
        <f aca="false">IF(Tasks[[#This Row],[Task Name]]="","",IF(OR(TakeBaseline="Yes",N(Tasks[[#This Row],[Baseline Start]])=0),Tasks[[#This Row],[Start]],Tasks[[#This Row],[Baseline Start]]))</f>
        <v/>
      </c>
      <c r="BN186" s="62" t="str">
        <f aca="false">IF(Tasks[[#This Row],[Task Name]]="","",IF(OR(TakeBaseline="Yes",N(Tasks[[#This Row],[Baseline Finish]])=0),Tasks[[#This Row],[Finish]],Tasks[[#This Row],[Baseline Finish]]))</f>
        <v/>
      </c>
      <c r="BO186" s="21" t="str">
        <f aca="false">IF(Tasks[[#This Row],[Task Name]]="","",IF(OR(TakeBaseline="Yes",N(Tasks[[#This Row],[Baseline Duration]])=0),Tasks[[#This Row],[_SpanDays]],Tasks[[#This Row],[Baseline Duration]]))</f>
        <v/>
      </c>
      <c r="BP186" s="85" t="str">
        <f aca="false">IF(Tasks[[#This Row],[Task Name]]="","",IF(OR(TakeBaseline="Yes",N(Tasks[[#This Row],[Baseline Work]])=0),Tasks[[#This Row],[Work]],Tasks[[#This Row],[Baseline Work]]))</f>
        <v/>
      </c>
      <c r="BQ186" s="7"/>
      <c r="BR186" s="7"/>
      <c r="BS186" s="22"/>
      <c r="BT186" s="87"/>
      <c r="BU186" s="42" t="str">
        <f aca="false">IF(Tasks[[#This Row],[Task Name]]="","",MAX(1,N(Tasks[[#This Row],[Level]])))</f>
        <v/>
      </c>
      <c r="BV186" s="42" t="n">
        <f aca="false">ROW()-ROW(Tasks[[#Headers],[ID]])</f>
        <v>181</v>
      </c>
      <c r="BW186" s="42" t="n">
        <f aca="false">IF(OR(Tasks[[#This Row],[Task Name]]="",Tasks[[#This Row],[_Level]]&lt;=1),0,IFERROR(LOOKUP(2,1/(Tasks[[#Headers],[_Level]]:Tasks[[#This Row],[_Level]]=Tasks[[#This Row],[_Level]]-1),ROW(Tasks[[#Headers],[_Level]]:Tasks[[#This Row],[_Level]])),0))</f>
        <v>0</v>
      </c>
      <c r="BX186" s="42" t="n">
        <f aca="false">IFERROR(N(INDEX(Tasks[_Level],Tasks[[#This Row],[_Row]]+1)),0)</f>
        <v>0</v>
      </c>
      <c r="BY186" s="88" t="b">
        <f aca="false">AND(Tasks[[#This Row],[Task Name]]&lt;&gt;"",Tasks[[#This Row],[_NextLevel]]&gt;Tasks[[#This Row],[_Level]])</f>
        <v>0</v>
      </c>
      <c r="BZ186" s="42" t="n">
        <f aca="false">IF(Tasks[[#This Row],[_IsSummary]],COUNTIF(Tasks[WBS],Tasks[[#This Row],[WBS]]&amp;".*"),0)</f>
        <v>0</v>
      </c>
      <c r="CA186" s="42" t="n">
        <f aca="false">IF(AND(Tasks[[#This Row],[Task Name]]&lt;&gt;"",NOT(Tasks[[#This Row],[_IsSummary]])),1,0)</f>
        <v>0</v>
      </c>
      <c r="CB186" s="42" t="n">
        <f aca="false">IF(N(Tasks[[#This Row],[_Pred1UID]])=0,0,IFERROR(MATCH(Tasks[[#This Row],[_Pred1UID]],Tasks[UID],0),-1))</f>
        <v>0</v>
      </c>
      <c r="CC186" s="42" t="n">
        <f aca="false">IF(N(Tasks[[#This Row],[_Pred2UID]])=0,0,IFERROR(MATCH(Tasks[[#This Row],[_Pred2UID]],Tasks[UID],0),-1))</f>
        <v>0</v>
      </c>
      <c r="CD186" s="42" t="n">
        <f aca="false">IF(N(Tasks[[#This Row],[_Pred3UID]])=0,0,IFERROR(MATCH(Tasks[[#This Row],[_Pred3UID]],Tasks[UID],0),-1))</f>
        <v>0</v>
      </c>
      <c r="CE186" s="42" t="n">
        <f aca="false">IF(N(Tasks[[#This Row],[_Pred4UID]])=0,0,IFERROR(MATCH(Tasks[[#This Row],[_Pred4UID]],Tasks[UID],0),-1))</f>
        <v>0</v>
      </c>
      <c r="CF18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6" s="89" t="n">
        <f aca="false">IF(OR(Tasks[[#This Row],[_ConstraintCode]]=2,Tasks[[#This Row],[_ConstraintCode]]=3,Tasks[[#This Row],[_ConstraintCode]]=4,Tasks[[#This Row],[_ConstraintCode]]=6),Tasks[[#This Row],[_ConstraintStart]],0)</f>
        <v>0</v>
      </c>
      <c r="CI186" s="89" t="n">
        <f aca="false">IF(OR(Tasks[[#This Row],[_ConstraintCode]]=2,Tasks[[#This Row],[_ConstraintCode]]=3,Tasks[[#This Row],[_ConstraintCode]]=5,Tasks[[#This Row],[_ConstraintCode]]=7),Tasks[[#This Row],[_ConstraintStart]],2958465)</f>
        <v>2958465</v>
      </c>
      <c r="CJ18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6" s="89" t="str">
        <f aca="false">IF(NOT(Tasks[[#This Row],[_IsLeaf]]=1),"",IF(N(Tasks[[#This Row],[_Days]])&lt;=0,Tasks[[#This Row],[_LeafCalcStart]],WORKDAY.INTL(Tasks[[#This Row],[_LeafCalcStart]],Tasks[[#This Row],[_Days]]-1,WorkWeek,Holidays)))</f>
        <v/>
      </c>
      <c r="CL18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6" s="42" t="str">
        <f aca="false">IF(Tasks[[#This Row],[_Predecessors]]="","",TRIM(MID(SUBSTITUTE(SUBSTITUTE(SUBSTITUTE(UPPER(Tasks[[#This Row],[_Predecessors]]),";",",")," ",""),",",REPT(" ",99)),1,99)))</f>
        <v/>
      </c>
      <c r="CO186" s="42" t="str">
        <f aca="false">IF(Tasks[[#This Row],[_Pred1Text]]="","",IFERROR(VALUE(LEFT(Tasks[[#This Row],[_Pred1Text]],MIN(FIND("F",Tasks[[#This Row],[_Pred1Text]]&amp;"F"),FIND("S",Tasks[[#This Row],[_Pred1Text]]&amp;"S"),FIND("+",Tasks[[#This Row],[_Pred1Text]]&amp;"+"),FIND("-",Tasks[[#This Row],[_Pred1Text]]&amp;"-"))-1)),""))</f>
        <v/>
      </c>
      <c r="CP18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6" s="42" t="str">
        <f aca="false">IF(Tasks[[#This Row],[_Pred1Text]]="","",TRIM(MID(SUBSTITUTE(SUBSTITUTE(SUBSTITUTE(UPPER(Tasks[[#This Row],[_Predecessors]]),";",",")," ",""),",",REPT(" ",99)),100,99)))</f>
        <v/>
      </c>
      <c r="CS186" s="42" t="str">
        <f aca="false">IF(Tasks[[#This Row],[_Pred2Text]]="","",IFERROR(VALUE(LEFT(Tasks[[#This Row],[_Pred2Text]],MIN(FIND("F",Tasks[[#This Row],[_Pred2Text]]&amp;"F"),FIND("S",Tasks[[#This Row],[_Pred2Text]]&amp;"S"),FIND("+",Tasks[[#This Row],[_Pred2Text]]&amp;"+"),FIND("-",Tasks[[#This Row],[_Pred2Text]]&amp;"-"))-1)),""))</f>
        <v/>
      </c>
      <c r="CT18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6" s="42" t="str">
        <f aca="false">IF(Tasks[[#This Row],[_Pred2Text]]="","",TRIM(MID(SUBSTITUTE(SUBSTITUTE(SUBSTITUTE(UPPER(Tasks[[#This Row],[_Predecessors]]),";",",")," ",""),",",REPT(" ",99)),199,99)))</f>
        <v/>
      </c>
      <c r="CW186" s="42" t="str">
        <f aca="false">IF(Tasks[[#This Row],[_Pred3Text]]="","",IFERROR(VALUE(LEFT(Tasks[[#This Row],[_Pred3Text]],MIN(FIND("F",Tasks[[#This Row],[_Pred3Text]]&amp;"F"),FIND("S",Tasks[[#This Row],[_Pred3Text]]&amp;"S"),FIND("+",Tasks[[#This Row],[_Pred3Text]]&amp;"+"),FIND("-",Tasks[[#This Row],[_Pred3Text]]&amp;"-"))-1)),""))</f>
        <v/>
      </c>
      <c r="CX18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6" s="42" t="str">
        <f aca="false">IF(Tasks[[#This Row],[_Pred3Text]]="","",TRIM(MID(SUBSTITUTE(SUBSTITUTE(SUBSTITUTE(UPPER(Tasks[[#This Row],[_Predecessors]]),";",",")," ",""),",",REPT(" ",99)),298,99)))</f>
        <v/>
      </c>
      <c r="DA186" s="42" t="str">
        <f aca="false">IF(Tasks[[#This Row],[_Pred4Text]]="","",IFERROR(VALUE(LEFT(Tasks[[#This Row],[_Pred4Text]],MIN(FIND("F",Tasks[[#This Row],[_Pred4Text]]&amp;"F"),FIND("S",Tasks[[#This Row],[_Pred4Text]]&amp;"S"),FIND("+",Tasks[[#This Row],[_Pred4Text]]&amp;"+"),FIND("-",Tasks[[#This Row],[_Pred4Text]]&amp;"-"))-1)),""))</f>
        <v/>
      </c>
      <c r="DB18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6" s="42" t="str">
        <f aca="false">IF(OR(Tasks[[#This Row],[Task Name]]="",Tasks[[#This Row],[_Resources]]=""),"",TRIM(MID(SUBSTITUTE(Tasks[[#This Row],[_Resources]],",",REPT(" ",99)),1,99)))</f>
        <v/>
      </c>
      <c r="DE186" s="42" t="str">
        <f aca="false">IF(Tasks[[#This Row],[_Res1Text]]="","",TRIM(MID(SUBSTITUTE(Tasks[[#This Row],[_Resources]],",",REPT(" ",99)),100,99)))</f>
        <v/>
      </c>
      <c r="DF186" s="42" t="str">
        <f aca="false">IF(Tasks[[#This Row],[_Res2Text]]="","",TRIM(MID(SUBSTITUTE(Tasks[[#This Row],[_Resources]],",",REPT(" ",99)),199,99)))</f>
        <v/>
      </c>
      <c r="DG186" s="42" t="str">
        <f aca="false">IF(Tasks[[#This Row],[_Res3Text]]="","",TRIM(MID(SUBSTITUTE(Tasks[[#This Row],[_Resources]],",",REPT(" ",99)),298,99)))</f>
        <v/>
      </c>
      <c r="DH186" s="42" t="n">
        <f aca="false">IF(Tasks[[#This Row],[_Res1Text]]="",0,IFERROR(MATCH(TRIM(LEFT(Tasks[[#This Row],[_Res1Text]],FIND("[",Tasks[[#This Row],[_Res1Text]]&amp;"[")-1)),res_Name,0),IFERROR(MATCH(TRIM(LEFT(Tasks[[#This Row],[_Res1Text]],FIND("[",Tasks[[#This Row],[_Res1Text]]&amp;"[")-1)),res_Initials,0),0)))</f>
        <v>0</v>
      </c>
      <c r="DI186" s="42" t="n">
        <f aca="false">IF(Tasks[[#This Row],[_Res2Text]]="",0,IFERROR(MATCH(TRIM(LEFT(Tasks[[#This Row],[_Res2Text]],FIND("[",Tasks[[#This Row],[_Res2Text]]&amp;"[")-1)),res_Name,0),IFERROR(MATCH(TRIM(LEFT(Tasks[[#This Row],[_Res2Text]],FIND("[",Tasks[[#This Row],[_Res2Text]]&amp;"[")-1)),res_Initials,0),0)))</f>
        <v>0</v>
      </c>
      <c r="DJ186" s="42" t="n">
        <f aca="false">IF(Tasks[[#This Row],[_Res3Text]]="",0,IFERROR(MATCH(TRIM(LEFT(Tasks[[#This Row],[_Res3Text]],FIND("[",Tasks[[#This Row],[_Res3Text]]&amp;"[")-1)),res_Name,0),IFERROR(MATCH(TRIM(LEFT(Tasks[[#This Row],[_Res3Text]],FIND("[",Tasks[[#This Row],[_Res3Text]]&amp;"[")-1)),res_Initials,0),0)))</f>
        <v>0</v>
      </c>
      <c r="DK186" s="42" t="n">
        <f aca="false">IF(Tasks[[#This Row],[_Res4Text]]="",0,IFERROR(MATCH(TRIM(LEFT(Tasks[[#This Row],[_Res4Text]],FIND("[",Tasks[[#This Row],[_Res4Text]]&amp;"[")-1)),res_Name,0),IFERROR(MATCH(TRIM(LEFT(Tasks[[#This Row],[_Res4Text]],FIND("[",Tasks[[#This Row],[_Res4Text]]&amp;"[")-1)),res_Initials,0),0)))</f>
        <v>0</v>
      </c>
      <c r="DL186" s="42" t="str">
        <f aca="false">IF(Tasks[[#This Row],[_Res1Text]]="","",IF(Tasks[[#This Row],[_Res1Row]]&gt;0,INDEX(res_Name,Tasks[[#This Row],[_Res1Row]]),TRIM(LEFT(Tasks[[#This Row],[_Res1Text]],FIND("[",Tasks[[#This Row],[_Res1Text]]&amp;"[")-1))))</f>
        <v/>
      </c>
      <c r="DM18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6" s="42" t="n">
        <f aca="false">IF(NOT(Tasks[[#This Row],[_IsLeaf]]=1),0,(Tasks[[#This Row],[_Resource1]]&lt;&gt;"")+(Tasks[[#This Row],[_Res2]]&lt;&gt;"")+(Tasks[[#This Row],[_Res3]]&lt;&gt;"")+(Tasks[[#This Row],[_Res4]]&lt;&gt;""))</f>
        <v>0</v>
      </c>
      <c r="DO186" s="42" t="str">
        <f aca="false">IF(Tasks[[#This Row],[_Res2Text]]="","",IF(Tasks[[#This Row],[_Res2Row]]&gt;0,INDEX(res_Name,Tasks[[#This Row],[_Res2Row]]),TRIM(LEFT(Tasks[[#This Row],[_Res2Text]],FIND("[",Tasks[[#This Row],[_Res2Text]]&amp;"[")-1))))</f>
        <v/>
      </c>
      <c r="DP18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6" s="42" t="n">
        <f aca="false">IF(OR(NOT(Tasks[[#This Row],[_IsLeaf]]=1),Tasks[[#This Row],[_Res2Row]]=0),0,N(Tasks[[#This Row],[_Days]])*HoursPerDay*IF(Tasks[[#This Row],[_Res2Units]]="",DefaultUnits,Tasks[[#This Row],[_Res2Units]]))</f>
        <v>0</v>
      </c>
      <c r="DR186" s="42" t="n">
        <f aca="false">IF(AND(AND(Tasks[[#This Row],[_IsLeaf]]=1,Tasks[[#This Row],[_LeafTotalWork]]&gt;0),Tasks[[#This Row],[_Res2Work]]&gt;0),Tasks[[#This Row],[_Res2Work]]/(Tasks[[#This Row],[_FinishWorkday]]-Tasks[[#This Row],[_StartWorkday]]+1),0)</f>
        <v>0</v>
      </c>
      <c r="DS186" s="42" t="n">
        <f aca="false">Tasks[[#This Row],[_Res2WorkPerWD]]*MAX(0,Tasks[[#This Row],[_StartWorkday]]-1)</f>
        <v>0</v>
      </c>
      <c r="DT186" s="42" t="n">
        <f aca="false">Tasks[[#This Row],[_Res2Work]]*Tasks[[#This Row],[_LeafProgress]]</f>
        <v>0</v>
      </c>
      <c r="DU186" s="42" t="str">
        <f aca="false">IF(Tasks[[#This Row],[_Res3Text]]="","",IF(Tasks[[#This Row],[_Res3Row]]&gt;0,INDEX(res_Name,Tasks[[#This Row],[_Res3Row]]),TRIM(LEFT(Tasks[[#This Row],[_Res3Text]],FIND("[",Tasks[[#This Row],[_Res3Text]]&amp;"[")-1))))</f>
        <v/>
      </c>
      <c r="DV18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6" s="42" t="n">
        <f aca="false">IF(OR(NOT(Tasks[[#This Row],[_IsLeaf]]=1),Tasks[[#This Row],[_Res3Row]]=0),0,N(Tasks[[#This Row],[_Days]])*HoursPerDay*IF(Tasks[[#This Row],[_Res3Units]]="",DefaultUnits,Tasks[[#This Row],[_Res3Units]]))</f>
        <v>0</v>
      </c>
      <c r="DX186" s="42" t="n">
        <f aca="false">IF(AND(AND(Tasks[[#This Row],[_IsLeaf]]=1,Tasks[[#This Row],[_LeafTotalWork]]&gt;0),Tasks[[#This Row],[_Res3Work]]&gt;0),Tasks[[#This Row],[_Res3Work]]/(Tasks[[#This Row],[_FinishWorkday]]-Tasks[[#This Row],[_StartWorkday]]+1),0)</f>
        <v>0</v>
      </c>
      <c r="DY186" s="42" t="n">
        <f aca="false">Tasks[[#This Row],[_Res3WorkPerWD]]*MAX(0,Tasks[[#This Row],[_StartWorkday]]-1)</f>
        <v>0</v>
      </c>
      <c r="DZ186" s="42" t="n">
        <f aca="false">Tasks[[#This Row],[_Res3Work]]*Tasks[[#This Row],[_LeafProgress]]</f>
        <v>0</v>
      </c>
      <c r="EA186" s="42" t="str">
        <f aca="false">IF(Tasks[[#This Row],[_Res4Text]]="","",IF(Tasks[[#This Row],[_Res4Row]]&gt;0,INDEX(res_Name,Tasks[[#This Row],[_Res4Row]]),TRIM(LEFT(Tasks[[#This Row],[_Res4Text]],FIND("[",Tasks[[#This Row],[_Res4Text]]&amp;"[")-1))))</f>
        <v/>
      </c>
      <c r="EB18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6" s="42" t="n">
        <f aca="false">IF(OR(NOT(Tasks[[#This Row],[_IsLeaf]]=1),Tasks[[#This Row],[_Res4Row]]=0),0,N(Tasks[[#This Row],[_Days]])*HoursPerDay*IF(Tasks[[#This Row],[_Res4Units]]="",DefaultUnits,Tasks[[#This Row],[_Res4Units]]))</f>
        <v>0</v>
      </c>
      <c r="ED186" s="42" t="n">
        <f aca="false">IF(AND(AND(Tasks[[#This Row],[_IsLeaf]]=1,Tasks[[#This Row],[_LeafTotalWork]]&gt;0),Tasks[[#This Row],[_Res4Work]]&gt;0),Tasks[[#This Row],[_Res4Work]]/(Tasks[[#This Row],[_FinishWorkday]]-Tasks[[#This Row],[_StartWorkday]]+1),0)</f>
        <v>0</v>
      </c>
      <c r="EE186" s="42" t="n">
        <f aca="false">Tasks[[#This Row],[_Res4WorkPerWD]]*MAX(0,Tasks[[#This Row],[_StartWorkday]]-1)</f>
        <v>0</v>
      </c>
      <c r="EF186" s="42" t="n">
        <f aca="false">Tasks[[#This Row],[_Res4Work]]*Tasks[[#This Row],[_LeafProgress]]</f>
        <v>0</v>
      </c>
      <c r="EG186" s="42" t="n">
        <f aca="false">IF(ISNUMBER(Tasks[[#This Row],[% Complete]]),Tasks[[#This Row],[% Complete]],IF(Tasks[[#This Row],[Stage]]="",0,IFERROR(INDEX(stg_Pct,MATCH(Tasks[[#This Row],[Stage]],stg_Name,0)),0)))</f>
        <v>0</v>
      </c>
      <c r="EH186" s="42" t="n">
        <f aca="false">IF(NOT(Tasks[[#This Row],[_IsLeaf]]=1),0,IF(N(Tasks[[#This Row],[Actual Finish]])&gt;0,1,MIN(1,Tasks[[#This Row],[_Pct]])))</f>
        <v>0</v>
      </c>
      <c r="EI186" s="42" t="n">
        <f aca="false">IF(OR(NOT(Tasks[[#This Row],[_IsLeaf]]=1),Tasks[[#This Row],[_Res1Row]]=0),0,N(Tasks[[#This Row],[_Days]])*HoursPerDay*IF(Tasks[[#This Row],[_Units1]]="",DefaultUnits,Tasks[[#This Row],[_Units1]]))</f>
        <v>0</v>
      </c>
      <c r="EJ186" s="42" t="n">
        <f aca="false">Tasks[[#This Row],[_LeafWork]]+Tasks[[#This Row],[_Res2Work]]+Tasks[[#This Row],[_Res3Work]]+Tasks[[#This Row],[_Res4Work]]</f>
        <v>0</v>
      </c>
      <c r="EK18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6" s="42" t="n">
        <f aca="false">IF(NOT(Tasks[[#This Row],[_IsLeaf]]=1),0,MAX(_xlfn.MAXIFS(Tasks[_Row],Tasks[_Pred1UID],Tasks[[#This Row],[UID]]),_xlfn.MAXIFS(Tasks[_Row],Tasks[_Pred2UID],Tasks[[#This Row],[UID]]),_xlfn.MAXIFS(Tasks[_Row],Tasks[_Pred3UID],Tasks[[#This Row],[UID]]),_xlfn.MAXIFS(Tasks[_Row],Tasks[_Pred4UID],Tasks[[#This Row],[UID]])))</f>
        <v>0</v>
      </c>
      <c r="ET18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6" s="89" t="str">
        <f aca="false">IF(NOT(Tasks[[#This Row],[_IsLeaf]]=1),"",IF(N(Tasks[[#This Row],[_Days]])&lt;=0,Tasks[[#This Row],[_LeafLateFinish]],WORKDAY.INTL(Tasks[[#This Row],[_LeafLateFinish]],-(Tasks[[#This Row],[_Days]]-1),WorkWeek,Holidays)))</f>
        <v/>
      </c>
      <c r="EW18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6" s="88" t="b">
        <f aca="false">AND(Tasks[[#This Row],[_IsLeaf]]=1,Tasks[[#This Row],[_LeafProgress]]&lt;1,N(Tasks[[#This Row],[_LeafTotalSlack]])&lt;=CriticalSlackDays)</f>
        <v>0</v>
      </c>
      <c r="EY186" s="42" t="n">
        <f aca="false">IF(AND(Tasks[[#This Row],[_IsLeaf]]=1,Tasks[[#This Row],[_ConstraintCode]]=1,Tasks[[#This Row],[Mode]]&lt;&gt;"Manual",N(Tasks[[#This Row],[Actual Start]])=0),MAX(0,N(Tasks[[#This Row],[Free Slack]])),0)</f>
        <v>0</v>
      </c>
      <c r="EZ186" s="89" t="str">
        <f aca="false">IF(NOT(Tasks[[#This Row],[_IsLeaf]]=1),"",IF(Tasks[[#This Row],[_AlapShift]]=0,Tasks[[#This Row],[_LeafCalcStart]],WORKDAY.INTL(Tasks[[#This Row],[_LeafCalcStart]],Tasks[[#This Row],[_AlapShift]],WorkWeek,Holidays)))</f>
        <v/>
      </c>
      <c r="FA186" s="89" t="str">
        <f aca="false">IF(NOT(Tasks[[#This Row],[_IsLeaf]]=1),"",IF(Tasks[[#This Row],[_AlapShift]]=0,Tasks[[#This Row],[_LeafCalcFinish]],WORKDAY.INTL(Tasks[[#This Row],[_LeafCalcFinish]],Tasks[[#This Row],[_AlapShift]],WorkWeek,Holidays)))</f>
        <v/>
      </c>
      <c r="FB186" s="89" t="str">
        <f aca="false">IF(NOT(Tasks[[#This Row],[_IsLeaf]]=1),"",IF(Tasks[[#This Row],[_AlapShift]]=0,Tasks[[#This Row],[_LeafFcstStart]],WORKDAY.INTL(Tasks[[#This Row],[_LeafFcstStart]],Tasks[[#This Row],[_AlapShift]],WorkWeek,Holidays)))</f>
        <v/>
      </c>
      <c r="FC186" s="89" t="str">
        <f aca="false">IF(NOT(Tasks[[#This Row],[_IsLeaf]]=1),"",IF(Tasks[[#This Row],[_AlapShift]]=0,Tasks[[#This Row],[_LeafFcstFinish]],WORKDAY.INTL(Tasks[[#This Row],[_LeafFcstFinish]],Tasks[[#This Row],[_AlapShift]],WorkWeek,Holidays)))</f>
        <v/>
      </c>
      <c r="FD186" s="89" t="str">
        <f aca="false">IF(Tasks[[#This Row],[Task Name]]="","",IF(Tasks[[#This Row],[_IsSummary]],MIN(INDEX(Tasks[_ShownCalcStart],Tasks[[#This Row],[_Row]]+1):INDEX(Tasks[_ShownCalcStart],Tasks[[#This Row],[_Row]]+Tasks[[#This Row],[_Descendants]])),Tasks[[#This Row],[_ShownCalcStart]]))</f>
        <v/>
      </c>
      <c r="FE186" s="89" t="str">
        <f aca="false">IF(Tasks[[#This Row],[Task Name]]="","",IF(Tasks[[#This Row],[_IsSummary]],MAX(INDEX(Tasks[_ShownCalcFinish],Tasks[[#This Row],[_Row]]+1):INDEX(Tasks[_ShownCalcFinish],Tasks[[#This Row],[_Row]]+Tasks[[#This Row],[_Descendants]])),Tasks[[#This Row],[_ShownCalcFinish]]))</f>
        <v/>
      </c>
      <c r="FF18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6" s="42" t="n">
        <f aca="false">IF(AND(Tasks[[#This Row],[_IsLeaf]]=1,Tasks[[#This Row],[_LeafTotalWork]]&gt;0),NETWORKDAYS.INTL(ProjectStart,Tasks[[#This Row],[_ShownFcstStart]],WorkWeek,Holidays),0)</f>
        <v>0</v>
      </c>
      <c r="FS186" s="42" t="n">
        <f aca="false">IF(AND(Tasks[[#This Row],[_IsLeaf]]=1,Tasks[[#This Row],[_LeafTotalWork]]&gt;0),MAX(Tasks[[#This Row],[_StartWorkday]],NETWORKDAYS.INTL(ProjectStart,Tasks[[#This Row],[_ShownFcstFinish]],WorkWeek,Holidays)),0)</f>
        <v>0</v>
      </c>
      <c r="FT186" s="42" t="n">
        <f aca="false">IF(AND(Tasks[[#This Row],[_IsLeaf]]=1,Tasks[[#This Row],[_LeafTotalWork]]&gt;0),Tasks[[#This Row],[_LeafWork]]/(Tasks[[#This Row],[_FinishWorkday]]-Tasks[[#This Row],[_StartWorkday]]+1),0)</f>
        <v>0</v>
      </c>
      <c r="FU186" s="42" t="n">
        <f aca="false">Tasks[[#This Row],[_WorkPerWorkday]]*(Tasks[[#This Row],[_StartWorkday]]-1)</f>
        <v>-0</v>
      </c>
      <c r="FV186" s="42" t="n">
        <f aca="false">IF(Tasks[[#This Row],[_IsLeaf]]=1,MAX(N(Tasks[[#This Row],[_Days]]),0.1),0)</f>
        <v>0</v>
      </c>
      <c r="FW186" s="42" t="n">
        <f aca="false">Tasks[[#This Row],[_WeightDur]]*Tasks[[#This Row],[_LeafProgress]]</f>
        <v>0</v>
      </c>
      <c r="FX186" s="42" t="n">
        <f aca="false">Tasks[[#This Row],[_WeightDur]]*Tasks[[#This Row],[_PlannedPct]]</f>
        <v>0</v>
      </c>
      <c r="FY18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6" s="42" t="str">
        <f aca="false">IF(AND(Tasks[[#This Row],[_IsLeaf]]=1,N(Tasks[[#This Row],[_Days]])=0,Tasks[[#This Row],[_LeafProgress]]&lt;1),Tasks[[#This Row],[_ShownFcstFinish]]+Tasks[[#This Row],[_Row]]/100000,"")</f>
        <v/>
      </c>
      <c r="GA18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6" s="42" t="str">
        <f aca="false">IF(Tasks[[#This Row],[Task Name]]="","",LEFT(Tasks[[#This Row],[WBS]],FIND(".",Tasks[[#This Row],[WBS]]&amp;".")-1))</f>
        <v/>
      </c>
      <c r="GC186" s="42" t="str">
        <f aca="false">IF(AND(Tasks[[#This Row],[Task Name]]&lt;&gt;"",Tasks[[#This Row],[_Level]]=1),Tasks[[#This Row],[_Row]],"")</f>
        <v/>
      </c>
      <c r="GD186" s="42" t="str">
        <f aca="false">IF(AND(Tasks[[#This Row],[_IsLeaf]]=1,N(Tasks[[#This Row],[_Days]])=0),Tasks[[#This Row],[Planned Finish]]+Tasks[[#This Row],[_Row]]/100000,"")</f>
        <v/>
      </c>
      <c r="GE186" s="42" t="str">
        <f aca="false">IF(AND(Tasks[[#This Row],[_IsLeaf]]=1,Tasks[[#This Row],[_LeafProgress]]&lt;1,OR(N(Tasks[[#This Row],[Finish Var]])&gt;0,Tasks[[#This Row],[Status]]="Late Start")),MAX(0,Tasks[[#This Row],[Finish Var]])+1-Tasks[[#This Row],[_Row]]/1000000,"")</f>
        <v/>
      </c>
      <c r="GF186" s="42" t="str">
        <f aca="false">IF(AND(Tasks[[#This Row],[_IsLeaf]]=1,N(Tasks[[#This Row],[Actual Start]])=0,Tasks[[#This Row],[_ShownFcstStart]]&gt;=StatusDate,Tasks[[#This Row],[_ShownFcstStart]]&lt;=LookaheadEnd),Tasks[[#This Row],[_ShownFcstStart]]+Tasks[[#This Row],[_Row]]/100000,"")</f>
        <v/>
      </c>
      <c r="GG186" s="42" t="str">
        <f aca="false">IF(AND(Tasks[[#This Row],[_IsLeaf]]=1,Tasks[[#This Row],[_LeafProgress]]&lt;1,Tasks[[#This Row],[_ShownFcstFinish]]&gt;=StatusDate,Tasks[[#This Row],[_ShownFcstFinish]]&lt;=LookaheadEnd),Tasks[[#This Row],[_ShownFcstFinish]]+Tasks[[#This Row],[_Row]]/100000,"")</f>
        <v/>
      </c>
      <c r="GH186" s="42" t="str">
        <f aca="false">IF(Tasks[[#This Row],[_LeafCritical]],Tasks[[#This Row],[_ShownFcstStart]]+Tasks[[#This Row],[_Row]]/100000,"")</f>
        <v/>
      </c>
      <c r="GI186" s="42" t="n">
        <f aca="false">Tasks[[#This Row],[_LeafWork]]*Tasks[[#This Row],[_LeafProgress]]</f>
        <v>0</v>
      </c>
      <c r="GJ186" s="89" t="str">
        <f aca="false">IF(AND(Tasks[[#This Row],[_IsLeaf]]=1,Tasks[[#This Row],[_LeafProgress]]&gt;=1),IF(N(Tasks[[#This Row],[Actual Finish]])&gt;0,Tasks[[#This Row],[Actual Finish]],Tasks[[#This Row],[_ShownFcstFinish]]),"")</f>
        <v/>
      </c>
      <c r="GK186" s="42" t="n">
        <f aca="false">IF(Tasks[[#This Row],[_IsLeaf]]=1,N(Tasks[[#This Row],[Story Points]]),0)</f>
        <v>0</v>
      </c>
      <c r="GL186" s="42" t="str">
        <f aca="false">""</f>
        <v/>
      </c>
      <c r="GM186" s="88" t="b">
        <f aca="false">IF(Tasks[[#This Row],[Task Name]]="",FALSE(),AND(Tasks[[#This Row],[_IsLeaf]]=1,N(Tasks[[#This Row],[_Days]])=0))</f>
        <v>0</v>
      </c>
      <c r="GN186" s="89" t="n">
        <f aca="false">IF(Tasks[[#This Row],[Task Name]]="",0,IF(AND(Tasks[[#This Row],[_IsLeaf]]=1,NOT(Tasks[[#This Row],[_IsMilestone]]),N(Tasks[[#This Row],[Progress]])&gt;0),Tasks[[#This Row],[Start]],0))</f>
        <v>0</v>
      </c>
      <c r="GO186" s="89" t="n">
        <f aca="false">IF(Tasks[[#This Row],[_DoneFrom]]=0,0,IF(Tasks[[#This Row],[Progress]]&gt;=1,Tasks[[#This Row],[Finish]],MAX(Tasks[[#This Row],[_DoneFrom]],Tasks[[#This Row],[Start]]+ROUND((Tasks[[#This Row],[Finish]]-Tasks[[#This Row],[Start]]+1)*Tasks[[#This Row],[Progress]],0)-1)))</f>
        <v>0</v>
      </c>
      <c r="GP186" s="89" t="n">
        <f aca="false">IF(Tasks[[#This Row],[Task Name]]="",0,IF(OR(NOT(Tasks[[#This Row],[_IsLeaf]]=1),Tasks[[#This Row],[_IsMilestone]],N(Tasks[[#This Row],[Progress]])&gt;=1),0,IF(Tasks[[#This Row],[_DoneTo]]&gt;0,Tasks[[#This Row],[_DoneTo]]+1,Tasks[[#This Row],[Start]])))</f>
        <v>0</v>
      </c>
      <c r="GQ186" s="89" t="n">
        <f aca="false">IF(Tasks[[#This Row],[_RemFrom]]=0,0,Tasks[[#This Row],[Finish]])</f>
        <v>0</v>
      </c>
      <c r="GR186" s="88" t="b">
        <f aca="false">IF(Tasks[[#This Row],[Task Name]]="",FALSE(),OR(NOT(BaselineSet),N(Tasks[[#This Row],[Baseline Start]])&gt;0))</f>
        <v>0</v>
      </c>
      <c r="GS18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6" s="90" t="str">
        <f aca="false">IF(Tasks[[#This Row],[_IsLeaf]]=1,Tasks[[#This Row],[_Row]],"")</f>
        <v/>
      </c>
      <c r="GW186" s="90" t="str">
        <f aca="false">IFERROR(INDEX(Tasks[UID],SMALL(Tasks[_PickKey],Tasks[[#This Row],[_Row]]))&amp;" "&amp;INDEX(Tasks[Task Name],SMALL(Tasks[_PickKey],Tasks[[#This Row],[_Row]])),"")</f>
        <v/>
      </c>
      <c r="GX186" s="42" t="str">
        <f aca="false">IF(Tasks[[#This Row],[Task Name]]="","",IF(Tasks[[#This Row],[_IsSummary]],NETWORKDAYS.INTL(Tasks[[#This Row],[Start]],Tasks[[#This Row],[Finish]],WorkWeek,Holidays),N(Tasks[[#This Row],[_Days]])))</f>
        <v/>
      </c>
    </row>
    <row r="187" customFormat="false" ht="15" hidden="false" customHeight="false" outlineLevel="0" collapsed="false">
      <c r="A187" s="21" t="str">
        <f aca="false">IF(Tasks[[#This Row],[Task Name]]="","",COUNTA(Tasks[[#Headers],[Task Name]]:Tasks[[#This Row],[Task Name]])-1)</f>
        <v/>
      </c>
      <c r="B187" s="22" t="n">
        <v>195</v>
      </c>
      <c r="C187" s="22"/>
      <c r="D187" s="23"/>
      <c r="E187" s="22"/>
      <c r="F187" s="23"/>
      <c r="G187" s="22"/>
      <c r="H187" s="22"/>
      <c r="I187" s="23"/>
      <c r="J187" s="22"/>
      <c r="K187" s="22"/>
      <c r="L187" s="23"/>
      <c r="M187" s="22"/>
      <c r="N187" s="22"/>
      <c r="O187" s="23"/>
      <c r="P187" s="22"/>
      <c r="Q187" s="22"/>
      <c r="R187" s="23"/>
      <c r="S187" s="23"/>
      <c r="T187" s="83"/>
      <c r="U187" s="23"/>
      <c r="V187" s="83"/>
      <c r="W187" s="23"/>
      <c r="X187" s="83"/>
      <c r="Y187" s="23"/>
      <c r="Z187" s="83"/>
      <c r="AA187" s="23"/>
      <c r="AB187" s="23"/>
      <c r="AC187" s="7"/>
      <c r="AD187" s="7"/>
      <c r="AE187" s="62" t="str">
        <f aca="false">IF(Tasks[[#This Row],[Task Name]]="","",IF(Tasks[[#This Row],[_IsSummary]],MIN(INDEX(Tasks[_ShownFcstStart],Tasks[[#This Row],[_Row]]+1):INDEX(Tasks[_ShownFcstStart],Tasks[[#This Row],[_Row]]+Tasks[[#This Row],[_Descendants]])),Tasks[[#This Row],[_ShownFcstStart]]))</f>
        <v/>
      </c>
      <c r="AF187" s="62" t="str">
        <f aca="false">IF(Tasks[[#This Row],[Task Name]]="","",IF(Tasks[[#This Row],[_IsSummary]],MAX(INDEX(Tasks[_ShownFcstFinish],Tasks[[#This Row],[_Row]]+1):INDEX(Tasks[_ShownFcstFinish],Tasks[[#This Row],[_Row]]+Tasks[[#This Row],[_Descendants]])),Tasks[[#This Row],[_ShownFcstFinish]]))</f>
        <v/>
      </c>
      <c r="AG187" s="21" t="str">
        <f aca="false">""</f>
        <v/>
      </c>
      <c r="AH187" s="23"/>
      <c r="AI18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7" s="7"/>
      <c r="AK187" s="22"/>
      <c r="AL187" s="23"/>
      <c r="AM187" s="7"/>
      <c r="AN187" s="46" t="str">
        <f aca="false">IF(Tasks[[#This Row],[Task Name]]="","",IF(Tasks[[#This Row],[Finish]]&gt;=Tasks[[#This Row],[Planned Finish]],NETWORKDAYS.INTL(Tasks[[#This Row],[Planned Finish]],Tasks[[#This Row],[Finish]],WorkWeek,Holidays)-1,1-NETWORKDAYS.INTL(Tasks[[#This Row],[Finish]],Tasks[[#This Row],[Planned Finish]],WorkWeek,Holidays)))</f>
        <v/>
      </c>
      <c r="AO187" s="21" t="str">
        <f aca="false">IF(Tasks[[#This Row],[Task Name]]="","",IF(Tasks[[#This Row],[Progress]]&gt;=1,"Complete",IF(OR(N(Tasks[[#This Row],[Actual Start]])&gt;0,Tasks[[#This Row],[Progress]]&gt;0),IF(Tasks[[#This Row],[Finish Var]]&gt;0,"Behind","In Progress"),IF(Tasks[[#This Row],[Planned Start]]&lt;StatusDate,"Late Start","Not Started"))))</f>
        <v/>
      </c>
      <c r="AP187" s="21" t="str">
        <f aca="false">IF(Tasks[[#This Row],[Task Name]]="","",IF(IF(Tasks[[#This Row],[_IsSummary]],COUNTIF(INDEX(Tasks[_LeafCritical],Tasks[[#This Row],[_Row]]+1):INDEX(Tasks[_LeafCritical],Tasks[[#This Row],[_Row]]+Tasks[[#This Row],[_Descendants]]),TRUE())&gt;0,Tasks[[#This Row],[_LeafCritical]]),"Yes",""))</f>
        <v/>
      </c>
      <c r="AQ187" s="62" t="str">
        <f aca="false">IF(Tasks[[#This Row],[Task Name]]="","",IF(N(Tasks[[#This Row],[Baseline Start]])&gt;0,Tasks[[#This Row],[Baseline Start]],Tasks[[#This Row],[_CalcStart]]))</f>
        <v/>
      </c>
      <c r="AR187" s="62" t="str">
        <f aca="false">IF(Tasks[[#This Row],[Task Name]]="","",IF(N(Tasks[[#This Row],[Baseline Finish]])&gt;0,Tasks[[#This Row],[Baseline Finish]],Tasks[[#This Row],[_CalcFinish]]))</f>
        <v/>
      </c>
      <c r="AS187" s="46" t="str">
        <f aca="false">IF(Tasks[[#This Row],[Task Name]]="","",IF(Tasks[[#This Row],[Start]]&gt;=Tasks[[#This Row],[Planned Start]],NETWORKDAYS.INTL(Tasks[[#This Row],[Planned Start]],Tasks[[#This Row],[Start]],WorkWeek,Holidays)-1,1-NETWORKDAYS.INTL(Tasks[[#This Row],[Start]],Tasks[[#This Row],[Planned Start]],WorkWeek,Holidays)))</f>
        <v/>
      </c>
      <c r="AT187" s="62" t="str">
        <f aca="false">IF(Tasks[[#This Row],[Task Name]]="","",IF(Tasks[[#This Row],[_IsSummary]],MIN(INDEX(Tasks[_LeafLateStart],Tasks[[#This Row],[_Row]]+1):INDEX(Tasks[_LeafLateStart],Tasks[[#This Row],[_Row]]+Tasks[[#This Row],[_Descendants]])),Tasks[[#This Row],[_LeafLateStart]]))</f>
        <v/>
      </c>
      <c r="AU187" s="62" t="str">
        <f aca="false">IF(Tasks[[#This Row],[Task Name]]="","",IF(Tasks[[#This Row],[_IsSummary]],MAX(INDEX(Tasks[_LeafLateFinish],Tasks[[#This Row],[_Row]]+1):INDEX(Tasks[_LeafLateFinish],Tasks[[#This Row],[_Row]]+Tasks[[#This Row],[_Descendants]])),Tasks[[#This Row],[_LeafLateFinish]]))</f>
        <v/>
      </c>
      <c r="AV187" s="46" t="str">
        <f aca="false">IF(Tasks[[#This Row],[Task Name]]="","",IF(Tasks[[#This Row],[_IsSummary]],MIN(INDEX(Tasks[_LeafTotalSlack],Tasks[[#This Row],[_Row]]+1):INDEX(Tasks[_LeafTotalSlack],Tasks[[#This Row],[_Row]]+Tasks[[#This Row],[_Descendants]])),Tasks[[#This Row],[_LeafTotalSlack]]))</f>
        <v/>
      </c>
      <c r="AW18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4"/>
      <c r="BA18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t="str">
        <f aca="false">IF(Tasks[[#This Row],[Task Name]]="","",IF(Tasks[[#This Row],[_Level]]&lt;=OutlineShowLevel,"Yes","No"))</f>
        <v/>
      </c>
      <c r="BE187" s="85" t="str">
        <f aca="false">IF(Tasks[[#This Row],[Task Name]]="","",IF(Tasks[[#This Row],[_IsSummary]],SUM(INDEX(Tasks[_LeafTotalWork],Tasks[[#This Row],[_Row]]+1):INDEX(Tasks[_LeafTotalWork],Tasks[[#This Row],[_Row]]+Tasks[[#This Row],[_Descendants]])),Tasks[[#This Row],[_LeafTotalWork]]))</f>
        <v/>
      </c>
      <c r="BF187" s="23"/>
      <c r="BG18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t="str">
        <f aca="false">""</f>
        <v/>
      </c>
      <c r="BI187" s="86"/>
      <c r="BJ187" s="22"/>
      <c r="BK187" s="46" t="str">
        <f aca="false">IF(OR(Tasks[[#This Row],[Task Name]]="",Tasks[[#This Row],[Baseline Duration]]=""),"",Tasks[[#This Row],[_SpanDays]]-N(Tasks[[#This Row],[Baseline Duration]]))</f>
        <v/>
      </c>
      <c r="BL187" s="85" t="str">
        <f aca="false">IF(OR(Tasks[[#This Row],[Task Name]]="",Tasks[[#This Row],[Baseline Work]]=""),"",Tasks[[#This Row],[Work]]-N(Tasks[[#This Row],[Baseline Work]]))</f>
        <v/>
      </c>
      <c r="BM187" s="62" t="str">
        <f aca="false">IF(Tasks[[#This Row],[Task Name]]="","",IF(OR(TakeBaseline="Yes",N(Tasks[[#This Row],[Baseline Start]])=0),Tasks[[#This Row],[Start]],Tasks[[#This Row],[Baseline Start]]))</f>
        <v/>
      </c>
      <c r="BN187" s="62" t="str">
        <f aca="false">IF(Tasks[[#This Row],[Task Name]]="","",IF(OR(TakeBaseline="Yes",N(Tasks[[#This Row],[Baseline Finish]])=0),Tasks[[#This Row],[Finish]],Tasks[[#This Row],[Baseline Finish]]))</f>
        <v/>
      </c>
      <c r="BO187" s="21" t="str">
        <f aca="false">IF(Tasks[[#This Row],[Task Name]]="","",IF(OR(TakeBaseline="Yes",N(Tasks[[#This Row],[Baseline Duration]])=0),Tasks[[#This Row],[_SpanDays]],Tasks[[#This Row],[Baseline Duration]]))</f>
        <v/>
      </c>
      <c r="BP187" s="85" t="str">
        <f aca="false">IF(Tasks[[#This Row],[Task Name]]="","",IF(OR(TakeBaseline="Yes",N(Tasks[[#This Row],[Baseline Work]])=0),Tasks[[#This Row],[Work]],Tasks[[#This Row],[Baseline Work]]))</f>
        <v/>
      </c>
      <c r="BQ187" s="7"/>
      <c r="BR187" s="7"/>
      <c r="BS187" s="22"/>
      <c r="BT187" s="87"/>
      <c r="BU187" s="42" t="str">
        <f aca="false">IF(Tasks[[#This Row],[Task Name]]="","",MAX(1,N(Tasks[[#This Row],[Level]])))</f>
        <v/>
      </c>
      <c r="BV187" s="42" t="n">
        <f aca="false">ROW()-ROW(Tasks[[#Headers],[ID]])</f>
        <v>182</v>
      </c>
      <c r="BW187" s="42" t="n">
        <f aca="false">IF(OR(Tasks[[#This Row],[Task Name]]="",Tasks[[#This Row],[_Level]]&lt;=1),0,IFERROR(LOOKUP(2,1/(Tasks[[#Headers],[_Level]]:Tasks[[#This Row],[_Level]]=Tasks[[#This Row],[_Level]]-1),ROW(Tasks[[#Headers],[_Level]]:Tasks[[#This Row],[_Level]])),0))</f>
        <v>0</v>
      </c>
      <c r="BX187" s="42" t="n">
        <f aca="false">IFERROR(N(INDEX(Tasks[_Level],Tasks[[#This Row],[_Row]]+1)),0)</f>
        <v>0</v>
      </c>
      <c r="BY187" s="88" t="b">
        <f aca="false">AND(Tasks[[#This Row],[Task Name]]&lt;&gt;"",Tasks[[#This Row],[_NextLevel]]&gt;Tasks[[#This Row],[_Level]])</f>
        <v>0</v>
      </c>
      <c r="BZ187" s="42" t="n">
        <f aca="false">IF(Tasks[[#This Row],[_IsSummary]],COUNTIF(Tasks[WBS],Tasks[[#This Row],[WBS]]&amp;".*"),0)</f>
        <v>0</v>
      </c>
      <c r="CA187" s="42" t="n">
        <f aca="false">IF(AND(Tasks[[#This Row],[Task Name]]&lt;&gt;"",NOT(Tasks[[#This Row],[_IsSummary]])),1,0)</f>
        <v>0</v>
      </c>
      <c r="CB187" s="42" t="n">
        <f aca="false">IF(N(Tasks[[#This Row],[_Pred1UID]])=0,0,IFERROR(MATCH(Tasks[[#This Row],[_Pred1UID]],Tasks[UID],0),-1))</f>
        <v>0</v>
      </c>
      <c r="CC187" s="42" t="n">
        <f aca="false">IF(N(Tasks[[#This Row],[_Pred2UID]])=0,0,IFERROR(MATCH(Tasks[[#This Row],[_Pred2UID]],Tasks[UID],0),-1))</f>
        <v>0</v>
      </c>
      <c r="CD187" s="42" t="n">
        <f aca="false">IF(N(Tasks[[#This Row],[_Pred3UID]])=0,0,IFERROR(MATCH(Tasks[[#This Row],[_Pred3UID]],Tasks[UID],0),-1))</f>
        <v>0</v>
      </c>
      <c r="CE187" s="42" t="n">
        <f aca="false">IF(N(Tasks[[#This Row],[_Pred4UID]])=0,0,IFERROR(MATCH(Tasks[[#This Row],[_Pred4UID]],Tasks[UID],0),-1))</f>
        <v>0</v>
      </c>
      <c r="CF18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7" s="89" t="n">
        <f aca="false">IF(OR(Tasks[[#This Row],[_ConstraintCode]]=2,Tasks[[#This Row],[_ConstraintCode]]=3,Tasks[[#This Row],[_ConstraintCode]]=4,Tasks[[#This Row],[_ConstraintCode]]=6),Tasks[[#This Row],[_ConstraintStart]],0)</f>
        <v>0</v>
      </c>
      <c r="CI187" s="89" t="n">
        <f aca="false">IF(OR(Tasks[[#This Row],[_ConstraintCode]]=2,Tasks[[#This Row],[_ConstraintCode]]=3,Tasks[[#This Row],[_ConstraintCode]]=5,Tasks[[#This Row],[_ConstraintCode]]=7),Tasks[[#This Row],[_ConstraintStart]],2958465)</f>
        <v>2958465</v>
      </c>
      <c r="CJ18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7" s="89" t="str">
        <f aca="false">IF(NOT(Tasks[[#This Row],[_IsLeaf]]=1),"",IF(N(Tasks[[#This Row],[_Days]])&lt;=0,Tasks[[#This Row],[_LeafCalcStart]],WORKDAY.INTL(Tasks[[#This Row],[_LeafCalcStart]],Tasks[[#This Row],[_Days]]-1,WorkWeek,Holidays)))</f>
        <v/>
      </c>
      <c r="CL18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7" s="42" t="str">
        <f aca="false">IF(Tasks[[#This Row],[_Predecessors]]="","",TRIM(MID(SUBSTITUTE(SUBSTITUTE(SUBSTITUTE(UPPER(Tasks[[#This Row],[_Predecessors]]),";",",")," ",""),",",REPT(" ",99)),1,99)))</f>
        <v/>
      </c>
      <c r="CO187" s="42" t="str">
        <f aca="false">IF(Tasks[[#This Row],[_Pred1Text]]="","",IFERROR(VALUE(LEFT(Tasks[[#This Row],[_Pred1Text]],MIN(FIND("F",Tasks[[#This Row],[_Pred1Text]]&amp;"F"),FIND("S",Tasks[[#This Row],[_Pred1Text]]&amp;"S"),FIND("+",Tasks[[#This Row],[_Pred1Text]]&amp;"+"),FIND("-",Tasks[[#This Row],[_Pred1Text]]&amp;"-"))-1)),""))</f>
        <v/>
      </c>
      <c r="CP18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7" s="42" t="str">
        <f aca="false">IF(Tasks[[#This Row],[_Pred1Text]]="","",TRIM(MID(SUBSTITUTE(SUBSTITUTE(SUBSTITUTE(UPPER(Tasks[[#This Row],[_Predecessors]]),";",",")," ",""),",",REPT(" ",99)),100,99)))</f>
        <v/>
      </c>
      <c r="CS187" s="42" t="str">
        <f aca="false">IF(Tasks[[#This Row],[_Pred2Text]]="","",IFERROR(VALUE(LEFT(Tasks[[#This Row],[_Pred2Text]],MIN(FIND("F",Tasks[[#This Row],[_Pred2Text]]&amp;"F"),FIND("S",Tasks[[#This Row],[_Pred2Text]]&amp;"S"),FIND("+",Tasks[[#This Row],[_Pred2Text]]&amp;"+"),FIND("-",Tasks[[#This Row],[_Pred2Text]]&amp;"-"))-1)),""))</f>
        <v/>
      </c>
      <c r="CT18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7" s="42" t="str">
        <f aca="false">IF(Tasks[[#This Row],[_Pred2Text]]="","",TRIM(MID(SUBSTITUTE(SUBSTITUTE(SUBSTITUTE(UPPER(Tasks[[#This Row],[_Predecessors]]),";",",")," ",""),",",REPT(" ",99)),199,99)))</f>
        <v/>
      </c>
      <c r="CW187" s="42" t="str">
        <f aca="false">IF(Tasks[[#This Row],[_Pred3Text]]="","",IFERROR(VALUE(LEFT(Tasks[[#This Row],[_Pred3Text]],MIN(FIND("F",Tasks[[#This Row],[_Pred3Text]]&amp;"F"),FIND("S",Tasks[[#This Row],[_Pred3Text]]&amp;"S"),FIND("+",Tasks[[#This Row],[_Pred3Text]]&amp;"+"),FIND("-",Tasks[[#This Row],[_Pred3Text]]&amp;"-"))-1)),""))</f>
        <v/>
      </c>
      <c r="CX18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7" s="42" t="str">
        <f aca="false">IF(Tasks[[#This Row],[_Pred3Text]]="","",TRIM(MID(SUBSTITUTE(SUBSTITUTE(SUBSTITUTE(UPPER(Tasks[[#This Row],[_Predecessors]]),";",",")," ",""),",",REPT(" ",99)),298,99)))</f>
        <v/>
      </c>
      <c r="DA187" s="42" t="str">
        <f aca="false">IF(Tasks[[#This Row],[_Pred4Text]]="","",IFERROR(VALUE(LEFT(Tasks[[#This Row],[_Pred4Text]],MIN(FIND("F",Tasks[[#This Row],[_Pred4Text]]&amp;"F"),FIND("S",Tasks[[#This Row],[_Pred4Text]]&amp;"S"),FIND("+",Tasks[[#This Row],[_Pred4Text]]&amp;"+"),FIND("-",Tasks[[#This Row],[_Pred4Text]]&amp;"-"))-1)),""))</f>
        <v/>
      </c>
      <c r="DB18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7" s="42" t="str">
        <f aca="false">IF(OR(Tasks[[#This Row],[Task Name]]="",Tasks[[#This Row],[_Resources]]=""),"",TRIM(MID(SUBSTITUTE(Tasks[[#This Row],[_Resources]],",",REPT(" ",99)),1,99)))</f>
        <v/>
      </c>
      <c r="DE187" s="42" t="str">
        <f aca="false">IF(Tasks[[#This Row],[_Res1Text]]="","",TRIM(MID(SUBSTITUTE(Tasks[[#This Row],[_Resources]],",",REPT(" ",99)),100,99)))</f>
        <v/>
      </c>
      <c r="DF187" s="42" t="str">
        <f aca="false">IF(Tasks[[#This Row],[_Res2Text]]="","",TRIM(MID(SUBSTITUTE(Tasks[[#This Row],[_Resources]],",",REPT(" ",99)),199,99)))</f>
        <v/>
      </c>
      <c r="DG187" s="42" t="str">
        <f aca="false">IF(Tasks[[#This Row],[_Res3Text]]="","",TRIM(MID(SUBSTITUTE(Tasks[[#This Row],[_Resources]],",",REPT(" ",99)),298,99)))</f>
        <v/>
      </c>
      <c r="DH187" s="42" t="n">
        <f aca="false">IF(Tasks[[#This Row],[_Res1Text]]="",0,IFERROR(MATCH(TRIM(LEFT(Tasks[[#This Row],[_Res1Text]],FIND("[",Tasks[[#This Row],[_Res1Text]]&amp;"[")-1)),res_Name,0),IFERROR(MATCH(TRIM(LEFT(Tasks[[#This Row],[_Res1Text]],FIND("[",Tasks[[#This Row],[_Res1Text]]&amp;"[")-1)),res_Initials,0),0)))</f>
        <v>0</v>
      </c>
      <c r="DI187" s="42" t="n">
        <f aca="false">IF(Tasks[[#This Row],[_Res2Text]]="",0,IFERROR(MATCH(TRIM(LEFT(Tasks[[#This Row],[_Res2Text]],FIND("[",Tasks[[#This Row],[_Res2Text]]&amp;"[")-1)),res_Name,0),IFERROR(MATCH(TRIM(LEFT(Tasks[[#This Row],[_Res2Text]],FIND("[",Tasks[[#This Row],[_Res2Text]]&amp;"[")-1)),res_Initials,0),0)))</f>
        <v>0</v>
      </c>
      <c r="DJ187" s="42" t="n">
        <f aca="false">IF(Tasks[[#This Row],[_Res3Text]]="",0,IFERROR(MATCH(TRIM(LEFT(Tasks[[#This Row],[_Res3Text]],FIND("[",Tasks[[#This Row],[_Res3Text]]&amp;"[")-1)),res_Name,0),IFERROR(MATCH(TRIM(LEFT(Tasks[[#This Row],[_Res3Text]],FIND("[",Tasks[[#This Row],[_Res3Text]]&amp;"[")-1)),res_Initials,0),0)))</f>
        <v>0</v>
      </c>
      <c r="DK187" s="42" t="n">
        <f aca="false">IF(Tasks[[#This Row],[_Res4Text]]="",0,IFERROR(MATCH(TRIM(LEFT(Tasks[[#This Row],[_Res4Text]],FIND("[",Tasks[[#This Row],[_Res4Text]]&amp;"[")-1)),res_Name,0),IFERROR(MATCH(TRIM(LEFT(Tasks[[#This Row],[_Res4Text]],FIND("[",Tasks[[#This Row],[_Res4Text]]&amp;"[")-1)),res_Initials,0),0)))</f>
        <v>0</v>
      </c>
      <c r="DL187" s="42" t="str">
        <f aca="false">IF(Tasks[[#This Row],[_Res1Text]]="","",IF(Tasks[[#This Row],[_Res1Row]]&gt;0,INDEX(res_Name,Tasks[[#This Row],[_Res1Row]]),TRIM(LEFT(Tasks[[#This Row],[_Res1Text]],FIND("[",Tasks[[#This Row],[_Res1Text]]&amp;"[")-1))))</f>
        <v/>
      </c>
      <c r="DM18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7" s="42" t="n">
        <f aca="false">IF(NOT(Tasks[[#This Row],[_IsLeaf]]=1),0,(Tasks[[#This Row],[_Resource1]]&lt;&gt;"")+(Tasks[[#This Row],[_Res2]]&lt;&gt;"")+(Tasks[[#This Row],[_Res3]]&lt;&gt;"")+(Tasks[[#This Row],[_Res4]]&lt;&gt;""))</f>
        <v>0</v>
      </c>
      <c r="DO187" s="42" t="str">
        <f aca="false">IF(Tasks[[#This Row],[_Res2Text]]="","",IF(Tasks[[#This Row],[_Res2Row]]&gt;0,INDEX(res_Name,Tasks[[#This Row],[_Res2Row]]),TRIM(LEFT(Tasks[[#This Row],[_Res2Text]],FIND("[",Tasks[[#This Row],[_Res2Text]]&amp;"[")-1))))</f>
        <v/>
      </c>
      <c r="DP18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7" s="42" t="n">
        <f aca="false">IF(OR(NOT(Tasks[[#This Row],[_IsLeaf]]=1),Tasks[[#This Row],[_Res2Row]]=0),0,N(Tasks[[#This Row],[_Days]])*HoursPerDay*IF(Tasks[[#This Row],[_Res2Units]]="",DefaultUnits,Tasks[[#This Row],[_Res2Units]]))</f>
        <v>0</v>
      </c>
      <c r="DR187" s="42" t="n">
        <f aca="false">IF(AND(AND(Tasks[[#This Row],[_IsLeaf]]=1,Tasks[[#This Row],[_LeafTotalWork]]&gt;0),Tasks[[#This Row],[_Res2Work]]&gt;0),Tasks[[#This Row],[_Res2Work]]/(Tasks[[#This Row],[_FinishWorkday]]-Tasks[[#This Row],[_StartWorkday]]+1),0)</f>
        <v>0</v>
      </c>
      <c r="DS187" s="42" t="n">
        <f aca="false">Tasks[[#This Row],[_Res2WorkPerWD]]*MAX(0,Tasks[[#This Row],[_StartWorkday]]-1)</f>
        <v>0</v>
      </c>
      <c r="DT187" s="42" t="n">
        <f aca="false">Tasks[[#This Row],[_Res2Work]]*Tasks[[#This Row],[_LeafProgress]]</f>
        <v>0</v>
      </c>
      <c r="DU187" s="42" t="str">
        <f aca="false">IF(Tasks[[#This Row],[_Res3Text]]="","",IF(Tasks[[#This Row],[_Res3Row]]&gt;0,INDEX(res_Name,Tasks[[#This Row],[_Res3Row]]),TRIM(LEFT(Tasks[[#This Row],[_Res3Text]],FIND("[",Tasks[[#This Row],[_Res3Text]]&amp;"[")-1))))</f>
        <v/>
      </c>
      <c r="DV18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7" s="42" t="n">
        <f aca="false">IF(OR(NOT(Tasks[[#This Row],[_IsLeaf]]=1),Tasks[[#This Row],[_Res3Row]]=0),0,N(Tasks[[#This Row],[_Days]])*HoursPerDay*IF(Tasks[[#This Row],[_Res3Units]]="",DefaultUnits,Tasks[[#This Row],[_Res3Units]]))</f>
        <v>0</v>
      </c>
      <c r="DX187" s="42" t="n">
        <f aca="false">IF(AND(AND(Tasks[[#This Row],[_IsLeaf]]=1,Tasks[[#This Row],[_LeafTotalWork]]&gt;0),Tasks[[#This Row],[_Res3Work]]&gt;0),Tasks[[#This Row],[_Res3Work]]/(Tasks[[#This Row],[_FinishWorkday]]-Tasks[[#This Row],[_StartWorkday]]+1),0)</f>
        <v>0</v>
      </c>
      <c r="DY187" s="42" t="n">
        <f aca="false">Tasks[[#This Row],[_Res3WorkPerWD]]*MAX(0,Tasks[[#This Row],[_StartWorkday]]-1)</f>
        <v>0</v>
      </c>
      <c r="DZ187" s="42" t="n">
        <f aca="false">Tasks[[#This Row],[_Res3Work]]*Tasks[[#This Row],[_LeafProgress]]</f>
        <v>0</v>
      </c>
      <c r="EA187" s="42" t="str">
        <f aca="false">IF(Tasks[[#This Row],[_Res4Text]]="","",IF(Tasks[[#This Row],[_Res4Row]]&gt;0,INDEX(res_Name,Tasks[[#This Row],[_Res4Row]]),TRIM(LEFT(Tasks[[#This Row],[_Res4Text]],FIND("[",Tasks[[#This Row],[_Res4Text]]&amp;"[")-1))))</f>
        <v/>
      </c>
      <c r="EB18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7" s="42" t="n">
        <f aca="false">IF(OR(NOT(Tasks[[#This Row],[_IsLeaf]]=1),Tasks[[#This Row],[_Res4Row]]=0),0,N(Tasks[[#This Row],[_Days]])*HoursPerDay*IF(Tasks[[#This Row],[_Res4Units]]="",DefaultUnits,Tasks[[#This Row],[_Res4Units]]))</f>
        <v>0</v>
      </c>
      <c r="ED187" s="42" t="n">
        <f aca="false">IF(AND(AND(Tasks[[#This Row],[_IsLeaf]]=1,Tasks[[#This Row],[_LeafTotalWork]]&gt;0),Tasks[[#This Row],[_Res4Work]]&gt;0),Tasks[[#This Row],[_Res4Work]]/(Tasks[[#This Row],[_FinishWorkday]]-Tasks[[#This Row],[_StartWorkday]]+1),0)</f>
        <v>0</v>
      </c>
      <c r="EE187" s="42" t="n">
        <f aca="false">Tasks[[#This Row],[_Res4WorkPerWD]]*MAX(0,Tasks[[#This Row],[_StartWorkday]]-1)</f>
        <v>0</v>
      </c>
      <c r="EF187" s="42" t="n">
        <f aca="false">Tasks[[#This Row],[_Res4Work]]*Tasks[[#This Row],[_LeafProgress]]</f>
        <v>0</v>
      </c>
      <c r="EG187" s="42" t="n">
        <f aca="false">IF(ISNUMBER(Tasks[[#This Row],[% Complete]]),Tasks[[#This Row],[% Complete]],IF(Tasks[[#This Row],[Stage]]="",0,IFERROR(INDEX(stg_Pct,MATCH(Tasks[[#This Row],[Stage]],stg_Name,0)),0)))</f>
        <v>0</v>
      </c>
      <c r="EH187" s="42" t="n">
        <f aca="false">IF(NOT(Tasks[[#This Row],[_IsLeaf]]=1),0,IF(N(Tasks[[#This Row],[Actual Finish]])&gt;0,1,MIN(1,Tasks[[#This Row],[_Pct]])))</f>
        <v>0</v>
      </c>
      <c r="EI187" s="42" t="n">
        <f aca="false">IF(OR(NOT(Tasks[[#This Row],[_IsLeaf]]=1),Tasks[[#This Row],[_Res1Row]]=0),0,N(Tasks[[#This Row],[_Days]])*HoursPerDay*IF(Tasks[[#This Row],[_Units1]]="",DefaultUnits,Tasks[[#This Row],[_Units1]]))</f>
        <v>0</v>
      </c>
      <c r="EJ187" s="42" t="n">
        <f aca="false">Tasks[[#This Row],[_LeafWork]]+Tasks[[#This Row],[_Res2Work]]+Tasks[[#This Row],[_Res3Work]]+Tasks[[#This Row],[_Res4Work]]</f>
        <v>0</v>
      </c>
      <c r="EK18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7" s="42" t="n">
        <f aca="false">IF(NOT(Tasks[[#This Row],[_IsLeaf]]=1),0,MAX(_xlfn.MAXIFS(Tasks[_Row],Tasks[_Pred1UID],Tasks[[#This Row],[UID]]),_xlfn.MAXIFS(Tasks[_Row],Tasks[_Pred2UID],Tasks[[#This Row],[UID]]),_xlfn.MAXIFS(Tasks[_Row],Tasks[_Pred3UID],Tasks[[#This Row],[UID]]),_xlfn.MAXIFS(Tasks[_Row],Tasks[_Pred4UID],Tasks[[#This Row],[UID]])))</f>
        <v>0</v>
      </c>
      <c r="ET18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7" s="89" t="str">
        <f aca="false">IF(NOT(Tasks[[#This Row],[_IsLeaf]]=1),"",IF(N(Tasks[[#This Row],[_Days]])&lt;=0,Tasks[[#This Row],[_LeafLateFinish]],WORKDAY.INTL(Tasks[[#This Row],[_LeafLateFinish]],-(Tasks[[#This Row],[_Days]]-1),WorkWeek,Holidays)))</f>
        <v/>
      </c>
      <c r="EW18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7" s="88" t="b">
        <f aca="false">AND(Tasks[[#This Row],[_IsLeaf]]=1,Tasks[[#This Row],[_LeafProgress]]&lt;1,N(Tasks[[#This Row],[_LeafTotalSlack]])&lt;=CriticalSlackDays)</f>
        <v>0</v>
      </c>
      <c r="EY187" s="42" t="n">
        <f aca="false">IF(AND(Tasks[[#This Row],[_IsLeaf]]=1,Tasks[[#This Row],[_ConstraintCode]]=1,Tasks[[#This Row],[Mode]]&lt;&gt;"Manual",N(Tasks[[#This Row],[Actual Start]])=0),MAX(0,N(Tasks[[#This Row],[Free Slack]])),0)</f>
        <v>0</v>
      </c>
      <c r="EZ187" s="89" t="str">
        <f aca="false">IF(NOT(Tasks[[#This Row],[_IsLeaf]]=1),"",IF(Tasks[[#This Row],[_AlapShift]]=0,Tasks[[#This Row],[_LeafCalcStart]],WORKDAY.INTL(Tasks[[#This Row],[_LeafCalcStart]],Tasks[[#This Row],[_AlapShift]],WorkWeek,Holidays)))</f>
        <v/>
      </c>
      <c r="FA187" s="89" t="str">
        <f aca="false">IF(NOT(Tasks[[#This Row],[_IsLeaf]]=1),"",IF(Tasks[[#This Row],[_AlapShift]]=0,Tasks[[#This Row],[_LeafCalcFinish]],WORKDAY.INTL(Tasks[[#This Row],[_LeafCalcFinish]],Tasks[[#This Row],[_AlapShift]],WorkWeek,Holidays)))</f>
        <v/>
      </c>
      <c r="FB187" s="89" t="str">
        <f aca="false">IF(NOT(Tasks[[#This Row],[_IsLeaf]]=1),"",IF(Tasks[[#This Row],[_AlapShift]]=0,Tasks[[#This Row],[_LeafFcstStart]],WORKDAY.INTL(Tasks[[#This Row],[_LeafFcstStart]],Tasks[[#This Row],[_AlapShift]],WorkWeek,Holidays)))</f>
        <v/>
      </c>
      <c r="FC187" s="89" t="str">
        <f aca="false">IF(NOT(Tasks[[#This Row],[_IsLeaf]]=1),"",IF(Tasks[[#This Row],[_AlapShift]]=0,Tasks[[#This Row],[_LeafFcstFinish]],WORKDAY.INTL(Tasks[[#This Row],[_LeafFcstFinish]],Tasks[[#This Row],[_AlapShift]],WorkWeek,Holidays)))</f>
        <v/>
      </c>
      <c r="FD187" s="89" t="str">
        <f aca="false">IF(Tasks[[#This Row],[Task Name]]="","",IF(Tasks[[#This Row],[_IsSummary]],MIN(INDEX(Tasks[_ShownCalcStart],Tasks[[#This Row],[_Row]]+1):INDEX(Tasks[_ShownCalcStart],Tasks[[#This Row],[_Row]]+Tasks[[#This Row],[_Descendants]])),Tasks[[#This Row],[_ShownCalcStart]]))</f>
        <v/>
      </c>
      <c r="FE187" s="89" t="str">
        <f aca="false">IF(Tasks[[#This Row],[Task Name]]="","",IF(Tasks[[#This Row],[_IsSummary]],MAX(INDEX(Tasks[_ShownCalcFinish],Tasks[[#This Row],[_Row]]+1):INDEX(Tasks[_ShownCalcFinish],Tasks[[#This Row],[_Row]]+Tasks[[#This Row],[_Descendants]])),Tasks[[#This Row],[_ShownCalcFinish]]))</f>
        <v/>
      </c>
      <c r="FF18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7" s="42" t="n">
        <f aca="false">IF(AND(Tasks[[#This Row],[_IsLeaf]]=1,Tasks[[#This Row],[_LeafTotalWork]]&gt;0),NETWORKDAYS.INTL(ProjectStart,Tasks[[#This Row],[_ShownFcstStart]],WorkWeek,Holidays),0)</f>
        <v>0</v>
      </c>
      <c r="FS187" s="42" t="n">
        <f aca="false">IF(AND(Tasks[[#This Row],[_IsLeaf]]=1,Tasks[[#This Row],[_LeafTotalWork]]&gt;0),MAX(Tasks[[#This Row],[_StartWorkday]],NETWORKDAYS.INTL(ProjectStart,Tasks[[#This Row],[_ShownFcstFinish]],WorkWeek,Holidays)),0)</f>
        <v>0</v>
      </c>
      <c r="FT187" s="42" t="n">
        <f aca="false">IF(AND(Tasks[[#This Row],[_IsLeaf]]=1,Tasks[[#This Row],[_LeafTotalWork]]&gt;0),Tasks[[#This Row],[_LeafWork]]/(Tasks[[#This Row],[_FinishWorkday]]-Tasks[[#This Row],[_StartWorkday]]+1),0)</f>
        <v>0</v>
      </c>
      <c r="FU187" s="42" t="n">
        <f aca="false">Tasks[[#This Row],[_WorkPerWorkday]]*(Tasks[[#This Row],[_StartWorkday]]-1)</f>
        <v>-0</v>
      </c>
      <c r="FV187" s="42" t="n">
        <f aca="false">IF(Tasks[[#This Row],[_IsLeaf]]=1,MAX(N(Tasks[[#This Row],[_Days]]),0.1),0)</f>
        <v>0</v>
      </c>
      <c r="FW187" s="42" t="n">
        <f aca="false">Tasks[[#This Row],[_WeightDur]]*Tasks[[#This Row],[_LeafProgress]]</f>
        <v>0</v>
      </c>
      <c r="FX187" s="42" t="n">
        <f aca="false">Tasks[[#This Row],[_WeightDur]]*Tasks[[#This Row],[_PlannedPct]]</f>
        <v>0</v>
      </c>
      <c r="FY18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7" s="42" t="str">
        <f aca="false">IF(AND(Tasks[[#This Row],[_IsLeaf]]=1,N(Tasks[[#This Row],[_Days]])=0,Tasks[[#This Row],[_LeafProgress]]&lt;1),Tasks[[#This Row],[_ShownFcstFinish]]+Tasks[[#This Row],[_Row]]/100000,"")</f>
        <v/>
      </c>
      <c r="GA18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7" s="42" t="str">
        <f aca="false">IF(Tasks[[#This Row],[Task Name]]="","",LEFT(Tasks[[#This Row],[WBS]],FIND(".",Tasks[[#This Row],[WBS]]&amp;".")-1))</f>
        <v/>
      </c>
      <c r="GC187" s="42" t="str">
        <f aca="false">IF(AND(Tasks[[#This Row],[Task Name]]&lt;&gt;"",Tasks[[#This Row],[_Level]]=1),Tasks[[#This Row],[_Row]],"")</f>
        <v/>
      </c>
      <c r="GD187" s="42" t="str">
        <f aca="false">IF(AND(Tasks[[#This Row],[_IsLeaf]]=1,N(Tasks[[#This Row],[_Days]])=0),Tasks[[#This Row],[Planned Finish]]+Tasks[[#This Row],[_Row]]/100000,"")</f>
        <v/>
      </c>
      <c r="GE187" s="42" t="str">
        <f aca="false">IF(AND(Tasks[[#This Row],[_IsLeaf]]=1,Tasks[[#This Row],[_LeafProgress]]&lt;1,OR(N(Tasks[[#This Row],[Finish Var]])&gt;0,Tasks[[#This Row],[Status]]="Late Start")),MAX(0,Tasks[[#This Row],[Finish Var]])+1-Tasks[[#This Row],[_Row]]/1000000,"")</f>
        <v/>
      </c>
      <c r="GF187" s="42" t="str">
        <f aca="false">IF(AND(Tasks[[#This Row],[_IsLeaf]]=1,N(Tasks[[#This Row],[Actual Start]])=0,Tasks[[#This Row],[_ShownFcstStart]]&gt;=StatusDate,Tasks[[#This Row],[_ShownFcstStart]]&lt;=LookaheadEnd),Tasks[[#This Row],[_ShownFcstStart]]+Tasks[[#This Row],[_Row]]/100000,"")</f>
        <v/>
      </c>
      <c r="GG187" s="42" t="str">
        <f aca="false">IF(AND(Tasks[[#This Row],[_IsLeaf]]=1,Tasks[[#This Row],[_LeafProgress]]&lt;1,Tasks[[#This Row],[_ShownFcstFinish]]&gt;=StatusDate,Tasks[[#This Row],[_ShownFcstFinish]]&lt;=LookaheadEnd),Tasks[[#This Row],[_ShownFcstFinish]]+Tasks[[#This Row],[_Row]]/100000,"")</f>
        <v/>
      </c>
      <c r="GH187" s="42" t="str">
        <f aca="false">IF(Tasks[[#This Row],[_LeafCritical]],Tasks[[#This Row],[_ShownFcstStart]]+Tasks[[#This Row],[_Row]]/100000,"")</f>
        <v/>
      </c>
      <c r="GI187" s="42" t="n">
        <f aca="false">Tasks[[#This Row],[_LeafWork]]*Tasks[[#This Row],[_LeafProgress]]</f>
        <v>0</v>
      </c>
      <c r="GJ187" s="89" t="str">
        <f aca="false">IF(AND(Tasks[[#This Row],[_IsLeaf]]=1,Tasks[[#This Row],[_LeafProgress]]&gt;=1),IF(N(Tasks[[#This Row],[Actual Finish]])&gt;0,Tasks[[#This Row],[Actual Finish]],Tasks[[#This Row],[_ShownFcstFinish]]),"")</f>
        <v/>
      </c>
      <c r="GK187" s="42" t="n">
        <f aca="false">IF(Tasks[[#This Row],[_IsLeaf]]=1,N(Tasks[[#This Row],[Story Points]]),0)</f>
        <v>0</v>
      </c>
      <c r="GL187" s="42" t="str">
        <f aca="false">""</f>
        <v/>
      </c>
      <c r="GM187" s="88" t="b">
        <f aca="false">IF(Tasks[[#This Row],[Task Name]]="",FALSE(),AND(Tasks[[#This Row],[_IsLeaf]]=1,N(Tasks[[#This Row],[_Days]])=0))</f>
        <v>0</v>
      </c>
      <c r="GN187" s="89" t="n">
        <f aca="false">IF(Tasks[[#This Row],[Task Name]]="",0,IF(AND(Tasks[[#This Row],[_IsLeaf]]=1,NOT(Tasks[[#This Row],[_IsMilestone]]),N(Tasks[[#This Row],[Progress]])&gt;0),Tasks[[#This Row],[Start]],0))</f>
        <v>0</v>
      </c>
      <c r="GO187" s="89" t="n">
        <f aca="false">IF(Tasks[[#This Row],[_DoneFrom]]=0,0,IF(Tasks[[#This Row],[Progress]]&gt;=1,Tasks[[#This Row],[Finish]],MAX(Tasks[[#This Row],[_DoneFrom]],Tasks[[#This Row],[Start]]+ROUND((Tasks[[#This Row],[Finish]]-Tasks[[#This Row],[Start]]+1)*Tasks[[#This Row],[Progress]],0)-1)))</f>
        <v>0</v>
      </c>
      <c r="GP187" s="89" t="n">
        <f aca="false">IF(Tasks[[#This Row],[Task Name]]="",0,IF(OR(NOT(Tasks[[#This Row],[_IsLeaf]]=1),Tasks[[#This Row],[_IsMilestone]],N(Tasks[[#This Row],[Progress]])&gt;=1),0,IF(Tasks[[#This Row],[_DoneTo]]&gt;0,Tasks[[#This Row],[_DoneTo]]+1,Tasks[[#This Row],[Start]])))</f>
        <v>0</v>
      </c>
      <c r="GQ187" s="89" t="n">
        <f aca="false">IF(Tasks[[#This Row],[_RemFrom]]=0,0,Tasks[[#This Row],[Finish]])</f>
        <v>0</v>
      </c>
      <c r="GR187" s="88" t="b">
        <f aca="false">IF(Tasks[[#This Row],[Task Name]]="",FALSE(),OR(NOT(BaselineSet),N(Tasks[[#This Row],[Baseline Start]])&gt;0))</f>
        <v>0</v>
      </c>
      <c r="GS18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7" s="90" t="str">
        <f aca="false">IF(Tasks[[#This Row],[_IsLeaf]]=1,Tasks[[#This Row],[_Row]],"")</f>
        <v/>
      </c>
      <c r="GW187" s="90" t="str">
        <f aca="false">IFERROR(INDEX(Tasks[UID],SMALL(Tasks[_PickKey],Tasks[[#This Row],[_Row]]))&amp;" "&amp;INDEX(Tasks[Task Name],SMALL(Tasks[_PickKey],Tasks[[#This Row],[_Row]])),"")</f>
        <v/>
      </c>
      <c r="GX187" s="42" t="str">
        <f aca="false">IF(Tasks[[#This Row],[Task Name]]="","",IF(Tasks[[#This Row],[_IsSummary]],NETWORKDAYS.INTL(Tasks[[#This Row],[Start]],Tasks[[#This Row],[Finish]],WorkWeek,Holidays),N(Tasks[[#This Row],[_Days]])))</f>
        <v/>
      </c>
    </row>
    <row r="188" customFormat="false" ht="15" hidden="false" customHeight="false" outlineLevel="0" collapsed="false">
      <c r="A188" s="21" t="str">
        <f aca="false">IF(Tasks[[#This Row],[Task Name]]="","",COUNTA(Tasks[[#Headers],[Task Name]]:Tasks[[#This Row],[Task Name]])-1)</f>
        <v/>
      </c>
      <c r="B188" s="22" t="n">
        <v>196</v>
      </c>
      <c r="C188" s="22"/>
      <c r="D188" s="23"/>
      <c r="E188" s="22"/>
      <c r="F188" s="23"/>
      <c r="G188" s="22"/>
      <c r="H188" s="22"/>
      <c r="I188" s="23"/>
      <c r="J188" s="22"/>
      <c r="K188" s="22"/>
      <c r="L188" s="23"/>
      <c r="M188" s="22"/>
      <c r="N188" s="22"/>
      <c r="O188" s="23"/>
      <c r="P188" s="22"/>
      <c r="Q188" s="22"/>
      <c r="R188" s="23"/>
      <c r="S188" s="23"/>
      <c r="T188" s="83"/>
      <c r="U188" s="23"/>
      <c r="V188" s="83"/>
      <c r="W188" s="23"/>
      <c r="X188" s="83"/>
      <c r="Y188" s="23"/>
      <c r="Z188" s="83"/>
      <c r="AA188" s="23"/>
      <c r="AB188" s="23"/>
      <c r="AC188" s="7"/>
      <c r="AD188" s="7"/>
      <c r="AE188" s="62" t="str">
        <f aca="false">IF(Tasks[[#This Row],[Task Name]]="","",IF(Tasks[[#This Row],[_IsSummary]],MIN(INDEX(Tasks[_ShownFcstStart],Tasks[[#This Row],[_Row]]+1):INDEX(Tasks[_ShownFcstStart],Tasks[[#This Row],[_Row]]+Tasks[[#This Row],[_Descendants]])),Tasks[[#This Row],[_ShownFcstStart]]))</f>
        <v/>
      </c>
      <c r="AF188" s="62" t="str">
        <f aca="false">IF(Tasks[[#This Row],[Task Name]]="","",IF(Tasks[[#This Row],[_IsSummary]],MAX(INDEX(Tasks[_ShownFcstFinish],Tasks[[#This Row],[_Row]]+1):INDEX(Tasks[_ShownFcstFinish],Tasks[[#This Row],[_Row]]+Tasks[[#This Row],[_Descendants]])),Tasks[[#This Row],[_ShownFcstFinish]]))</f>
        <v/>
      </c>
      <c r="AG188" s="21" t="str">
        <f aca="false">""</f>
        <v/>
      </c>
      <c r="AH188" s="23"/>
      <c r="AI18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8" s="7"/>
      <c r="AK188" s="22"/>
      <c r="AL188" s="23"/>
      <c r="AM188" s="7"/>
      <c r="AN188" s="46" t="str">
        <f aca="false">IF(Tasks[[#This Row],[Task Name]]="","",IF(Tasks[[#This Row],[Finish]]&gt;=Tasks[[#This Row],[Planned Finish]],NETWORKDAYS.INTL(Tasks[[#This Row],[Planned Finish]],Tasks[[#This Row],[Finish]],WorkWeek,Holidays)-1,1-NETWORKDAYS.INTL(Tasks[[#This Row],[Finish]],Tasks[[#This Row],[Planned Finish]],WorkWeek,Holidays)))</f>
        <v/>
      </c>
      <c r="AO188" s="21" t="str">
        <f aca="false">IF(Tasks[[#This Row],[Task Name]]="","",IF(Tasks[[#This Row],[Progress]]&gt;=1,"Complete",IF(OR(N(Tasks[[#This Row],[Actual Start]])&gt;0,Tasks[[#This Row],[Progress]]&gt;0),IF(Tasks[[#This Row],[Finish Var]]&gt;0,"Behind","In Progress"),IF(Tasks[[#This Row],[Planned Start]]&lt;StatusDate,"Late Start","Not Started"))))</f>
        <v/>
      </c>
      <c r="AP188" s="21" t="str">
        <f aca="false">IF(Tasks[[#This Row],[Task Name]]="","",IF(IF(Tasks[[#This Row],[_IsSummary]],COUNTIF(INDEX(Tasks[_LeafCritical],Tasks[[#This Row],[_Row]]+1):INDEX(Tasks[_LeafCritical],Tasks[[#This Row],[_Row]]+Tasks[[#This Row],[_Descendants]]),TRUE())&gt;0,Tasks[[#This Row],[_LeafCritical]]),"Yes",""))</f>
        <v/>
      </c>
      <c r="AQ188" s="62" t="str">
        <f aca="false">IF(Tasks[[#This Row],[Task Name]]="","",IF(N(Tasks[[#This Row],[Baseline Start]])&gt;0,Tasks[[#This Row],[Baseline Start]],Tasks[[#This Row],[_CalcStart]]))</f>
        <v/>
      </c>
      <c r="AR188" s="62" t="str">
        <f aca="false">IF(Tasks[[#This Row],[Task Name]]="","",IF(N(Tasks[[#This Row],[Baseline Finish]])&gt;0,Tasks[[#This Row],[Baseline Finish]],Tasks[[#This Row],[_CalcFinish]]))</f>
        <v/>
      </c>
      <c r="AS188" s="46" t="str">
        <f aca="false">IF(Tasks[[#This Row],[Task Name]]="","",IF(Tasks[[#This Row],[Start]]&gt;=Tasks[[#This Row],[Planned Start]],NETWORKDAYS.INTL(Tasks[[#This Row],[Planned Start]],Tasks[[#This Row],[Start]],WorkWeek,Holidays)-1,1-NETWORKDAYS.INTL(Tasks[[#This Row],[Start]],Tasks[[#This Row],[Planned Start]],WorkWeek,Holidays)))</f>
        <v/>
      </c>
      <c r="AT188" s="62" t="str">
        <f aca="false">IF(Tasks[[#This Row],[Task Name]]="","",IF(Tasks[[#This Row],[_IsSummary]],MIN(INDEX(Tasks[_LeafLateStart],Tasks[[#This Row],[_Row]]+1):INDEX(Tasks[_LeafLateStart],Tasks[[#This Row],[_Row]]+Tasks[[#This Row],[_Descendants]])),Tasks[[#This Row],[_LeafLateStart]]))</f>
        <v/>
      </c>
      <c r="AU188" s="62" t="str">
        <f aca="false">IF(Tasks[[#This Row],[Task Name]]="","",IF(Tasks[[#This Row],[_IsSummary]],MAX(INDEX(Tasks[_LeafLateFinish],Tasks[[#This Row],[_Row]]+1):INDEX(Tasks[_LeafLateFinish],Tasks[[#This Row],[_Row]]+Tasks[[#This Row],[_Descendants]])),Tasks[[#This Row],[_LeafLateFinish]]))</f>
        <v/>
      </c>
      <c r="AV188" s="46" t="str">
        <f aca="false">IF(Tasks[[#This Row],[Task Name]]="","",IF(Tasks[[#This Row],[_IsSummary]],MIN(INDEX(Tasks[_LeafTotalSlack],Tasks[[#This Row],[_Row]]+1):INDEX(Tasks[_LeafTotalSlack],Tasks[[#This Row],[_Row]]+Tasks[[#This Row],[_Descendants]])),Tasks[[#This Row],[_LeafTotalSlack]]))</f>
        <v/>
      </c>
      <c r="AW18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4"/>
      <c r="BA18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t="str">
        <f aca="false">IF(Tasks[[#This Row],[Task Name]]="","",IF(Tasks[[#This Row],[_Level]]&lt;=OutlineShowLevel,"Yes","No"))</f>
        <v/>
      </c>
      <c r="BE188" s="85" t="str">
        <f aca="false">IF(Tasks[[#This Row],[Task Name]]="","",IF(Tasks[[#This Row],[_IsSummary]],SUM(INDEX(Tasks[_LeafTotalWork],Tasks[[#This Row],[_Row]]+1):INDEX(Tasks[_LeafTotalWork],Tasks[[#This Row],[_Row]]+Tasks[[#This Row],[_Descendants]])),Tasks[[#This Row],[_LeafTotalWork]]))</f>
        <v/>
      </c>
      <c r="BF188" s="23"/>
      <c r="BG18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t="str">
        <f aca="false">""</f>
        <v/>
      </c>
      <c r="BI188" s="86"/>
      <c r="BJ188" s="22"/>
      <c r="BK188" s="46" t="str">
        <f aca="false">IF(OR(Tasks[[#This Row],[Task Name]]="",Tasks[[#This Row],[Baseline Duration]]=""),"",Tasks[[#This Row],[_SpanDays]]-N(Tasks[[#This Row],[Baseline Duration]]))</f>
        <v/>
      </c>
      <c r="BL188" s="85" t="str">
        <f aca="false">IF(OR(Tasks[[#This Row],[Task Name]]="",Tasks[[#This Row],[Baseline Work]]=""),"",Tasks[[#This Row],[Work]]-N(Tasks[[#This Row],[Baseline Work]]))</f>
        <v/>
      </c>
      <c r="BM188" s="62" t="str">
        <f aca="false">IF(Tasks[[#This Row],[Task Name]]="","",IF(OR(TakeBaseline="Yes",N(Tasks[[#This Row],[Baseline Start]])=0),Tasks[[#This Row],[Start]],Tasks[[#This Row],[Baseline Start]]))</f>
        <v/>
      </c>
      <c r="BN188" s="62" t="str">
        <f aca="false">IF(Tasks[[#This Row],[Task Name]]="","",IF(OR(TakeBaseline="Yes",N(Tasks[[#This Row],[Baseline Finish]])=0),Tasks[[#This Row],[Finish]],Tasks[[#This Row],[Baseline Finish]]))</f>
        <v/>
      </c>
      <c r="BO188" s="21" t="str">
        <f aca="false">IF(Tasks[[#This Row],[Task Name]]="","",IF(OR(TakeBaseline="Yes",N(Tasks[[#This Row],[Baseline Duration]])=0),Tasks[[#This Row],[_SpanDays]],Tasks[[#This Row],[Baseline Duration]]))</f>
        <v/>
      </c>
      <c r="BP188" s="85" t="str">
        <f aca="false">IF(Tasks[[#This Row],[Task Name]]="","",IF(OR(TakeBaseline="Yes",N(Tasks[[#This Row],[Baseline Work]])=0),Tasks[[#This Row],[Work]],Tasks[[#This Row],[Baseline Work]]))</f>
        <v/>
      </c>
      <c r="BQ188" s="7"/>
      <c r="BR188" s="7"/>
      <c r="BS188" s="22"/>
      <c r="BT188" s="87"/>
      <c r="BU188" s="42" t="str">
        <f aca="false">IF(Tasks[[#This Row],[Task Name]]="","",MAX(1,N(Tasks[[#This Row],[Level]])))</f>
        <v/>
      </c>
      <c r="BV188" s="42" t="n">
        <f aca="false">ROW()-ROW(Tasks[[#Headers],[ID]])</f>
        <v>183</v>
      </c>
      <c r="BW188" s="42" t="n">
        <f aca="false">IF(OR(Tasks[[#This Row],[Task Name]]="",Tasks[[#This Row],[_Level]]&lt;=1),0,IFERROR(LOOKUP(2,1/(Tasks[[#Headers],[_Level]]:Tasks[[#This Row],[_Level]]=Tasks[[#This Row],[_Level]]-1),ROW(Tasks[[#Headers],[_Level]]:Tasks[[#This Row],[_Level]])),0))</f>
        <v>0</v>
      </c>
      <c r="BX188" s="42" t="n">
        <f aca="false">IFERROR(N(INDEX(Tasks[_Level],Tasks[[#This Row],[_Row]]+1)),0)</f>
        <v>0</v>
      </c>
      <c r="BY188" s="88" t="b">
        <f aca="false">AND(Tasks[[#This Row],[Task Name]]&lt;&gt;"",Tasks[[#This Row],[_NextLevel]]&gt;Tasks[[#This Row],[_Level]])</f>
        <v>0</v>
      </c>
      <c r="BZ188" s="42" t="n">
        <f aca="false">IF(Tasks[[#This Row],[_IsSummary]],COUNTIF(Tasks[WBS],Tasks[[#This Row],[WBS]]&amp;".*"),0)</f>
        <v>0</v>
      </c>
      <c r="CA188" s="42" t="n">
        <f aca="false">IF(AND(Tasks[[#This Row],[Task Name]]&lt;&gt;"",NOT(Tasks[[#This Row],[_IsSummary]])),1,0)</f>
        <v>0</v>
      </c>
      <c r="CB188" s="42" t="n">
        <f aca="false">IF(N(Tasks[[#This Row],[_Pred1UID]])=0,0,IFERROR(MATCH(Tasks[[#This Row],[_Pred1UID]],Tasks[UID],0),-1))</f>
        <v>0</v>
      </c>
      <c r="CC188" s="42" t="n">
        <f aca="false">IF(N(Tasks[[#This Row],[_Pred2UID]])=0,0,IFERROR(MATCH(Tasks[[#This Row],[_Pred2UID]],Tasks[UID],0),-1))</f>
        <v>0</v>
      </c>
      <c r="CD188" s="42" t="n">
        <f aca="false">IF(N(Tasks[[#This Row],[_Pred3UID]])=0,0,IFERROR(MATCH(Tasks[[#This Row],[_Pred3UID]],Tasks[UID],0),-1))</f>
        <v>0</v>
      </c>
      <c r="CE188" s="42" t="n">
        <f aca="false">IF(N(Tasks[[#This Row],[_Pred4UID]])=0,0,IFERROR(MATCH(Tasks[[#This Row],[_Pred4UID]],Tasks[UID],0),-1))</f>
        <v>0</v>
      </c>
      <c r="CF18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8" s="89" t="n">
        <f aca="false">IF(OR(Tasks[[#This Row],[_ConstraintCode]]=2,Tasks[[#This Row],[_ConstraintCode]]=3,Tasks[[#This Row],[_ConstraintCode]]=4,Tasks[[#This Row],[_ConstraintCode]]=6),Tasks[[#This Row],[_ConstraintStart]],0)</f>
        <v>0</v>
      </c>
      <c r="CI188" s="89" t="n">
        <f aca="false">IF(OR(Tasks[[#This Row],[_ConstraintCode]]=2,Tasks[[#This Row],[_ConstraintCode]]=3,Tasks[[#This Row],[_ConstraintCode]]=5,Tasks[[#This Row],[_ConstraintCode]]=7),Tasks[[#This Row],[_ConstraintStart]],2958465)</f>
        <v>2958465</v>
      </c>
      <c r="CJ18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8" s="89" t="str">
        <f aca="false">IF(NOT(Tasks[[#This Row],[_IsLeaf]]=1),"",IF(N(Tasks[[#This Row],[_Days]])&lt;=0,Tasks[[#This Row],[_LeafCalcStart]],WORKDAY.INTL(Tasks[[#This Row],[_LeafCalcStart]],Tasks[[#This Row],[_Days]]-1,WorkWeek,Holidays)))</f>
        <v/>
      </c>
      <c r="CL18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8" s="42" t="str">
        <f aca="false">IF(Tasks[[#This Row],[_Predecessors]]="","",TRIM(MID(SUBSTITUTE(SUBSTITUTE(SUBSTITUTE(UPPER(Tasks[[#This Row],[_Predecessors]]),";",",")," ",""),",",REPT(" ",99)),1,99)))</f>
        <v/>
      </c>
      <c r="CO188" s="42" t="str">
        <f aca="false">IF(Tasks[[#This Row],[_Pred1Text]]="","",IFERROR(VALUE(LEFT(Tasks[[#This Row],[_Pred1Text]],MIN(FIND("F",Tasks[[#This Row],[_Pred1Text]]&amp;"F"),FIND("S",Tasks[[#This Row],[_Pred1Text]]&amp;"S"),FIND("+",Tasks[[#This Row],[_Pred1Text]]&amp;"+"),FIND("-",Tasks[[#This Row],[_Pred1Text]]&amp;"-"))-1)),""))</f>
        <v/>
      </c>
      <c r="CP18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8" s="42" t="str">
        <f aca="false">IF(Tasks[[#This Row],[_Pred1Text]]="","",TRIM(MID(SUBSTITUTE(SUBSTITUTE(SUBSTITUTE(UPPER(Tasks[[#This Row],[_Predecessors]]),";",",")," ",""),",",REPT(" ",99)),100,99)))</f>
        <v/>
      </c>
      <c r="CS188" s="42" t="str">
        <f aca="false">IF(Tasks[[#This Row],[_Pred2Text]]="","",IFERROR(VALUE(LEFT(Tasks[[#This Row],[_Pred2Text]],MIN(FIND("F",Tasks[[#This Row],[_Pred2Text]]&amp;"F"),FIND("S",Tasks[[#This Row],[_Pred2Text]]&amp;"S"),FIND("+",Tasks[[#This Row],[_Pred2Text]]&amp;"+"),FIND("-",Tasks[[#This Row],[_Pred2Text]]&amp;"-"))-1)),""))</f>
        <v/>
      </c>
      <c r="CT18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8" s="42" t="str">
        <f aca="false">IF(Tasks[[#This Row],[_Pred2Text]]="","",TRIM(MID(SUBSTITUTE(SUBSTITUTE(SUBSTITUTE(UPPER(Tasks[[#This Row],[_Predecessors]]),";",",")," ",""),",",REPT(" ",99)),199,99)))</f>
        <v/>
      </c>
      <c r="CW188" s="42" t="str">
        <f aca="false">IF(Tasks[[#This Row],[_Pred3Text]]="","",IFERROR(VALUE(LEFT(Tasks[[#This Row],[_Pred3Text]],MIN(FIND("F",Tasks[[#This Row],[_Pred3Text]]&amp;"F"),FIND("S",Tasks[[#This Row],[_Pred3Text]]&amp;"S"),FIND("+",Tasks[[#This Row],[_Pred3Text]]&amp;"+"),FIND("-",Tasks[[#This Row],[_Pred3Text]]&amp;"-"))-1)),""))</f>
        <v/>
      </c>
      <c r="CX18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8" s="42" t="str">
        <f aca="false">IF(Tasks[[#This Row],[_Pred3Text]]="","",TRIM(MID(SUBSTITUTE(SUBSTITUTE(SUBSTITUTE(UPPER(Tasks[[#This Row],[_Predecessors]]),";",",")," ",""),",",REPT(" ",99)),298,99)))</f>
        <v/>
      </c>
      <c r="DA188" s="42" t="str">
        <f aca="false">IF(Tasks[[#This Row],[_Pred4Text]]="","",IFERROR(VALUE(LEFT(Tasks[[#This Row],[_Pred4Text]],MIN(FIND("F",Tasks[[#This Row],[_Pred4Text]]&amp;"F"),FIND("S",Tasks[[#This Row],[_Pred4Text]]&amp;"S"),FIND("+",Tasks[[#This Row],[_Pred4Text]]&amp;"+"),FIND("-",Tasks[[#This Row],[_Pred4Text]]&amp;"-"))-1)),""))</f>
        <v/>
      </c>
      <c r="DB18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8" s="42" t="str">
        <f aca="false">IF(OR(Tasks[[#This Row],[Task Name]]="",Tasks[[#This Row],[_Resources]]=""),"",TRIM(MID(SUBSTITUTE(Tasks[[#This Row],[_Resources]],",",REPT(" ",99)),1,99)))</f>
        <v/>
      </c>
      <c r="DE188" s="42" t="str">
        <f aca="false">IF(Tasks[[#This Row],[_Res1Text]]="","",TRIM(MID(SUBSTITUTE(Tasks[[#This Row],[_Resources]],",",REPT(" ",99)),100,99)))</f>
        <v/>
      </c>
      <c r="DF188" s="42" t="str">
        <f aca="false">IF(Tasks[[#This Row],[_Res2Text]]="","",TRIM(MID(SUBSTITUTE(Tasks[[#This Row],[_Resources]],",",REPT(" ",99)),199,99)))</f>
        <v/>
      </c>
      <c r="DG188" s="42" t="str">
        <f aca="false">IF(Tasks[[#This Row],[_Res3Text]]="","",TRIM(MID(SUBSTITUTE(Tasks[[#This Row],[_Resources]],",",REPT(" ",99)),298,99)))</f>
        <v/>
      </c>
      <c r="DH188" s="42" t="n">
        <f aca="false">IF(Tasks[[#This Row],[_Res1Text]]="",0,IFERROR(MATCH(TRIM(LEFT(Tasks[[#This Row],[_Res1Text]],FIND("[",Tasks[[#This Row],[_Res1Text]]&amp;"[")-1)),res_Name,0),IFERROR(MATCH(TRIM(LEFT(Tasks[[#This Row],[_Res1Text]],FIND("[",Tasks[[#This Row],[_Res1Text]]&amp;"[")-1)),res_Initials,0),0)))</f>
        <v>0</v>
      </c>
      <c r="DI188" s="42" t="n">
        <f aca="false">IF(Tasks[[#This Row],[_Res2Text]]="",0,IFERROR(MATCH(TRIM(LEFT(Tasks[[#This Row],[_Res2Text]],FIND("[",Tasks[[#This Row],[_Res2Text]]&amp;"[")-1)),res_Name,0),IFERROR(MATCH(TRIM(LEFT(Tasks[[#This Row],[_Res2Text]],FIND("[",Tasks[[#This Row],[_Res2Text]]&amp;"[")-1)),res_Initials,0),0)))</f>
        <v>0</v>
      </c>
      <c r="DJ188" s="42" t="n">
        <f aca="false">IF(Tasks[[#This Row],[_Res3Text]]="",0,IFERROR(MATCH(TRIM(LEFT(Tasks[[#This Row],[_Res3Text]],FIND("[",Tasks[[#This Row],[_Res3Text]]&amp;"[")-1)),res_Name,0),IFERROR(MATCH(TRIM(LEFT(Tasks[[#This Row],[_Res3Text]],FIND("[",Tasks[[#This Row],[_Res3Text]]&amp;"[")-1)),res_Initials,0),0)))</f>
        <v>0</v>
      </c>
      <c r="DK188" s="42" t="n">
        <f aca="false">IF(Tasks[[#This Row],[_Res4Text]]="",0,IFERROR(MATCH(TRIM(LEFT(Tasks[[#This Row],[_Res4Text]],FIND("[",Tasks[[#This Row],[_Res4Text]]&amp;"[")-1)),res_Name,0),IFERROR(MATCH(TRIM(LEFT(Tasks[[#This Row],[_Res4Text]],FIND("[",Tasks[[#This Row],[_Res4Text]]&amp;"[")-1)),res_Initials,0),0)))</f>
        <v>0</v>
      </c>
      <c r="DL188" s="42" t="str">
        <f aca="false">IF(Tasks[[#This Row],[_Res1Text]]="","",IF(Tasks[[#This Row],[_Res1Row]]&gt;0,INDEX(res_Name,Tasks[[#This Row],[_Res1Row]]),TRIM(LEFT(Tasks[[#This Row],[_Res1Text]],FIND("[",Tasks[[#This Row],[_Res1Text]]&amp;"[")-1))))</f>
        <v/>
      </c>
      <c r="DM18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8" s="42" t="n">
        <f aca="false">IF(NOT(Tasks[[#This Row],[_IsLeaf]]=1),0,(Tasks[[#This Row],[_Resource1]]&lt;&gt;"")+(Tasks[[#This Row],[_Res2]]&lt;&gt;"")+(Tasks[[#This Row],[_Res3]]&lt;&gt;"")+(Tasks[[#This Row],[_Res4]]&lt;&gt;""))</f>
        <v>0</v>
      </c>
      <c r="DO188" s="42" t="str">
        <f aca="false">IF(Tasks[[#This Row],[_Res2Text]]="","",IF(Tasks[[#This Row],[_Res2Row]]&gt;0,INDEX(res_Name,Tasks[[#This Row],[_Res2Row]]),TRIM(LEFT(Tasks[[#This Row],[_Res2Text]],FIND("[",Tasks[[#This Row],[_Res2Text]]&amp;"[")-1))))</f>
        <v/>
      </c>
      <c r="DP18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8" s="42" t="n">
        <f aca="false">IF(OR(NOT(Tasks[[#This Row],[_IsLeaf]]=1),Tasks[[#This Row],[_Res2Row]]=0),0,N(Tasks[[#This Row],[_Days]])*HoursPerDay*IF(Tasks[[#This Row],[_Res2Units]]="",DefaultUnits,Tasks[[#This Row],[_Res2Units]]))</f>
        <v>0</v>
      </c>
      <c r="DR188" s="42" t="n">
        <f aca="false">IF(AND(AND(Tasks[[#This Row],[_IsLeaf]]=1,Tasks[[#This Row],[_LeafTotalWork]]&gt;0),Tasks[[#This Row],[_Res2Work]]&gt;0),Tasks[[#This Row],[_Res2Work]]/(Tasks[[#This Row],[_FinishWorkday]]-Tasks[[#This Row],[_StartWorkday]]+1),0)</f>
        <v>0</v>
      </c>
      <c r="DS188" s="42" t="n">
        <f aca="false">Tasks[[#This Row],[_Res2WorkPerWD]]*MAX(0,Tasks[[#This Row],[_StartWorkday]]-1)</f>
        <v>0</v>
      </c>
      <c r="DT188" s="42" t="n">
        <f aca="false">Tasks[[#This Row],[_Res2Work]]*Tasks[[#This Row],[_LeafProgress]]</f>
        <v>0</v>
      </c>
      <c r="DU188" s="42" t="str">
        <f aca="false">IF(Tasks[[#This Row],[_Res3Text]]="","",IF(Tasks[[#This Row],[_Res3Row]]&gt;0,INDEX(res_Name,Tasks[[#This Row],[_Res3Row]]),TRIM(LEFT(Tasks[[#This Row],[_Res3Text]],FIND("[",Tasks[[#This Row],[_Res3Text]]&amp;"[")-1))))</f>
        <v/>
      </c>
      <c r="DV18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8" s="42" t="n">
        <f aca="false">IF(OR(NOT(Tasks[[#This Row],[_IsLeaf]]=1),Tasks[[#This Row],[_Res3Row]]=0),0,N(Tasks[[#This Row],[_Days]])*HoursPerDay*IF(Tasks[[#This Row],[_Res3Units]]="",DefaultUnits,Tasks[[#This Row],[_Res3Units]]))</f>
        <v>0</v>
      </c>
      <c r="DX188" s="42" t="n">
        <f aca="false">IF(AND(AND(Tasks[[#This Row],[_IsLeaf]]=1,Tasks[[#This Row],[_LeafTotalWork]]&gt;0),Tasks[[#This Row],[_Res3Work]]&gt;0),Tasks[[#This Row],[_Res3Work]]/(Tasks[[#This Row],[_FinishWorkday]]-Tasks[[#This Row],[_StartWorkday]]+1),0)</f>
        <v>0</v>
      </c>
      <c r="DY188" s="42" t="n">
        <f aca="false">Tasks[[#This Row],[_Res3WorkPerWD]]*MAX(0,Tasks[[#This Row],[_StartWorkday]]-1)</f>
        <v>0</v>
      </c>
      <c r="DZ188" s="42" t="n">
        <f aca="false">Tasks[[#This Row],[_Res3Work]]*Tasks[[#This Row],[_LeafProgress]]</f>
        <v>0</v>
      </c>
      <c r="EA188" s="42" t="str">
        <f aca="false">IF(Tasks[[#This Row],[_Res4Text]]="","",IF(Tasks[[#This Row],[_Res4Row]]&gt;0,INDEX(res_Name,Tasks[[#This Row],[_Res4Row]]),TRIM(LEFT(Tasks[[#This Row],[_Res4Text]],FIND("[",Tasks[[#This Row],[_Res4Text]]&amp;"[")-1))))</f>
        <v/>
      </c>
      <c r="EB18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8" s="42" t="n">
        <f aca="false">IF(OR(NOT(Tasks[[#This Row],[_IsLeaf]]=1),Tasks[[#This Row],[_Res4Row]]=0),0,N(Tasks[[#This Row],[_Days]])*HoursPerDay*IF(Tasks[[#This Row],[_Res4Units]]="",DefaultUnits,Tasks[[#This Row],[_Res4Units]]))</f>
        <v>0</v>
      </c>
      <c r="ED188" s="42" t="n">
        <f aca="false">IF(AND(AND(Tasks[[#This Row],[_IsLeaf]]=1,Tasks[[#This Row],[_LeafTotalWork]]&gt;0),Tasks[[#This Row],[_Res4Work]]&gt;0),Tasks[[#This Row],[_Res4Work]]/(Tasks[[#This Row],[_FinishWorkday]]-Tasks[[#This Row],[_StartWorkday]]+1),0)</f>
        <v>0</v>
      </c>
      <c r="EE188" s="42" t="n">
        <f aca="false">Tasks[[#This Row],[_Res4WorkPerWD]]*MAX(0,Tasks[[#This Row],[_StartWorkday]]-1)</f>
        <v>0</v>
      </c>
      <c r="EF188" s="42" t="n">
        <f aca="false">Tasks[[#This Row],[_Res4Work]]*Tasks[[#This Row],[_LeafProgress]]</f>
        <v>0</v>
      </c>
      <c r="EG188" s="42" t="n">
        <f aca="false">IF(ISNUMBER(Tasks[[#This Row],[% Complete]]),Tasks[[#This Row],[% Complete]],IF(Tasks[[#This Row],[Stage]]="",0,IFERROR(INDEX(stg_Pct,MATCH(Tasks[[#This Row],[Stage]],stg_Name,0)),0)))</f>
        <v>0</v>
      </c>
      <c r="EH188" s="42" t="n">
        <f aca="false">IF(NOT(Tasks[[#This Row],[_IsLeaf]]=1),0,IF(N(Tasks[[#This Row],[Actual Finish]])&gt;0,1,MIN(1,Tasks[[#This Row],[_Pct]])))</f>
        <v>0</v>
      </c>
      <c r="EI188" s="42" t="n">
        <f aca="false">IF(OR(NOT(Tasks[[#This Row],[_IsLeaf]]=1),Tasks[[#This Row],[_Res1Row]]=0),0,N(Tasks[[#This Row],[_Days]])*HoursPerDay*IF(Tasks[[#This Row],[_Units1]]="",DefaultUnits,Tasks[[#This Row],[_Units1]]))</f>
        <v>0</v>
      </c>
      <c r="EJ188" s="42" t="n">
        <f aca="false">Tasks[[#This Row],[_LeafWork]]+Tasks[[#This Row],[_Res2Work]]+Tasks[[#This Row],[_Res3Work]]+Tasks[[#This Row],[_Res4Work]]</f>
        <v>0</v>
      </c>
      <c r="EK18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8" s="42" t="n">
        <f aca="false">IF(NOT(Tasks[[#This Row],[_IsLeaf]]=1),0,MAX(_xlfn.MAXIFS(Tasks[_Row],Tasks[_Pred1UID],Tasks[[#This Row],[UID]]),_xlfn.MAXIFS(Tasks[_Row],Tasks[_Pred2UID],Tasks[[#This Row],[UID]]),_xlfn.MAXIFS(Tasks[_Row],Tasks[_Pred3UID],Tasks[[#This Row],[UID]]),_xlfn.MAXIFS(Tasks[_Row],Tasks[_Pred4UID],Tasks[[#This Row],[UID]])))</f>
        <v>0</v>
      </c>
      <c r="ET18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8" s="89" t="str">
        <f aca="false">IF(NOT(Tasks[[#This Row],[_IsLeaf]]=1),"",IF(N(Tasks[[#This Row],[_Days]])&lt;=0,Tasks[[#This Row],[_LeafLateFinish]],WORKDAY.INTL(Tasks[[#This Row],[_LeafLateFinish]],-(Tasks[[#This Row],[_Days]]-1),WorkWeek,Holidays)))</f>
        <v/>
      </c>
      <c r="EW18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8" s="88" t="b">
        <f aca="false">AND(Tasks[[#This Row],[_IsLeaf]]=1,Tasks[[#This Row],[_LeafProgress]]&lt;1,N(Tasks[[#This Row],[_LeafTotalSlack]])&lt;=CriticalSlackDays)</f>
        <v>0</v>
      </c>
      <c r="EY188" s="42" t="n">
        <f aca="false">IF(AND(Tasks[[#This Row],[_IsLeaf]]=1,Tasks[[#This Row],[_ConstraintCode]]=1,Tasks[[#This Row],[Mode]]&lt;&gt;"Manual",N(Tasks[[#This Row],[Actual Start]])=0),MAX(0,N(Tasks[[#This Row],[Free Slack]])),0)</f>
        <v>0</v>
      </c>
      <c r="EZ188" s="89" t="str">
        <f aca="false">IF(NOT(Tasks[[#This Row],[_IsLeaf]]=1),"",IF(Tasks[[#This Row],[_AlapShift]]=0,Tasks[[#This Row],[_LeafCalcStart]],WORKDAY.INTL(Tasks[[#This Row],[_LeafCalcStart]],Tasks[[#This Row],[_AlapShift]],WorkWeek,Holidays)))</f>
        <v/>
      </c>
      <c r="FA188" s="89" t="str">
        <f aca="false">IF(NOT(Tasks[[#This Row],[_IsLeaf]]=1),"",IF(Tasks[[#This Row],[_AlapShift]]=0,Tasks[[#This Row],[_LeafCalcFinish]],WORKDAY.INTL(Tasks[[#This Row],[_LeafCalcFinish]],Tasks[[#This Row],[_AlapShift]],WorkWeek,Holidays)))</f>
        <v/>
      </c>
      <c r="FB188" s="89" t="str">
        <f aca="false">IF(NOT(Tasks[[#This Row],[_IsLeaf]]=1),"",IF(Tasks[[#This Row],[_AlapShift]]=0,Tasks[[#This Row],[_LeafFcstStart]],WORKDAY.INTL(Tasks[[#This Row],[_LeafFcstStart]],Tasks[[#This Row],[_AlapShift]],WorkWeek,Holidays)))</f>
        <v/>
      </c>
      <c r="FC188" s="89" t="str">
        <f aca="false">IF(NOT(Tasks[[#This Row],[_IsLeaf]]=1),"",IF(Tasks[[#This Row],[_AlapShift]]=0,Tasks[[#This Row],[_LeafFcstFinish]],WORKDAY.INTL(Tasks[[#This Row],[_LeafFcstFinish]],Tasks[[#This Row],[_AlapShift]],WorkWeek,Holidays)))</f>
        <v/>
      </c>
      <c r="FD188" s="89" t="str">
        <f aca="false">IF(Tasks[[#This Row],[Task Name]]="","",IF(Tasks[[#This Row],[_IsSummary]],MIN(INDEX(Tasks[_ShownCalcStart],Tasks[[#This Row],[_Row]]+1):INDEX(Tasks[_ShownCalcStart],Tasks[[#This Row],[_Row]]+Tasks[[#This Row],[_Descendants]])),Tasks[[#This Row],[_ShownCalcStart]]))</f>
        <v/>
      </c>
      <c r="FE188" s="89" t="str">
        <f aca="false">IF(Tasks[[#This Row],[Task Name]]="","",IF(Tasks[[#This Row],[_IsSummary]],MAX(INDEX(Tasks[_ShownCalcFinish],Tasks[[#This Row],[_Row]]+1):INDEX(Tasks[_ShownCalcFinish],Tasks[[#This Row],[_Row]]+Tasks[[#This Row],[_Descendants]])),Tasks[[#This Row],[_ShownCalcFinish]]))</f>
        <v/>
      </c>
      <c r="FF18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8" s="42" t="n">
        <f aca="false">IF(AND(Tasks[[#This Row],[_IsLeaf]]=1,Tasks[[#This Row],[_LeafTotalWork]]&gt;0),NETWORKDAYS.INTL(ProjectStart,Tasks[[#This Row],[_ShownFcstStart]],WorkWeek,Holidays),0)</f>
        <v>0</v>
      </c>
      <c r="FS188" s="42" t="n">
        <f aca="false">IF(AND(Tasks[[#This Row],[_IsLeaf]]=1,Tasks[[#This Row],[_LeafTotalWork]]&gt;0),MAX(Tasks[[#This Row],[_StartWorkday]],NETWORKDAYS.INTL(ProjectStart,Tasks[[#This Row],[_ShownFcstFinish]],WorkWeek,Holidays)),0)</f>
        <v>0</v>
      </c>
      <c r="FT188" s="42" t="n">
        <f aca="false">IF(AND(Tasks[[#This Row],[_IsLeaf]]=1,Tasks[[#This Row],[_LeafTotalWork]]&gt;0),Tasks[[#This Row],[_LeafWork]]/(Tasks[[#This Row],[_FinishWorkday]]-Tasks[[#This Row],[_StartWorkday]]+1),0)</f>
        <v>0</v>
      </c>
      <c r="FU188" s="42" t="n">
        <f aca="false">Tasks[[#This Row],[_WorkPerWorkday]]*(Tasks[[#This Row],[_StartWorkday]]-1)</f>
        <v>-0</v>
      </c>
      <c r="FV188" s="42" t="n">
        <f aca="false">IF(Tasks[[#This Row],[_IsLeaf]]=1,MAX(N(Tasks[[#This Row],[_Days]]),0.1),0)</f>
        <v>0</v>
      </c>
      <c r="FW188" s="42" t="n">
        <f aca="false">Tasks[[#This Row],[_WeightDur]]*Tasks[[#This Row],[_LeafProgress]]</f>
        <v>0</v>
      </c>
      <c r="FX188" s="42" t="n">
        <f aca="false">Tasks[[#This Row],[_WeightDur]]*Tasks[[#This Row],[_PlannedPct]]</f>
        <v>0</v>
      </c>
      <c r="FY18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8" s="42" t="str">
        <f aca="false">IF(AND(Tasks[[#This Row],[_IsLeaf]]=1,N(Tasks[[#This Row],[_Days]])=0,Tasks[[#This Row],[_LeafProgress]]&lt;1),Tasks[[#This Row],[_ShownFcstFinish]]+Tasks[[#This Row],[_Row]]/100000,"")</f>
        <v/>
      </c>
      <c r="GA18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8" s="42" t="str">
        <f aca="false">IF(Tasks[[#This Row],[Task Name]]="","",LEFT(Tasks[[#This Row],[WBS]],FIND(".",Tasks[[#This Row],[WBS]]&amp;".")-1))</f>
        <v/>
      </c>
      <c r="GC188" s="42" t="str">
        <f aca="false">IF(AND(Tasks[[#This Row],[Task Name]]&lt;&gt;"",Tasks[[#This Row],[_Level]]=1),Tasks[[#This Row],[_Row]],"")</f>
        <v/>
      </c>
      <c r="GD188" s="42" t="str">
        <f aca="false">IF(AND(Tasks[[#This Row],[_IsLeaf]]=1,N(Tasks[[#This Row],[_Days]])=0),Tasks[[#This Row],[Planned Finish]]+Tasks[[#This Row],[_Row]]/100000,"")</f>
        <v/>
      </c>
      <c r="GE188" s="42" t="str">
        <f aca="false">IF(AND(Tasks[[#This Row],[_IsLeaf]]=1,Tasks[[#This Row],[_LeafProgress]]&lt;1,OR(N(Tasks[[#This Row],[Finish Var]])&gt;0,Tasks[[#This Row],[Status]]="Late Start")),MAX(0,Tasks[[#This Row],[Finish Var]])+1-Tasks[[#This Row],[_Row]]/1000000,"")</f>
        <v/>
      </c>
      <c r="GF188" s="42" t="str">
        <f aca="false">IF(AND(Tasks[[#This Row],[_IsLeaf]]=1,N(Tasks[[#This Row],[Actual Start]])=0,Tasks[[#This Row],[_ShownFcstStart]]&gt;=StatusDate,Tasks[[#This Row],[_ShownFcstStart]]&lt;=LookaheadEnd),Tasks[[#This Row],[_ShownFcstStart]]+Tasks[[#This Row],[_Row]]/100000,"")</f>
        <v/>
      </c>
      <c r="GG188" s="42" t="str">
        <f aca="false">IF(AND(Tasks[[#This Row],[_IsLeaf]]=1,Tasks[[#This Row],[_LeafProgress]]&lt;1,Tasks[[#This Row],[_ShownFcstFinish]]&gt;=StatusDate,Tasks[[#This Row],[_ShownFcstFinish]]&lt;=LookaheadEnd),Tasks[[#This Row],[_ShownFcstFinish]]+Tasks[[#This Row],[_Row]]/100000,"")</f>
        <v/>
      </c>
      <c r="GH188" s="42" t="str">
        <f aca="false">IF(Tasks[[#This Row],[_LeafCritical]],Tasks[[#This Row],[_ShownFcstStart]]+Tasks[[#This Row],[_Row]]/100000,"")</f>
        <v/>
      </c>
      <c r="GI188" s="42" t="n">
        <f aca="false">Tasks[[#This Row],[_LeafWork]]*Tasks[[#This Row],[_LeafProgress]]</f>
        <v>0</v>
      </c>
      <c r="GJ188" s="89" t="str">
        <f aca="false">IF(AND(Tasks[[#This Row],[_IsLeaf]]=1,Tasks[[#This Row],[_LeafProgress]]&gt;=1),IF(N(Tasks[[#This Row],[Actual Finish]])&gt;0,Tasks[[#This Row],[Actual Finish]],Tasks[[#This Row],[_ShownFcstFinish]]),"")</f>
        <v/>
      </c>
      <c r="GK188" s="42" t="n">
        <f aca="false">IF(Tasks[[#This Row],[_IsLeaf]]=1,N(Tasks[[#This Row],[Story Points]]),0)</f>
        <v>0</v>
      </c>
      <c r="GL188" s="42" t="str">
        <f aca="false">""</f>
        <v/>
      </c>
      <c r="GM188" s="88" t="b">
        <f aca="false">IF(Tasks[[#This Row],[Task Name]]="",FALSE(),AND(Tasks[[#This Row],[_IsLeaf]]=1,N(Tasks[[#This Row],[_Days]])=0))</f>
        <v>0</v>
      </c>
      <c r="GN188" s="89" t="n">
        <f aca="false">IF(Tasks[[#This Row],[Task Name]]="",0,IF(AND(Tasks[[#This Row],[_IsLeaf]]=1,NOT(Tasks[[#This Row],[_IsMilestone]]),N(Tasks[[#This Row],[Progress]])&gt;0),Tasks[[#This Row],[Start]],0))</f>
        <v>0</v>
      </c>
      <c r="GO188" s="89" t="n">
        <f aca="false">IF(Tasks[[#This Row],[_DoneFrom]]=0,0,IF(Tasks[[#This Row],[Progress]]&gt;=1,Tasks[[#This Row],[Finish]],MAX(Tasks[[#This Row],[_DoneFrom]],Tasks[[#This Row],[Start]]+ROUND((Tasks[[#This Row],[Finish]]-Tasks[[#This Row],[Start]]+1)*Tasks[[#This Row],[Progress]],0)-1)))</f>
        <v>0</v>
      </c>
      <c r="GP188" s="89" t="n">
        <f aca="false">IF(Tasks[[#This Row],[Task Name]]="",0,IF(OR(NOT(Tasks[[#This Row],[_IsLeaf]]=1),Tasks[[#This Row],[_IsMilestone]],N(Tasks[[#This Row],[Progress]])&gt;=1),0,IF(Tasks[[#This Row],[_DoneTo]]&gt;0,Tasks[[#This Row],[_DoneTo]]+1,Tasks[[#This Row],[Start]])))</f>
        <v>0</v>
      </c>
      <c r="GQ188" s="89" t="n">
        <f aca="false">IF(Tasks[[#This Row],[_RemFrom]]=0,0,Tasks[[#This Row],[Finish]])</f>
        <v>0</v>
      </c>
      <c r="GR188" s="88" t="b">
        <f aca="false">IF(Tasks[[#This Row],[Task Name]]="",FALSE(),OR(NOT(BaselineSet),N(Tasks[[#This Row],[Baseline Start]])&gt;0))</f>
        <v>0</v>
      </c>
      <c r="GS18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8" s="90" t="str">
        <f aca="false">IF(Tasks[[#This Row],[_IsLeaf]]=1,Tasks[[#This Row],[_Row]],"")</f>
        <v/>
      </c>
      <c r="GW188" s="90" t="str">
        <f aca="false">IFERROR(INDEX(Tasks[UID],SMALL(Tasks[_PickKey],Tasks[[#This Row],[_Row]]))&amp;" "&amp;INDEX(Tasks[Task Name],SMALL(Tasks[_PickKey],Tasks[[#This Row],[_Row]])),"")</f>
        <v/>
      </c>
      <c r="GX188" s="42" t="str">
        <f aca="false">IF(Tasks[[#This Row],[Task Name]]="","",IF(Tasks[[#This Row],[_IsSummary]],NETWORKDAYS.INTL(Tasks[[#This Row],[Start]],Tasks[[#This Row],[Finish]],WorkWeek,Holidays),N(Tasks[[#This Row],[_Days]])))</f>
        <v/>
      </c>
    </row>
    <row r="189" customFormat="false" ht="15" hidden="false" customHeight="false" outlineLevel="0" collapsed="false">
      <c r="A189" s="21" t="str">
        <f aca="false">IF(Tasks[[#This Row],[Task Name]]="","",COUNTA(Tasks[[#Headers],[Task Name]]:Tasks[[#This Row],[Task Name]])-1)</f>
        <v/>
      </c>
      <c r="B189" s="22" t="n">
        <v>197</v>
      </c>
      <c r="C189" s="22"/>
      <c r="D189" s="23"/>
      <c r="E189" s="22"/>
      <c r="F189" s="23"/>
      <c r="G189" s="22"/>
      <c r="H189" s="22"/>
      <c r="I189" s="23"/>
      <c r="J189" s="22"/>
      <c r="K189" s="22"/>
      <c r="L189" s="23"/>
      <c r="M189" s="22"/>
      <c r="N189" s="22"/>
      <c r="O189" s="23"/>
      <c r="P189" s="22"/>
      <c r="Q189" s="22"/>
      <c r="R189" s="23"/>
      <c r="S189" s="23"/>
      <c r="T189" s="83"/>
      <c r="U189" s="23"/>
      <c r="V189" s="83"/>
      <c r="W189" s="23"/>
      <c r="X189" s="83"/>
      <c r="Y189" s="23"/>
      <c r="Z189" s="83"/>
      <c r="AA189" s="23"/>
      <c r="AB189" s="23"/>
      <c r="AC189" s="7"/>
      <c r="AD189" s="7"/>
      <c r="AE189" s="62" t="str">
        <f aca="false">IF(Tasks[[#This Row],[Task Name]]="","",IF(Tasks[[#This Row],[_IsSummary]],MIN(INDEX(Tasks[_ShownFcstStart],Tasks[[#This Row],[_Row]]+1):INDEX(Tasks[_ShownFcstStart],Tasks[[#This Row],[_Row]]+Tasks[[#This Row],[_Descendants]])),Tasks[[#This Row],[_ShownFcstStart]]))</f>
        <v/>
      </c>
      <c r="AF189" s="62" t="str">
        <f aca="false">IF(Tasks[[#This Row],[Task Name]]="","",IF(Tasks[[#This Row],[_IsSummary]],MAX(INDEX(Tasks[_ShownFcstFinish],Tasks[[#This Row],[_Row]]+1):INDEX(Tasks[_ShownFcstFinish],Tasks[[#This Row],[_Row]]+Tasks[[#This Row],[_Descendants]])),Tasks[[#This Row],[_ShownFcstFinish]]))</f>
        <v/>
      </c>
      <c r="AG189" s="21" t="str">
        <f aca="false">""</f>
        <v/>
      </c>
      <c r="AH189" s="23"/>
      <c r="AI18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89" s="7"/>
      <c r="AK189" s="22"/>
      <c r="AL189" s="23"/>
      <c r="AM189" s="7"/>
      <c r="AN189" s="46" t="str">
        <f aca="false">IF(Tasks[[#This Row],[Task Name]]="","",IF(Tasks[[#This Row],[Finish]]&gt;=Tasks[[#This Row],[Planned Finish]],NETWORKDAYS.INTL(Tasks[[#This Row],[Planned Finish]],Tasks[[#This Row],[Finish]],WorkWeek,Holidays)-1,1-NETWORKDAYS.INTL(Tasks[[#This Row],[Finish]],Tasks[[#This Row],[Planned Finish]],WorkWeek,Holidays)))</f>
        <v/>
      </c>
      <c r="AO189" s="21" t="str">
        <f aca="false">IF(Tasks[[#This Row],[Task Name]]="","",IF(Tasks[[#This Row],[Progress]]&gt;=1,"Complete",IF(OR(N(Tasks[[#This Row],[Actual Start]])&gt;0,Tasks[[#This Row],[Progress]]&gt;0),IF(Tasks[[#This Row],[Finish Var]]&gt;0,"Behind","In Progress"),IF(Tasks[[#This Row],[Planned Start]]&lt;StatusDate,"Late Start","Not Started"))))</f>
        <v/>
      </c>
      <c r="AP189" s="21" t="str">
        <f aca="false">IF(Tasks[[#This Row],[Task Name]]="","",IF(IF(Tasks[[#This Row],[_IsSummary]],COUNTIF(INDEX(Tasks[_LeafCritical],Tasks[[#This Row],[_Row]]+1):INDEX(Tasks[_LeafCritical],Tasks[[#This Row],[_Row]]+Tasks[[#This Row],[_Descendants]]),TRUE())&gt;0,Tasks[[#This Row],[_LeafCritical]]),"Yes",""))</f>
        <v/>
      </c>
      <c r="AQ189" s="62" t="str">
        <f aca="false">IF(Tasks[[#This Row],[Task Name]]="","",IF(N(Tasks[[#This Row],[Baseline Start]])&gt;0,Tasks[[#This Row],[Baseline Start]],Tasks[[#This Row],[_CalcStart]]))</f>
        <v/>
      </c>
      <c r="AR189" s="62" t="str">
        <f aca="false">IF(Tasks[[#This Row],[Task Name]]="","",IF(N(Tasks[[#This Row],[Baseline Finish]])&gt;0,Tasks[[#This Row],[Baseline Finish]],Tasks[[#This Row],[_CalcFinish]]))</f>
        <v/>
      </c>
      <c r="AS189" s="46" t="str">
        <f aca="false">IF(Tasks[[#This Row],[Task Name]]="","",IF(Tasks[[#This Row],[Start]]&gt;=Tasks[[#This Row],[Planned Start]],NETWORKDAYS.INTL(Tasks[[#This Row],[Planned Start]],Tasks[[#This Row],[Start]],WorkWeek,Holidays)-1,1-NETWORKDAYS.INTL(Tasks[[#This Row],[Start]],Tasks[[#This Row],[Planned Start]],WorkWeek,Holidays)))</f>
        <v/>
      </c>
      <c r="AT189" s="62" t="str">
        <f aca="false">IF(Tasks[[#This Row],[Task Name]]="","",IF(Tasks[[#This Row],[_IsSummary]],MIN(INDEX(Tasks[_LeafLateStart],Tasks[[#This Row],[_Row]]+1):INDEX(Tasks[_LeafLateStart],Tasks[[#This Row],[_Row]]+Tasks[[#This Row],[_Descendants]])),Tasks[[#This Row],[_LeafLateStart]]))</f>
        <v/>
      </c>
      <c r="AU189" s="62" t="str">
        <f aca="false">IF(Tasks[[#This Row],[Task Name]]="","",IF(Tasks[[#This Row],[_IsSummary]],MAX(INDEX(Tasks[_LeafLateFinish],Tasks[[#This Row],[_Row]]+1):INDEX(Tasks[_LeafLateFinish],Tasks[[#This Row],[_Row]]+Tasks[[#This Row],[_Descendants]])),Tasks[[#This Row],[_LeafLateFinish]]))</f>
        <v/>
      </c>
      <c r="AV189" s="46" t="str">
        <f aca="false">IF(Tasks[[#This Row],[Task Name]]="","",IF(Tasks[[#This Row],[_IsSummary]],MIN(INDEX(Tasks[_LeafTotalSlack],Tasks[[#This Row],[_Row]]+1):INDEX(Tasks[_LeafTotalSlack],Tasks[[#This Row],[_Row]]+Tasks[[#This Row],[_Descendants]])),Tasks[[#This Row],[_LeafTotalSlack]]))</f>
        <v/>
      </c>
      <c r="AW18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4"/>
      <c r="BA18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t="str">
        <f aca="false">IF(Tasks[[#This Row],[Task Name]]="","",IF(Tasks[[#This Row],[_Level]]&lt;=OutlineShowLevel,"Yes","No"))</f>
        <v/>
      </c>
      <c r="BE189" s="85" t="str">
        <f aca="false">IF(Tasks[[#This Row],[Task Name]]="","",IF(Tasks[[#This Row],[_IsSummary]],SUM(INDEX(Tasks[_LeafTotalWork],Tasks[[#This Row],[_Row]]+1):INDEX(Tasks[_LeafTotalWork],Tasks[[#This Row],[_Row]]+Tasks[[#This Row],[_Descendants]])),Tasks[[#This Row],[_LeafTotalWork]]))</f>
        <v/>
      </c>
      <c r="BF189" s="23"/>
      <c r="BG18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t="str">
        <f aca="false">""</f>
        <v/>
      </c>
      <c r="BI189" s="86"/>
      <c r="BJ189" s="22"/>
      <c r="BK189" s="46" t="str">
        <f aca="false">IF(OR(Tasks[[#This Row],[Task Name]]="",Tasks[[#This Row],[Baseline Duration]]=""),"",Tasks[[#This Row],[_SpanDays]]-N(Tasks[[#This Row],[Baseline Duration]]))</f>
        <v/>
      </c>
      <c r="BL189" s="85" t="str">
        <f aca="false">IF(OR(Tasks[[#This Row],[Task Name]]="",Tasks[[#This Row],[Baseline Work]]=""),"",Tasks[[#This Row],[Work]]-N(Tasks[[#This Row],[Baseline Work]]))</f>
        <v/>
      </c>
      <c r="BM189" s="62" t="str">
        <f aca="false">IF(Tasks[[#This Row],[Task Name]]="","",IF(OR(TakeBaseline="Yes",N(Tasks[[#This Row],[Baseline Start]])=0),Tasks[[#This Row],[Start]],Tasks[[#This Row],[Baseline Start]]))</f>
        <v/>
      </c>
      <c r="BN189" s="62" t="str">
        <f aca="false">IF(Tasks[[#This Row],[Task Name]]="","",IF(OR(TakeBaseline="Yes",N(Tasks[[#This Row],[Baseline Finish]])=0),Tasks[[#This Row],[Finish]],Tasks[[#This Row],[Baseline Finish]]))</f>
        <v/>
      </c>
      <c r="BO189" s="21" t="str">
        <f aca="false">IF(Tasks[[#This Row],[Task Name]]="","",IF(OR(TakeBaseline="Yes",N(Tasks[[#This Row],[Baseline Duration]])=0),Tasks[[#This Row],[_SpanDays]],Tasks[[#This Row],[Baseline Duration]]))</f>
        <v/>
      </c>
      <c r="BP189" s="85" t="str">
        <f aca="false">IF(Tasks[[#This Row],[Task Name]]="","",IF(OR(TakeBaseline="Yes",N(Tasks[[#This Row],[Baseline Work]])=0),Tasks[[#This Row],[Work]],Tasks[[#This Row],[Baseline Work]]))</f>
        <v/>
      </c>
      <c r="BQ189" s="7"/>
      <c r="BR189" s="7"/>
      <c r="BS189" s="22"/>
      <c r="BT189" s="87"/>
      <c r="BU189" s="42" t="str">
        <f aca="false">IF(Tasks[[#This Row],[Task Name]]="","",MAX(1,N(Tasks[[#This Row],[Level]])))</f>
        <v/>
      </c>
      <c r="BV189" s="42" t="n">
        <f aca="false">ROW()-ROW(Tasks[[#Headers],[ID]])</f>
        <v>184</v>
      </c>
      <c r="BW189" s="42" t="n">
        <f aca="false">IF(OR(Tasks[[#This Row],[Task Name]]="",Tasks[[#This Row],[_Level]]&lt;=1),0,IFERROR(LOOKUP(2,1/(Tasks[[#Headers],[_Level]]:Tasks[[#This Row],[_Level]]=Tasks[[#This Row],[_Level]]-1),ROW(Tasks[[#Headers],[_Level]]:Tasks[[#This Row],[_Level]])),0))</f>
        <v>0</v>
      </c>
      <c r="BX189" s="42" t="n">
        <f aca="false">IFERROR(N(INDEX(Tasks[_Level],Tasks[[#This Row],[_Row]]+1)),0)</f>
        <v>0</v>
      </c>
      <c r="BY189" s="88" t="b">
        <f aca="false">AND(Tasks[[#This Row],[Task Name]]&lt;&gt;"",Tasks[[#This Row],[_NextLevel]]&gt;Tasks[[#This Row],[_Level]])</f>
        <v>0</v>
      </c>
      <c r="BZ189" s="42" t="n">
        <f aca="false">IF(Tasks[[#This Row],[_IsSummary]],COUNTIF(Tasks[WBS],Tasks[[#This Row],[WBS]]&amp;".*"),0)</f>
        <v>0</v>
      </c>
      <c r="CA189" s="42" t="n">
        <f aca="false">IF(AND(Tasks[[#This Row],[Task Name]]&lt;&gt;"",NOT(Tasks[[#This Row],[_IsSummary]])),1,0)</f>
        <v>0</v>
      </c>
      <c r="CB189" s="42" t="n">
        <f aca="false">IF(N(Tasks[[#This Row],[_Pred1UID]])=0,0,IFERROR(MATCH(Tasks[[#This Row],[_Pred1UID]],Tasks[UID],0),-1))</f>
        <v>0</v>
      </c>
      <c r="CC189" s="42" t="n">
        <f aca="false">IF(N(Tasks[[#This Row],[_Pred2UID]])=0,0,IFERROR(MATCH(Tasks[[#This Row],[_Pred2UID]],Tasks[UID],0),-1))</f>
        <v>0</v>
      </c>
      <c r="CD189" s="42" t="n">
        <f aca="false">IF(N(Tasks[[#This Row],[_Pred3UID]])=0,0,IFERROR(MATCH(Tasks[[#This Row],[_Pred3UID]],Tasks[UID],0),-1))</f>
        <v>0</v>
      </c>
      <c r="CE189" s="42" t="n">
        <f aca="false">IF(N(Tasks[[#This Row],[_Pred4UID]])=0,0,IFERROR(MATCH(Tasks[[#This Row],[_Pred4UID]],Tasks[UID],0),-1))</f>
        <v>0</v>
      </c>
      <c r="CF18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8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89" s="89" t="n">
        <f aca="false">IF(OR(Tasks[[#This Row],[_ConstraintCode]]=2,Tasks[[#This Row],[_ConstraintCode]]=3,Tasks[[#This Row],[_ConstraintCode]]=4,Tasks[[#This Row],[_ConstraintCode]]=6),Tasks[[#This Row],[_ConstraintStart]],0)</f>
        <v>0</v>
      </c>
      <c r="CI189" s="89" t="n">
        <f aca="false">IF(OR(Tasks[[#This Row],[_ConstraintCode]]=2,Tasks[[#This Row],[_ConstraintCode]]=3,Tasks[[#This Row],[_ConstraintCode]]=5,Tasks[[#This Row],[_ConstraintCode]]=7),Tasks[[#This Row],[_ConstraintStart]],2958465)</f>
        <v>2958465</v>
      </c>
      <c r="CJ18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89" s="89" t="str">
        <f aca="false">IF(NOT(Tasks[[#This Row],[_IsLeaf]]=1),"",IF(N(Tasks[[#This Row],[_Days]])&lt;=0,Tasks[[#This Row],[_LeafCalcStart]],WORKDAY.INTL(Tasks[[#This Row],[_LeafCalcStart]],Tasks[[#This Row],[_Days]]-1,WorkWeek,Holidays)))</f>
        <v/>
      </c>
      <c r="CL18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8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89" s="42" t="str">
        <f aca="false">IF(Tasks[[#This Row],[_Predecessors]]="","",TRIM(MID(SUBSTITUTE(SUBSTITUTE(SUBSTITUTE(UPPER(Tasks[[#This Row],[_Predecessors]]),";",",")," ",""),",",REPT(" ",99)),1,99)))</f>
        <v/>
      </c>
      <c r="CO189" s="42" t="str">
        <f aca="false">IF(Tasks[[#This Row],[_Pred1Text]]="","",IFERROR(VALUE(LEFT(Tasks[[#This Row],[_Pred1Text]],MIN(FIND("F",Tasks[[#This Row],[_Pred1Text]]&amp;"F"),FIND("S",Tasks[[#This Row],[_Pred1Text]]&amp;"S"),FIND("+",Tasks[[#This Row],[_Pred1Text]]&amp;"+"),FIND("-",Tasks[[#This Row],[_Pred1Text]]&amp;"-"))-1)),""))</f>
        <v/>
      </c>
      <c r="CP18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8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89" s="42" t="str">
        <f aca="false">IF(Tasks[[#This Row],[_Pred1Text]]="","",TRIM(MID(SUBSTITUTE(SUBSTITUTE(SUBSTITUTE(UPPER(Tasks[[#This Row],[_Predecessors]]),";",",")," ",""),",",REPT(" ",99)),100,99)))</f>
        <v/>
      </c>
      <c r="CS189" s="42" t="str">
        <f aca="false">IF(Tasks[[#This Row],[_Pred2Text]]="","",IFERROR(VALUE(LEFT(Tasks[[#This Row],[_Pred2Text]],MIN(FIND("F",Tasks[[#This Row],[_Pred2Text]]&amp;"F"),FIND("S",Tasks[[#This Row],[_Pred2Text]]&amp;"S"),FIND("+",Tasks[[#This Row],[_Pred2Text]]&amp;"+"),FIND("-",Tasks[[#This Row],[_Pred2Text]]&amp;"-"))-1)),""))</f>
        <v/>
      </c>
      <c r="CT18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8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89" s="42" t="str">
        <f aca="false">IF(Tasks[[#This Row],[_Pred2Text]]="","",TRIM(MID(SUBSTITUTE(SUBSTITUTE(SUBSTITUTE(UPPER(Tasks[[#This Row],[_Predecessors]]),";",",")," ",""),",",REPT(" ",99)),199,99)))</f>
        <v/>
      </c>
      <c r="CW189" s="42" t="str">
        <f aca="false">IF(Tasks[[#This Row],[_Pred3Text]]="","",IFERROR(VALUE(LEFT(Tasks[[#This Row],[_Pred3Text]],MIN(FIND("F",Tasks[[#This Row],[_Pred3Text]]&amp;"F"),FIND("S",Tasks[[#This Row],[_Pred3Text]]&amp;"S"),FIND("+",Tasks[[#This Row],[_Pred3Text]]&amp;"+"),FIND("-",Tasks[[#This Row],[_Pred3Text]]&amp;"-"))-1)),""))</f>
        <v/>
      </c>
      <c r="CX18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8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89" s="42" t="str">
        <f aca="false">IF(Tasks[[#This Row],[_Pred3Text]]="","",TRIM(MID(SUBSTITUTE(SUBSTITUTE(SUBSTITUTE(UPPER(Tasks[[#This Row],[_Predecessors]]),";",",")," ",""),",",REPT(" ",99)),298,99)))</f>
        <v/>
      </c>
      <c r="DA189" s="42" t="str">
        <f aca="false">IF(Tasks[[#This Row],[_Pred4Text]]="","",IFERROR(VALUE(LEFT(Tasks[[#This Row],[_Pred4Text]],MIN(FIND("F",Tasks[[#This Row],[_Pred4Text]]&amp;"F"),FIND("S",Tasks[[#This Row],[_Pred4Text]]&amp;"S"),FIND("+",Tasks[[#This Row],[_Pred4Text]]&amp;"+"),FIND("-",Tasks[[#This Row],[_Pred4Text]]&amp;"-"))-1)),""))</f>
        <v/>
      </c>
      <c r="DB18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8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89" s="42" t="str">
        <f aca="false">IF(OR(Tasks[[#This Row],[Task Name]]="",Tasks[[#This Row],[_Resources]]=""),"",TRIM(MID(SUBSTITUTE(Tasks[[#This Row],[_Resources]],",",REPT(" ",99)),1,99)))</f>
        <v/>
      </c>
      <c r="DE189" s="42" t="str">
        <f aca="false">IF(Tasks[[#This Row],[_Res1Text]]="","",TRIM(MID(SUBSTITUTE(Tasks[[#This Row],[_Resources]],",",REPT(" ",99)),100,99)))</f>
        <v/>
      </c>
      <c r="DF189" s="42" t="str">
        <f aca="false">IF(Tasks[[#This Row],[_Res2Text]]="","",TRIM(MID(SUBSTITUTE(Tasks[[#This Row],[_Resources]],",",REPT(" ",99)),199,99)))</f>
        <v/>
      </c>
      <c r="DG189" s="42" t="str">
        <f aca="false">IF(Tasks[[#This Row],[_Res3Text]]="","",TRIM(MID(SUBSTITUTE(Tasks[[#This Row],[_Resources]],",",REPT(" ",99)),298,99)))</f>
        <v/>
      </c>
      <c r="DH189" s="42" t="n">
        <f aca="false">IF(Tasks[[#This Row],[_Res1Text]]="",0,IFERROR(MATCH(TRIM(LEFT(Tasks[[#This Row],[_Res1Text]],FIND("[",Tasks[[#This Row],[_Res1Text]]&amp;"[")-1)),res_Name,0),IFERROR(MATCH(TRIM(LEFT(Tasks[[#This Row],[_Res1Text]],FIND("[",Tasks[[#This Row],[_Res1Text]]&amp;"[")-1)),res_Initials,0),0)))</f>
        <v>0</v>
      </c>
      <c r="DI189" s="42" t="n">
        <f aca="false">IF(Tasks[[#This Row],[_Res2Text]]="",0,IFERROR(MATCH(TRIM(LEFT(Tasks[[#This Row],[_Res2Text]],FIND("[",Tasks[[#This Row],[_Res2Text]]&amp;"[")-1)),res_Name,0),IFERROR(MATCH(TRIM(LEFT(Tasks[[#This Row],[_Res2Text]],FIND("[",Tasks[[#This Row],[_Res2Text]]&amp;"[")-1)),res_Initials,0),0)))</f>
        <v>0</v>
      </c>
      <c r="DJ189" s="42" t="n">
        <f aca="false">IF(Tasks[[#This Row],[_Res3Text]]="",0,IFERROR(MATCH(TRIM(LEFT(Tasks[[#This Row],[_Res3Text]],FIND("[",Tasks[[#This Row],[_Res3Text]]&amp;"[")-1)),res_Name,0),IFERROR(MATCH(TRIM(LEFT(Tasks[[#This Row],[_Res3Text]],FIND("[",Tasks[[#This Row],[_Res3Text]]&amp;"[")-1)),res_Initials,0),0)))</f>
        <v>0</v>
      </c>
      <c r="DK189" s="42" t="n">
        <f aca="false">IF(Tasks[[#This Row],[_Res4Text]]="",0,IFERROR(MATCH(TRIM(LEFT(Tasks[[#This Row],[_Res4Text]],FIND("[",Tasks[[#This Row],[_Res4Text]]&amp;"[")-1)),res_Name,0),IFERROR(MATCH(TRIM(LEFT(Tasks[[#This Row],[_Res4Text]],FIND("[",Tasks[[#This Row],[_Res4Text]]&amp;"[")-1)),res_Initials,0),0)))</f>
        <v>0</v>
      </c>
      <c r="DL189" s="42" t="str">
        <f aca="false">IF(Tasks[[#This Row],[_Res1Text]]="","",IF(Tasks[[#This Row],[_Res1Row]]&gt;0,INDEX(res_Name,Tasks[[#This Row],[_Res1Row]]),TRIM(LEFT(Tasks[[#This Row],[_Res1Text]],FIND("[",Tasks[[#This Row],[_Res1Text]]&amp;"[")-1))))</f>
        <v/>
      </c>
      <c r="DM18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89" s="42" t="n">
        <f aca="false">IF(NOT(Tasks[[#This Row],[_IsLeaf]]=1),0,(Tasks[[#This Row],[_Resource1]]&lt;&gt;"")+(Tasks[[#This Row],[_Res2]]&lt;&gt;"")+(Tasks[[#This Row],[_Res3]]&lt;&gt;"")+(Tasks[[#This Row],[_Res4]]&lt;&gt;""))</f>
        <v>0</v>
      </c>
      <c r="DO189" s="42" t="str">
        <f aca="false">IF(Tasks[[#This Row],[_Res2Text]]="","",IF(Tasks[[#This Row],[_Res2Row]]&gt;0,INDEX(res_Name,Tasks[[#This Row],[_Res2Row]]),TRIM(LEFT(Tasks[[#This Row],[_Res2Text]],FIND("[",Tasks[[#This Row],[_Res2Text]]&amp;"[")-1))))</f>
        <v/>
      </c>
      <c r="DP18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89" s="42" t="n">
        <f aca="false">IF(OR(NOT(Tasks[[#This Row],[_IsLeaf]]=1),Tasks[[#This Row],[_Res2Row]]=0),0,N(Tasks[[#This Row],[_Days]])*HoursPerDay*IF(Tasks[[#This Row],[_Res2Units]]="",DefaultUnits,Tasks[[#This Row],[_Res2Units]]))</f>
        <v>0</v>
      </c>
      <c r="DR189" s="42" t="n">
        <f aca="false">IF(AND(AND(Tasks[[#This Row],[_IsLeaf]]=1,Tasks[[#This Row],[_LeafTotalWork]]&gt;0),Tasks[[#This Row],[_Res2Work]]&gt;0),Tasks[[#This Row],[_Res2Work]]/(Tasks[[#This Row],[_FinishWorkday]]-Tasks[[#This Row],[_StartWorkday]]+1),0)</f>
        <v>0</v>
      </c>
      <c r="DS189" s="42" t="n">
        <f aca="false">Tasks[[#This Row],[_Res2WorkPerWD]]*MAX(0,Tasks[[#This Row],[_StartWorkday]]-1)</f>
        <v>0</v>
      </c>
      <c r="DT189" s="42" t="n">
        <f aca="false">Tasks[[#This Row],[_Res2Work]]*Tasks[[#This Row],[_LeafProgress]]</f>
        <v>0</v>
      </c>
      <c r="DU189" s="42" t="str">
        <f aca="false">IF(Tasks[[#This Row],[_Res3Text]]="","",IF(Tasks[[#This Row],[_Res3Row]]&gt;0,INDEX(res_Name,Tasks[[#This Row],[_Res3Row]]),TRIM(LEFT(Tasks[[#This Row],[_Res3Text]],FIND("[",Tasks[[#This Row],[_Res3Text]]&amp;"[")-1))))</f>
        <v/>
      </c>
      <c r="DV18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89" s="42" t="n">
        <f aca="false">IF(OR(NOT(Tasks[[#This Row],[_IsLeaf]]=1),Tasks[[#This Row],[_Res3Row]]=0),0,N(Tasks[[#This Row],[_Days]])*HoursPerDay*IF(Tasks[[#This Row],[_Res3Units]]="",DefaultUnits,Tasks[[#This Row],[_Res3Units]]))</f>
        <v>0</v>
      </c>
      <c r="DX189" s="42" t="n">
        <f aca="false">IF(AND(AND(Tasks[[#This Row],[_IsLeaf]]=1,Tasks[[#This Row],[_LeafTotalWork]]&gt;0),Tasks[[#This Row],[_Res3Work]]&gt;0),Tasks[[#This Row],[_Res3Work]]/(Tasks[[#This Row],[_FinishWorkday]]-Tasks[[#This Row],[_StartWorkday]]+1),0)</f>
        <v>0</v>
      </c>
      <c r="DY189" s="42" t="n">
        <f aca="false">Tasks[[#This Row],[_Res3WorkPerWD]]*MAX(0,Tasks[[#This Row],[_StartWorkday]]-1)</f>
        <v>0</v>
      </c>
      <c r="DZ189" s="42" t="n">
        <f aca="false">Tasks[[#This Row],[_Res3Work]]*Tasks[[#This Row],[_LeafProgress]]</f>
        <v>0</v>
      </c>
      <c r="EA189" s="42" t="str">
        <f aca="false">IF(Tasks[[#This Row],[_Res4Text]]="","",IF(Tasks[[#This Row],[_Res4Row]]&gt;0,INDEX(res_Name,Tasks[[#This Row],[_Res4Row]]),TRIM(LEFT(Tasks[[#This Row],[_Res4Text]],FIND("[",Tasks[[#This Row],[_Res4Text]]&amp;"[")-1))))</f>
        <v/>
      </c>
      <c r="EB18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89" s="42" t="n">
        <f aca="false">IF(OR(NOT(Tasks[[#This Row],[_IsLeaf]]=1),Tasks[[#This Row],[_Res4Row]]=0),0,N(Tasks[[#This Row],[_Days]])*HoursPerDay*IF(Tasks[[#This Row],[_Res4Units]]="",DefaultUnits,Tasks[[#This Row],[_Res4Units]]))</f>
        <v>0</v>
      </c>
      <c r="ED189" s="42" t="n">
        <f aca="false">IF(AND(AND(Tasks[[#This Row],[_IsLeaf]]=1,Tasks[[#This Row],[_LeafTotalWork]]&gt;0),Tasks[[#This Row],[_Res4Work]]&gt;0),Tasks[[#This Row],[_Res4Work]]/(Tasks[[#This Row],[_FinishWorkday]]-Tasks[[#This Row],[_StartWorkday]]+1),0)</f>
        <v>0</v>
      </c>
      <c r="EE189" s="42" t="n">
        <f aca="false">Tasks[[#This Row],[_Res4WorkPerWD]]*MAX(0,Tasks[[#This Row],[_StartWorkday]]-1)</f>
        <v>0</v>
      </c>
      <c r="EF189" s="42" t="n">
        <f aca="false">Tasks[[#This Row],[_Res4Work]]*Tasks[[#This Row],[_LeafProgress]]</f>
        <v>0</v>
      </c>
      <c r="EG189" s="42" t="n">
        <f aca="false">IF(ISNUMBER(Tasks[[#This Row],[% Complete]]),Tasks[[#This Row],[% Complete]],IF(Tasks[[#This Row],[Stage]]="",0,IFERROR(INDEX(stg_Pct,MATCH(Tasks[[#This Row],[Stage]],stg_Name,0)),0)))</f>
        <v>0</v>
      </c>
      <c r="EH189" s="42" t="n">
        <f aca="false">IF(NOT(Tasks[[#This Row],[_IsLeaf]]=1),0,IF(N(Tasks[[#This Row],[Actual Finish]])&gt;0,1,MIN(1,Tasks[[#This Row],[_Pct]])))</f>
        <v>0</v>
      </c>
      <c r="EI189" s="42" t="n">
        <f aca="false">IF(OR(NOT(Tasks[[#This Row],[_IsLeaf]]=1),Tasks[[#This Row],[_Res1Row]]=0),0,N(Tasks[[#This Row],[_Days]])*HoursPerDay*IF(Tasks[[#This Row],[_Units1]]="",DefaultUnits,Tasks[[#This Row],[_Units1]]))</f>
        <v>0</v>
      </c>
      <c r="EJ189" s="42" t="n">
        <f aca="false">Tasks[[#This Row],[_LeafWork]]+Tasks[[#This Row],[_Res2Work]]+Tasks[[#This Row],[_Res3Work]]+Tasks[[#This Row],[_Res4Work]]</f>
        <v>0</v>
      </c>
      <c r="EK18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8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8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8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8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8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8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8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89" s="42" t="n">
        <f aca="false">IF(NOT(Tasks[[#This Row],[_IsLeaf]]=1),0,MAX(_xlfn.MAXIFS(Tasks[_Row],Tasks[_Pred1UID],Tasks[[#This Row],[UID]]),_xlfn.MAXIFS(Tasks[_Row],Tasks[_Pred2UID],Tasks[[#This Row],[UID]]),_xlfn.MAXIFS(Tasks[_Row],Tasks[_Pred3UID],Tasks[[#This Row],[UID]]),_xlfn.MAXIFS(Tasks[_Row],Tasks[_Pred4UID],Tasks[[#This Row],[UID]])))</f>
        <v>0</v>
      </c>
      <c r="ET18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8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89" s="89" t="str">
        <f aca="false">IF(NOT(Tasks[[#This Row],[_IsLeaf]]=1),"",IF(N(Tasks[[#This Row],[_Days]])&lt;=0,Tasks[[#This Row],[_LeafLateFinish]],WORKDAY.INTL(Tasks[[#This Row],[_LeafLateFinish]],-(Tasks[[#This Row],[_Days]]-1),WorkWeek,Holidays)))</f>
        <v/>
      </c>
      <c r="EW18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89" s="88" t="b">
        <f aca="false">AND(Tasks[[#This Row],[_IsLeaf]]=1,Tasks[[#This Row],[_LeafProgress]]&lt;1,N(Tasks[[#This Row],[_LeafTotalSlack]])&lt;=CriticalSlackDays)</f>
        <v>0</v>
      </c>
      <c r="EY189" s="42" t="n">
        <f aca="false">IF(AND(Tasks[[#This Row],[_IsLeaf]]=1,Tasks[[#This Row],[_ConstraintCode]]=1,Tasks[[#This Row],[Mode]]&lt;&gt;"Manual",N(Tasks[[#This Row],[Actual Start]])=0),MAX(0,N(Tasks[[#This Row],[Free Slack]])),0)</f>
        <v>0</v>
      </c>
      <c r="EZ189" s="89" t="str">
        <f aca="false">IF(NOT(Tasks[[#This Row],[_IsLeaf]]=1),"",IF(Tasks[[#This Row],[_AlapShift]]=0,Tasks[[#This Row],[_LeafCalcStart]],WORKDAY.INTL(Tasks[[#This Row],[_LeafCalcStart]],Tasks[[#This Row],[_AlapShift]],WorkWeek,Holidays)))</f>
        <v/>
      </c>
      <c r="FA189" s="89" t="str">
        <f aca="false">IF(NOT(Tasks[[#This Row],[_IsLeaf]]=1),"",IF(Tasks[[#This Row],[_AlapShift]]=0,Tasks[[#This Row],[_LeafCalcFinish]],WORKDAY.INTL(Tasks[[#This Row],[_LeafCalcFinish]],Tasks[[#This Row],[_AlapShift]],WorkWeek,Holidays)))</f>
        <v/>
      </c>
      <c r="FB189" s="89" t="str">
        <f aca="false">IF(NOT(Tasks[[#This Row],[_IsLeaf]]=1),"",IF(Tasks[[#This Row],[_AlapShift]]=0,Tasks[[#This Row],[_LeafFcstStart]],WORKDAY.INTL(Tasks[[#This Row],[_LeafFcstStart]],Tasks[[#This Row],[_AlapShift]],WorkWeek,Holidays)))</f>
        <v/>
      </c>
      <c r="FC189" s="89" t="str">
        <f aca="false">IF(NOT(Tasks[[#This Row],[_IsLeaf]]=1),"",IF(Tasks[[#This Row],[_AlapShift]]=0,Tasks[[#This Row],[_LeafFcstFinish]],WORKDAY.INTL(Tasks[[#This Row],[_LeafFcstFinish]],Tasks[[#This Row],[_AlapShift]],WorkWeek,Holidays)))</f>
        <v/>
      </c>
      <c r="FD189" s="89" t="str">
        <f aca="false">IF(Tasks[[#This Row],[Task Name]]="","",IF(Tasks[[#This Row],[_IsSummary]],MIN(INDEX(Tasks[_ShownCalcStart],Tasks[[#This Row],[_Row]]+1):INDEX(Tasks[_ShownCalcStart],Tasks[[#This Row],[_Row]]+Tasks[[#This Row],[_Descendants]])),Tasks[[#This Row],[_ShownCalcStart]]))</f>
        <v/>
      </c>
      <c r="FE189" s="89" t="str">
        <f aca="false">IF(Tasks[[#This Row],[Task Name]]="","",IF(Tasks[[#This Row],[_IsSummary]],MAX(INDEX(Tasks[_ShownCalcFinish],Tasks[[#This Row],[_Row]]+1):INDEX(Tasks[_ShownCalcFinish],Tasks[[#This Row],[_Row]]+Tasks[[#This Row],[_Descendants]])),Tasks[[#This Row],[_ShownCalcFinish]]))</f>
        <v/>
      </c>
      <c r="FF18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8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8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8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8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8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8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8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8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8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8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8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89" s="42" t="n">
        <f aca="false">IF(AND(Tasks[[#This Row],[_IsLeaf]]=1,Tasks[[#This Row],[_LeafTotalWork]]&gt;0),NETWORKDAYS.INTL(ProjectStart,Tasks[[#This Row],[_ShownFcstStart]],WorkWeek,Holidays),0)</f>
        <v>0</v>
      </c>
      <c r="FS189" s="42" t="n">
        <f aca="false">IF(AND(Tasks[[#This Row],[_IsLeaf]]=1,Tasks[[#This Row],[_LeafTotalWork]]&gt;0),MAX(Tasks[[#This Row],[_StartWorkday]],NETWORKDAYS.INTL(ProjectStart,Tasks[[#This Row],[_ShownFcstFinish]],WorkWeek,Holidays)),0)</f>
        <v>0</v>
      </c>
      <c r="FT189" s="42" t="n">
        <f aca="false">IF(AND(Tasks[[#This Row],[_IsLeaf]]=1,Tasks[[#This Row],[_LeafTotalWork]]&gt;0),Tasks[[#This Row],[_LeafWork]]/(Tasks[[#This Row],[_FinishWorkday]]-Tasks[[#This Row],[_StartWorkday]]+1),0)</f>
        <v>0</v>
      </c>
      <c r="FU189" s="42" t="n">
        <f aca="false">Tasks[[#This Row],[_WorkPerWorkday]]*(Tasks[[#This Row],[_StartWorkday]]-1)</f>
        <v>-0</v>
      </c>
      <c r="FV189" s="42" t="n">
        <f aca="false">IF(Tasks[[#This Row],[_IsLeaf]]=1,MAX(N(Tasks[[#This Row],[_Days]]),0.1),0)</f>
        <v>0</v>
      </c>
      <c r="FW189" s="42" t="n">
        <f aca="false">Tasks[[#This Row],[_WeightDur]]*Tasks[[#This Row],[_LeafProgress]]</f>
        <v>0</v>
      </c>
      <c r="FX189" s="42" t="n">
        <f aca="false">Tasks[[#This Row],[_WeightDur]]*Tasks[[#This Row],[_PlannedPct]]</f>
        <v>0</v>
      </c>
      <c r="FY18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89" s="42" t="str">
        <f aca="false">IF(AND(Tasks[[#This Row],[_IsLeaf]]=1,N(Tasks[[#This Row],[_Days]])=0,Tasks[[#This Row],[_LeafProgress]]&lt;1),Tasks[[#This Row],[_ShownFcstFinish]]+Tasks[[#This Row],[_Row]]/100000,"")</f>
        <v/>
      </c>
      <c r="GA18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89" s="42" t="str">
        <f aca="false">IF(Tasks[[#This Row],[Task Name]]="","",LEFT(Tasks[[#This Row],[WBS]],FIND(".",Tasks[[#This Row],[WBS]]&amp;".")-1))</f>
        <v/>
      </c>
      <c r="GC189" s="42" t="str">
        <f aca="false">IF(AND(Tasks[[#This Row],[Task Name]]&lt;&gt;"",Tasks[[#This Row],[_Level]]=1),Tasks[[#This Row],[_Row]],"")</f>
        <v/>
      </c>
      <c r="GD189" s="42" t="str">
        <f aca="false">IF(AND(Tasks[[#This Row],[_IsLeaf]]=1,N(Tasks[[#This Row],[_Days]])=0),Tasks[[#This Row],[Planned Finish]]+Tasks[[#This Row],[_Row]]/100000,"")</f>
        <v/>
      </c>
      <c r="GE189" s="42" t="str">
        <f aca="false">IF(AND(Tasks[[#This Row],[_IsLeaf]]=1,Tasks[[#This Row],[_LeafProgress]]&lt;1,OR(N(Tasks[[#This Row],[Finish Var]])&gt;0,Tasks[[#This Row],[Status]]="Late Start")),MAX(0,Tasks[[#This Row],[Finish Var]])+1-Tasks[[#This Row],[_Row]]/1000000,"")</f>
        <v/>
      </c>
      <c r="GF189" s="42" t="str">
        <f aca="false">IF(AND(Tasks[[#This Row],[_IsLeaf]]=1,N(Tasks[[#This Row],[Actual Start]])=0,Tasks[[#This Row],[_ShownFcstStart]]&gt;=StatusDate,Tasks[[#This Row],[_ShownFcstStart]]&lt;=LookaheadEnd),Tasks[[#This Row],[_ShownFcstStart]]+Tasks[[#This Row],[_Row]]/100000,"")</f>
        <v/>
      </c>
      <c r="GG189" s="42" t="str">
        <f aca="false">IF(AND(Tasks[[#This Row],[_IsLeaf]]=1,Tasks[[#This Row],[_LeafProgress]]&lt;1,Tasks[[#This Row],[_ShownFcstFinish]]&gt;=StatusDate,Tasks[[#This Row],[_ShownFcstFinish]]&lt;=LookaheadEnd),Tasks[[#This Row],[_ShownFcstFinish]]+Tasks[[#This Row],[_Row]]/100000,"")</f>
        <v/>
      </c>
      <c r="GH189" s="42" t="str">
        <f aca="false">IF(Tasks[[#This Row],[_LeafCritical]],Tasks[[#This Row],[_ShownFcstStart]]+Tasks[[#This Row],[_Row]]/100000,"")</f>
        <v/>
      </c>
      <c r="GI189" s="42" t="n">
        <f aca="false">Tasks[[#This Row],[_LeafWork]]*Tasks[[#This Row],[_LeafProgress]]</f>
        <v>0</v>
      </c>
      <c r="GJ189" s="89" t="str">
        <f aca="false">IF(AND(Tasks[[#This Row],[_IsLeaf]]=1,Tasks[[#This Row],[_LeafProgress]]&gt;=1),IF(N(Tasks[[#This Row],[Actual Finish]])&gt;0,Tasks[[#This Row],[Actual Finish]],Tasks[[#This Row],[_ShownFcstFinish]]),"")</f>
        <v/>
      </c>
      <c r="GK189" s="42" t="n">
        <f aca="false">IF(Tasks[[#This Row],[_IsLeaf]]=1,N(Tasks[[#This Row],[Story Points]]),0)</f>
        <v>0</v>
      </c>
      <c r="GL189" s="42" t="str">
        <f aca="false">""</f>
        <v/>
      </c>
      <c r="GM189" s="88" t="b">
        <f aca="false">IF(Tasks[[#This Row],[Task Name]]="",FALSE(),AND(Tasks[[#This Row],[_IsLeaf]]=1,N(Tasks[[#This Row],[_Days]])=0))</f>
        <v>0</v>
      </c>
      <c r="GN189" s="89" t="n">
        <f aca="false">IF(Tasks[[#This Row],[Task Name]]="",0,IF(AND(Tasks[[#This Row],[_IsLeaf]]=1,NOT(Tasks[[#This Row],[_IsMilestone]]),N(Tasks[[#This Row],[Progress]])&gt;0),Tasks[[#This Row],[Start]],0))</f>
        <v>0</v>
      </c>
      <c r="GO189" s="89" t="n">
        <f aca="false">IF(Tasks[[#This Row],[_DoneFrom]]=0,0,IF(Tasks[[#This Row],[Progress]]&gt;=1,Tasks[[#This Row],[Finish]],MAX(Tasks[[#This Row],[_DoneFrom]],Tasks[[#This Row],[Start]]+ROUND((Tasks[[#This Row],[Finish]]-Tasks[[#This Row],[Start]]+1)*Tasks[[#This Row],[Progress]],0)-1)))</f>
        <v>0</v>
      </c>
      <c r="GP189" s="89" t="n">
        <f aca="false">IF(Tasks[[#This Row],[Task Name]]="",0,IF(OR(NOT(Tasks[[#This Row],[_IsLeaf]]=1),Tasks[[#This Row],[_IsMilestone]],N(Tasks[[#This Row],[Progress]])&gt;=1),0,IF(Tasks[[#This Row],[_DoneTo]]&gt;0,Tasks[[#This Row],[_DoneTo]]+1,Tasks[[#This Row],[Start]])))</f>
        <v>0</v>
      </c>
      <c r="GQ189" s="89" t="n">
        <f aca="false">IF(Tasks[[#This Row],[_RemFrom]]=0,0,Tasks[[#This Row],[Finish]])</f>
        <v>0</v>
      </c>
      <c r="GR189" s="88" t="b">
        <f aca="false">IF(Tasks[[#This Row],[Task Name]]="",FALSE(),OR(NOT(BaselineSet),N(Tasks[[#This Row],[Baseline Start]])&gt;0))</f>
        <v>0</v>
      </c>
      <c r="GS18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8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8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89" s="90" t="str">
        <f aca="false">IF(Tasks[[#This Row],[_IsLeaf]]=1,Tasks[[#This Row],[_Row]],"")</f>
        <v/>
      </c>
      <c r="GW189" s="90" t="str">
        <f aca="false">IFERROR(INDEX(Tasks[UID],SMALL(Tasks[_PickKey],Tasks[[#This Row],[_Row]]))&amp;" "&amp;INDEX(Tasks[Task Name],SMALL(Tasks[_PickKey],Tasks[[#This Row],[_Row]])),"")</f>
        <v/>
      </c>
      <c r="GX189" s="42" t="str">
        <f aca="false">IF(Tasks[[#This Row],[Task Name]]="","",IF(Tasks[[#This Row],[_IsSummary]],NETWORKDAYS.INTL(Tasks[[#This Row],[Start]],Tasks[[#This Row],[Finish]],WorkWeek,Holidays),N(Tasks[[#This Row],[_Days]])))</f>
        <v/>
      </c>
    </row>
    <row r="190" customFormat="false" ht="15" hidden="false" customHeight="false" outlineLevel="0" collapsed="false">
      <c r="A190" s="21" t="str">
        <f aca="false">IF(Tasks[[#This Row],[Task Name]]="","",COUNTA(Tasks[[#Headers],[Task Name]]:Tasks[[#This Row],[Task Name]])-1)</f>
        <v/>
      </c>
      <c r="B190" s="22" t="n">
        <v>198</v>
      </c>
      <c r="C190" s="22"/>
      <c r="D190" s="23"/>
      <c r="E190" s="22"/>
      <c r="F190" s="23"/>
      <c r="G190" s="22"/>
      <c r="H190" s="22"/>
      <c r="I190" s="23"/>
      <c r="J190" s="22"/>
      <c r="K190" s="22"/>
      <c r="L190" s="23"/>
      <c r="M190" s="22"/>
      <c r="N190" s="22"/>
      <c r="O190" s="23"/>
      <c r="P190" s="22"/>
      <c r="Q190" s="22"/>
      <c r="R190" s="23"/>
      <c r="S190" s="23"/>
      <c r="T190" s="83"/>
      <c r="U190" s="23"/>
      <c r="V190" s="83"/>
      <c r="W190" s="23"/>
      <c r="X190" s="83"/>
      <c r="Y190" s="23"/>
      <c r="Z190" s="83"/>
      <c r="AA190" s="23"/>
      <c r="AB190" s="23"/>
      <c r="AC190" s="7"/>
      <c r="AD190" s="7"/>
      <c r="AE190" s="62" t="str">
        <f aca="false">IF(Tasks[[#This Row],[Task Name]]="","",IF(Tasks[[#This Row],[_IsSummary]],MIN(INDEX(Tasks[_ShownFcstStart],Tasks[[#This Row],[_Row]]+1):INDEX(Tasks[_ShownFcstStart],Tasks[[#This Row],[_Row]]+Tasks[[#This Row],[_Descendants]])),Tasks[[#This Row],[_ShownFcstStart]]))</f>
        <v/>
      </c>
      <c r="AF190" s="62" t="str">
        <f aca="false">IF(Tasks[[#This Row],[Task Name]]="","",IF(Tasks[[#This Row],[_IsSummary]],MAX(INDEX(Tasks[_ShownFcstFinish],Tasks[[#This Row],[_Row]]+1):INDEX(Tasks[_ShownFcstFinish],Tasks[[#This Row],[_Row]]+Tasks[[#This Row],[_Descendants]])),Tasks[[#This Row],[_ShownFcstFinish]]))</f>
        <v/>
      </c>
      <c r="AG190" s="21" t="str">
        <f aca="false">""</f>
        <v/>
      </c>
      <c r="AH190" s="23"/>
      <c r="AI19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0" s="7"/>
      <c r="AK190" s="22"/>
      <c r="AL190" s="23"/>
      <c r="AM190" s="7"/>
      <c r="AN190" s="46" t="str">
        <f aca="false">IF(Tasks[[#This Row],[Task Name]]="","",IF(Tasks[[#This Row],[Finish]]&gt;=Tasks[[#This Row],[Planned Finish]],NETWORKDAYS.INTL(Tasks[[#This Row],[Planned Finish]],Tasks[[#This Row],[Finish]],WorkWeek,Holidays)-1,1-NETWORKDAYS.INTL(Tasks[[#This Row],[Finish]],Tasks[[#This Row],[Planned Finish]],WorkWeek,Holidays)))</f>
        <v/>
      </c>
      <c r="AO190" s="21" t="str">
        <f aca="false">IF(Tasks[[#This Row],[Task Name]]="","",IF(Tasks[[#This Row],[Progress]]&gt;=1,"Complete",IF(OR(N(Tasks[[#This Row],[Actual Start]])&gt;0,Tasks[[#This Row],[Progress]]&gt;0),IF(Tasks[[#This Row],[Finish Var]]&gt;0,"Behind","In Progress"),IF(Tasks[[#This Row],[Planned Start]]&lt;StatusDate,"Late Start","Not Started"))))</f>
        <v/>
      </c>
      <c r="AP190" s="21" t="str">
        <f aca="false">IF(Tasks[[#This Row],[Task Name]]="","",IF(IF(Tasks[[#This Row],[_IsSummary]],COUNTIF(INDEX(Tasks[_LeafCritical],Tasks[[#This Row],[_Row]]+1):INDEX(Tasks[_LeafCritical],Tasks[[#This Row],[_Row]]+Tasks[[#This Row],[_Descendants]]),TRUE())&gt;0,Tasks[[#This Row],[_LeafCritical]]),"Yes",""))</f>
        <v/>
      </c>
      <c r="AQ190" s="62" t="str">
        <f aca="false">IF(Tasks[[#This Row],[Task Name]]="","",IF(N(Tasks[[#This Row],[Baseline Start]])&gt;0,Tasks[[#This Row],[Baseline Start]],Tasks[[#This Row],[_CalcStart]]))</f>
        <v/>
      </c>
      <c r="AR190" s="62" t="str">
        <f aca="false">IF(Tasks[[#This Row],[Task Name]]="","",IF(N(Tasks[[#This Row],[Baseline Finish]])&gt;0,Tasks[[#This Row],[Baseline Finish]],Tasks[[#This Row],[_CalcFinish]]))</f>
        <v/>
      </c>
      <c r="AS190" s="46" t="str">
        <f aca="false">IF(Tasks[[#This Row],[Task Name]]="","",IF(Tasks[[#This Row],[Start]]&gt;=Tasks[[#This Row],[Planned Start]],NETWORKDAYS.INTL(Tasks[[#This Row],[Planned Start]],Tasks[[#This Row],[Start]],WorkWeek,Holidays)-1,1-NETWORKDAYS.INTL(Tasks[[#This Row],[Start]],Tasks[[#This Row],[Planned Start]],WorkWeek,Holidays)))</f>
        <v/>
      </c>
      <c r="AT190" s="62" t="str">
        <f aca="false">IF(Tasks[[#This Row],[Task Name]]="","",IF(Tasks[[#This Row],[_IsSummary]],MIN(INDEX(Tasks[_LeafLateStart],Tasks[[#This Row],[_Row]]+1):INDEX(Tasks[_LeafLateStart],Tasks[[#This Row],[_Row]]+Tasks[[#This Row],[_Descendants]])),Tasks[[#This Row],[_LeafLateStart]]))</f>
        <v/>
      </c>
      <c r="AU190" s="62" t="str">
        <f aca="false">IF(Tasks[[#This Row],[Task Name]]="","",IF(Tasks[[#This Row],[_IsSummary]],MAX(INDEX(Tasks[_LeafLateFinish],Tasks[[#This Row],[_Row]]+1):INDEX(Tasks[_LeafLateFinish],Tasks[[#This Row],[_Row]]+Tasks[[#This Row],[_Descendants]])),Tasks[[#This Row],[_LeafLateFinish]]))</f>
        <v/>
      </c>
      <c r="AV190" s="46" t="str">
        <f aca="false">IF(Tasks[[#This Row],[Task Name]]="","",IF(Tasks[[#This Row],[_IsSummary]],MIN(INDEX(Tasks[_LeafTotalSlack],Tasks[[#This Row],[_Row]]+1):INDEX(Tasks[_LeafTotalSlack],Tasks[[#This Row],[_Row]]+Tasks[[#This Row],[_Descendants]])),Tasks[[#This Row],[_LeafTotalSlack]]))</f>
        <v/>
      </c>
      <c r="AW19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4"/>
      <c r="BA19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t="str">
        <f aca="false">IF(Tasks[[#This Row],[Task Name]]="","",IF(Tasks[[#This Row],[_Level]]&lt;=OutlineShowLevel,"Yes","No"))</f>
        <v/>
      </c>
      <c r="BE190" s="85" t="str">
        <f aca="false">IF(Tasks[[#This Row],[Task Name]]="","",IF(Tasks[[#This Row],[_IsSummary]],SUM(INDEX(Tasks[_LeafTotalWork],Tasks[[#This Row],[_Row]]+1):INDEX(Tasks[_LeafTotalWork],Tasks[[#This Row],[_Row]]+Tasks[[#This Row],[_Descendants]])),Tasks[[#This Row],[_LeafTotalWork]]))</f>
        <v/>
      </c>
      <c r="BF190" s="23"/>
      <c r="BG19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t="str">
        <f aca="false">""</f>
        <v/>
      </c>
      <c r="BI190" s="86"/>
      <c r="BJ190" s="22"/>
      <c r="BK190" s="46" t="str">
        <f aca="false">IF(OR(Tasks[[#This Row],[Task Name]]="",Tasks[[#This Row],[Baseline Duration]]=""),"",Tasks[[#This Row],[_SpanDays]]-N(Tasks[[#This Row],[Baseline Duration]]))</f>
        <v/>
      </c>
      <c r="BL190" s="85" t="str">
        <f aca="false">IF(OR(Tasks[[#This Row],[Task Name]]="",Tasks[[#This Row],[Baseline Work]]=""),"",Tasks[[#This Row],[Work]]-N(Tasks[[#This Row],[Baseline Work]]))</f>
        <v/>
      </c>
      <c r="BM190" s="62" t="str">
        <f aca="false">IF(Tasks[[#This Row],[Task Name]]="","",IF(OR(TakeBaseline="Yes",N(Tasks[[#This Row],[Baseline Start]])=0),Tasks[[#This Row],[Start]],Tasks[[#This Row],[Baseline Start]]))</f>
        <v/>
      </c>
      <c r="BN190" s="62" t="str">
        <f aca="false">IF(Tasks[[#This Row],[Task Name]]="","",IF(OR(TakeBaseline="Yes",N(Tasks[[#This Row],[Baseline Finish]])=0),Tasks[[#This Row],[Finish]],Tasks[[#This Row],[Baseline Finish]]))</f>
        <v/>
      </c>
      <c r="BO190" s="21" t="str">
        <f aca="false">IF(Tasks[[#This Row],[Task Name]]="","",IF(OR(TakeBaseline="Yes",N(Tasks[[#This Row],[Baseline Duration]])=0),Tasks[[#This Row],[_SpanDays]],Tasks[[#This Row],[Baseline Duration]]))</f>
        <v/>
      </c>
      <c r="BP190" s="85" t="str">
        <f aca="false">IF(Tasks[[#This Row],[Task Name]]="","",IF(OR(TakeBaseline="Yes",N(Tasks[[#This Row],[Baseline Work]])=0),Tasks[[#This Row],[Work]],Tasks[[#This Row],[Baseline Work]]))</f>
        <v/>
      </c>
      <c r="BQ190" s="7"/>
      <c r="BR190" s="7"/>
      <c r="BS190" s="22"/>
      <c r="BT190" s="87"/>
      <c r="BU190" s="42" t="str">
        <f aca="false">IF(Tasks[[#This Row],[Task Name]]="","",MAX(1,N(Tasks[[#This Row],[Level]])))</f>
        <v/>
      </c>
      <c r="BV190" s="42" t="n">
        <f aca="false">ROW()-ROW(Tasks[[#Headers],[ID]])</f>
        <v>185</v>
      </c>
      <c r="BW190" s="42" t="n">
        <f aca="false">IF(OR(Tasks[[#This Row],[Task Name]]="",Tasks[[#This Row],[_Level]]&lt;=1),0,IFERROR(LOOKUP(2,1/(Tasks[[#Headers],[_Level]]:Tasks[[#This Row],[_Level]]=Tasks[[#This Row],[_Level]]-1),ROW(Tasks[[#Headers],[_Level]]:Tasks[[#This Row],[_Level]])),0))</f>
        <v>0</v>
      </c>
      <c r="BX190" s="42" t="n">
        <f aca="false">IFERROR(N(INDEX(Tasks[_Level],Tasks[[#This Row],[_Row]]+1)),0)</f>
        <v>0</v>
      </c>
      <c r="BY190" s="88" t="b">
        <f aca="false">AND(Tasks[[#This Row],[Task Name]]&lt;&gt;"",Tasks[[#This Row],[_NextLevel]]&gt;Tasks[[#This Row],[_Level]])</f>
        <v>0</v>
      </c>
      <c r="BZ190" s="42" t="n">
        <f aca="false">IF(Tasks[[#This Row],[_IsSummary]],COUNTIF(Tasks[WBS],Tasks[[#This Row],[WBS]]&amp;".*"),0)</f>
        <v>0</v>
      </c>
      <c r="CA190" s="42" t="n">
        <f aca="false">IF(AND(Tasks[[#This Row],[Task Name]]&lt;&gt;"",NOT(Tasks[[#This Row],[_IsSummary]])),1,0)</f>
        <v>0</v>
      </c>
      <c r="CB190" s="42" t="n">
        <f aca="false">IF(N(Tasks[[#This Row],[_Pred1UID]])=0,0,IFERROR(MATCH(Tasks[[#This Row],[_Pred1UID]],Tasks[UID],0),-1))</f>
        <v>0</v>
      </c>
      <c r="CC190" s="42" t="n">
        <f aca="false">IF(N(Tasks[[#This Row],[_Pred2UID]])=0,0,IFERROR(MATCH(Tasks[[#This Row],[_Pred2UID]],Tasks[UID],0),-1))</f>
        <v>0</v>
      </c>
      <c r="CD190" s="42" t="n">
        <f aca="false">IF(N(Tasks[[#This Row],[_Pred3UID]])=0,0,IFERROR(MATCH(Tasks[[#This Row],[_Pred3UID]],Tasks[UID],0),-1))</f>
        <v>0</v>
      </c>
      <c r="CE190" s="42" t="n">
        <f aca="false">IF(N(Tasks[[#This Row],[_Pred4UID]])=0,0,IFERROR(MATCH(Tasks[[#This Row],[_Pred4UID]],Tasks[UID],0),-1))</f>
        <v>0</v>
      </c>
      <c r="CF19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0" s="89" t="n">
        <f aca="false">IF(OR(Tasks[[#This Row],[_ConstraintCode]]=2,Tasks[[#This Row],[_ConstraintCode]]=3,Tasks[[#This Row],[_ConstraintCode]]=4,Tasks[[#This Row],[_ConstraintCode]]=6),Tasks[[#This Row],[_ConstraintStart]],0)</f>
        <v>0</v>
      </c>
      <c r="CI190" s="89" t="n">
        <f aca="false">IF(OR(Tasks[[#This Row],[_ConstraintCode]]=2,Tasks[[#This Row],[_ConstraintCode]]=3,Tasks[[#This Row],[_ConstraintCode]]=5,Tasks[[#This Row],[_ConstraintCode]]=7),Tasks[[#This Row],[_ConstraintStart]],2958465)</f>
        <v>2958465</v>
      </c>
      <c r="CJ19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0" s="89" t="str">
        <f aca="false">IF(NOT(Tasks[[#This Row],[_IsLeaf]]=1),"",IF(N(Tasks[[#This Row],[_Days]])&lt;=0,Tasks[[#This Row],[_LeafCalcStart]],WORKDAY.INTL(Tasks[[#This Row],[_LeafCalcStart]],Tasks[[#This Row],[_Days]]-1,WorkWeek,Holidays)))</f>
        <v/>
      </c>
      <c r="CL19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0" s="42" t="str">
        <f aca="false">IF(Tasks[[#This Row],[_Predecessors]]="","",TRIM(MID(SUBSTITUTE(SUBSTITUTE(SUBSTITUTE(UPPER(Tasks[[#This Row],[_Predecessors]]),";",",")," ",""),",",REPT(" ",99)),1,99)))</f>
        <v/>
      </c>
      <c r="CO190" s="42" t="str">
        <f aca="false">IF(Tasks[[#This Row],[_Pred1Text]]="","",IFERROR(VALUE(LEFT(Tasks[[#This Row],[_Pred1Text]],MIN(FIND("F",Tasks[[#This Row],[_Pred1Text]]&amp;"F"),FIND("S",Tasks[[#This Row],[_Pred1Text]]&amp;"S"),FIND("+",Tasks[[#This Row],[_Pred1Text]]&amp;"+"),FIND("-",Tasks[[#This Row],[_Pred1Text]]&amp;"-"))-1)),""))</f>
        <v/>
      </c>
      <c r="CP19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0" s="42" t="str">
        <f aca="false">IF(Tasks[[#This Row],[_Pred1Text]]="","",TRIM(MID(SUBSTITUTE(SUBSTITUTE(SUBSTITUTE(UPPER(Tasks[[#This Row],[_Predecessors]]),";",",")," ",""),",",REPT(" ",99)),100,99)))</f>
        <v/>
      </c>
      <c r="CS190" s="42" t="str">
        <f aca="false">IF(Tasks[[#This Row],[_Pred2Text]]="","",IFERROR(VALUE(LEFT(Tasks[[#This Row],[_Pred2Text]],MIN(FIND("F",Tasks[[#This Row],[_Pred2Text]]&amp;"F"),FIND("S",Tasks[[#This Row],[_Pred2Text]]&amp;"S"),FIND("+",Tasks[[#This Row],[_Pred2Text]]&amp;"+"),FIND("-",Tasks[[#This Row],[_Pred2Text]]&amp;"-"))-1)),""))</f>
        <v/>
      </c>
      <c r="CT19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0" s="42" t="str">
        <f aca="false">IF(Tasks[[#This Row],[_Pred2Text]]="","",TRIM(MID(SUBSTITUTE(SUBSTITUTE(SUBSTITUTE(UPPER(Tasks[[#This Row],[_Predecessors]]),";",",")," ",""),",",REPT(" ",99)),199,99)))</f>
        <v/>
      </c>
      <c r="CW190" s="42" t="str">
        <f aca="false">IF(Tasks[[#This Row],[_Pred3Text]]="","",IFERROR(VALUE(LEFT(Tasks[[#This Row],[_Pred3Text]],MIN(FIND("F",Tasks[[#This Row],[_Pred3Text]]&amp;"F"),FIND("S",Tasks[[#This Row],[_Pred3Text]]&amp;"S"),FIND("+",Tasks[[#This Row],[_Pred3Text]]&amp;"+"),FIND("-",Tasks[[#This Row],[_Pred3Text]]&amp;"-"))-1)),""))</f>
        <v/>
      </c>
      <c r="CX19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0" s="42" t="str">
        <f aca="false">IF(Tasks[[#This Row],[_Pred3Text]]="","",TRIM(MID(SUBSTITUTE(SUBSTITUTE(SUBSTITUTE(UPPER(Tasks[[#This Row],[_Predecessors]]),";",",")," ",""),",",REPT(" ",99)),298,99)))</f>
        <v/>
      </c>
      <c r="DA190" s="42" t="str">
        <f aca="false">IF(Tasks[[#This Row],[_Pred4Text]]="","",IFERROR(VALUE(LEFT(Tasks[[#This Row],[_Pred4Text]],MIN(FIND("F",Tasks[[#This Row],[_Pred4Text]]&amp;"F"),FIND("S",Tasks[[#This Row],[_Pred4Text]]&amp;"S"),FIND("+",Tasks[[#This Row],[_Pred4Text]]&amp;"+"),FIND("-",Tasks[[#This Row],[_Pred4Text]]&amp;"-"))-1)),""))</f>
        <v/>
      </c>
      <c r="DB19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0" s="42" t="str">
        <f aca="false">IF(OR(Tasks[[#This Row],[Task Name]]="",Tasks[[#This Row],[_Resources]]=""),"",TRIM(MID(SUBSTITUTE(Tasks[[#This Row],[_Resources]],",",REPT(" ",99)),1,99)))</f>
        <v/>
      </c>
      <c r="DE190" s="42" t="str">
        <f aca="false">IF(Tasks[[#This Row],[_Res1Text]]="","",TRIM(MID(SUBSTITUTE(Tasks[[#This Row],[_Resources]],",",REPT(" ",99)),100,99)))</f>
        <v/>
      </c>
      <c r="DF190" s="42" t="str">
        <f aca="false">IF(Tasks[[#This Row],[_Res2Text]]="","",TRIM(MID(SUBSTITUTE(Tasks[[#This Row],[_Resources]],",",REPT(" ",99)),199,99)))</f>
        <v/>
      </c>
      <c r="DG190" s="42" t="str">
        <f aca="false">IF(Tasks[[#This Row],[_Res3Text]]="","",TRIM(MID(SUBSTITUTE(Tasks[[#This Row],[_Resources]],",",REPT(" ",99)),298,99)))</f>
        <v/>
      </c>
      <c r="DH190" s="42" t="n">
        <f aca="false">IF(Tasks[[#This Row],[_Res1Text]]="",0,IFERROR(MATCH(TRIM(LEFT(Tasks[[#This Row],[_Res1Text]],FIND("[",Tasks[[#This Row],[_Res1Text]]&amp;"[")-1)),res_Name,0),IFERROR(MATCH(TRIM(LEFT(Tasks[[#This Row],[_Res1Text]],FIND("[",Tasks[[#This Row],[_Res1Text]]&amp;"[")-1)),res_Initials,0),0)))</f>
        <v>0</v>
      </c>
      <c r="DI190" s="42" t="n">
        <f aca="false">IF(Tasks[[#This Row],[_Res2Text]]="",0,IFERROR(MATCH(TRIM(LEFT(Tasks[[#This Row],[_Res2Text]],FIND("[",Tasks[[#This Row],[_Res2Text]]&amp;"[")-1)),res_Name,0),IFERROR(MATCH(TRIM(LEFT(Tasks[[#This Row],[_Res2Text]],FIND("[",Tasks[[#This Row],[_Res2Text]]&amp;"[")-1)),res_Initials,0),0)))</f>
        <v>0</v>
      </c>
      <c r="DJ190" s="42" t="n">
        <f aca="false">IF(Tasks[[#This Row],[_Res3Text]]="",0,IFERROR(MATCH(TRIM(LEFT(Tasks[[#This Row],[_Res3Text]],FIND("[",Tasks[[#This Row],[_Res3Text]]&amp;"[")-1)),res_Name,0),IFERROR(MATCH(TRIM(LEFT(Tasks[[#This Row],[_Res3Text]],FIND("[",Tasks[[#This Row],[_Res3Text]]&amp;"[")-1)),res_Initials,0),0)))</f>
        <v>0</v>
      </c>
      <c r="DK190" s="42" t="n">
        <f aca="false">IF(Tasks[[#This Row],[_Res4Text]]="",0,IFERROR(MATCH(TRIM(LEFT(Tasks[[#This Row],[_Res4Text]],FIND("[",Tasks[[#This Row],[_Res4Text]]&amp;"[")-1)),res_Name,0),IFERROR(MATCH(TRIM(LEFT(Tasks[[#This Row],[_Res4Text]],FIND("[",Tasks[[#This Row],[_Res4Text]]&amp;"[")-1)),res_Initials,0),0)))</f>
        <v>0</v>
      </c>
      <c r="DL190" s="42" t="str">
        <f aca="false">IF(Tasks[[#This Row],[_Res1Text]]="","",IF(Tasks[[#This Row],[_Res1Row]]&gt;0,INDEX(res_Name,Tasks[[#This Row],[_Res1Row]]),TRIM(LEFT(Tasks[[#This Row],[_Res1Text]],FIND("[",Tasks[[#This Row],[_Res1Text]]&amp;"[")-1))))</f>
        <v/>
      </c>
      <c r="DM19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0" s="42" t="n">
        <f aca="false">IF(NOT(Tasks[[#This Row],[_IsLeaf]]=1),0,(Tasks[[#This Row],[_Resource1]]&lt;&gt;"")+(Tasks[[#This Row],[_Res2]]&lt;&gt;"")+(Tasks[[#This Row],[_Res3]]&lt;&gt;"")+(Tasks[[#This Row],[_Res4]]&lt;&gt;""))</f>
        <v>0</v>
      </c>
      <c r="DO190" s="42" t="str">
        <f aca="false">IF(Tasks[[#This Row],[_Res2Text]]="","",IF(Tasks[[#This Row],[_Res2Row]]&gt;0,INDEX(res_Name,Tasks[[#This Row],[_Res2Row]]),TRIM(LEFT(Tasks[[#This Row],[_Res2Text]],FIND("[",Tasks[[#This Row],[_Res2Text]]&amp;"[")-1))))</f>
        <v/>
      </c>
      <c r="DP19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0" s="42" t="n">
        <f aca="false">IF(OR(NOT(Tasks[[#This Row],[_IsLeaf]]=1),Tasks[[#This Row],[_Res2Row]]=0),0,N(Tasks[[#This Row],[_Days]])*HoursPerDay*IF(Tasks[[#This Row],[_Res2Units]]="",DefaultUnits,Tasks[[#This Row],[_Res2Units]]))</f>
        <v>0</v>
      </c>
      <c r="DR190" s="42" t="n">
        <f aca="false">IF(AND(AND(Tasks[[#This Row],[_IsLeaf]]=1,Tasks[[#This Row],[_LeafTotalWork]]&gt;0),Tasks[[#This Row],[_Res2Work]]&gt;0),Tasks[[#This Row],[_Res2Work]]/(Tasks[[#This Row],[_FinishWorkday]]-Tasks[[#This Row],[_StartWorkday]]+1),0)</f>
        <v>0</v>
      </c>
      <c r="DS190" s="42" t="n">
        <f aca="false">Tasks[[#This Row],[_Res2WorkPerWD]]*MAX(0,Tasks[[#This Row],[_StartWorkday]]-1)</f>
        <v>0</v>
      </c>
      <c r="DT190" s="42" t="n">
        <f aca="false">Tasks[[#This Row],[_Res2Work]]*Tasks[[#This Row],[_LeafProgress]]</f>
        <v>0</v>
      </c>
      <c r="DU190" s="42" t="str">
        <f aca="false">IF(Tasks[[#This Row],[_Res3Text]]="","",IF(Tasks[[#This Row],[_Res3Row]]&gt;0,INDEX(res_Name,Tasks[[#This Row],[_Res3Row]]),TRIM(LEFT(Tasks[[#This Row],[_Res3Text]],FIND("[",Tasks[[#This Row],[_Res3Text]]&amp;"[")-1))))</f>
        <v/>
      </c>
      <c r="DV19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0" s="42" t="n">
        <f aca="false">IF(OR(NOT(Tasks[[#This Row],[_IsLeaf]]=1),Tasks[[#This Row],[_Res3Row]]=0),0,N(Tasks[[#This Row],[_Days]])*HoursPerDay*IF(Tasks[[#This Row],[_Res3Units]]="",DefaultUnits,Tasks[[#This Row],[_Res3Units]]))</f>
        <v>0</v>
      </c>
      <c r="DX190" s="42" t="n">
        <f aca="false">IF(AND(AND(Tasks[[#This Row],[_IsLeaf]]=1,Tasks[[#This Row],[_LeafTotalWork]]&gt;0),Tasks[[#This Row],[_Res3Work]]&gt;0),Tasks[[#This Row],[_Res3Work]]/(Tasks[[#This Row],[_FinishWorkday]]-Tasks[[#This Row],[_StartWorkday]]+1),0)</f>
        <v>0</v>
      </c>
      <c r="DY190" s="42" t="n">
        <f aca="false">Tasks[[#This Row],[_Res3WorkPerWD]]*MAX(0,Tasks[[#This Row],[_StartWorkday]]-1)</f>
        <v>0</v>
      </c>
      <c r="DZ190" s="42" t="n">
        <f aca="false">Tasks[[#This Row],[_Res3Work]]*Tasks[[#This Row],[_LeafProgress]]</f>
        <v>0</v>
      </c>
      <c r="EA190" s="42" t="str">
        <f aca="false">IF(Tasks[[#This Row],[_Res4Text]]="","",IF(Tasks[[#This Row],[_Res4Row]]&gt;0,INDEX(res_Name,Tasks[[#This Row],[_Res4Row]]),TRIM(LEFT(Tasks[[#This Row],[_Res4Text]],FIND("[",Tasks[[#This Row],[_Res4Text]]&amp;"[")-1))))</f>
        <v/>
      </c>
      <c r="EB19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0" s="42" t="n">
        <f aca="false">IF(OR(NOT(Tasks[[#This Row],[_IsLeaf]]=1),Tasks[[#This Row],[_Res4Row]]=0),0,N(Tasks[[#This Row],[_Days]])*HoursPerDay*IF(Tasks[[#This Row],[_Res4Units]]="",DefaultUnits,Tasks[[#This Row],[_Res4Units]]))</f>
        <v>0</v>
      </c>
      <c r="ED190" s="42" t="n">
        <f aca="false">IF(AND(AND(Tasks[[#This Row],[_IsLeaf]]=1,Tasks[[#This Row],[_LeafTotalWork]]&gt;0),Tasks[[#This Row],[_Res4Work]]&gt;0),Tasks[[#This Row],[_Res4Work]]/(Tasks[[#This Row],[_FinishWorkday]]-Tasks[[#This Row],[_StartWorkday]]+1),0)</f>
        <v>0</v>
      </c>
      <c r="EE190" s="42" t="n">
        <f aca="false">Tasks[[#This Row],[_Res4WorkPerWD]]*MAX(0,Tasks[[#This Row],[_StartWorkday]]-1)</f>
        <v>0</v>
      </c>
      <c r="EF190" s="42" t="n">
        <f aca="false">Tasks[[#This Row],[_Res4Work]]*Tasks[[#This Row],[_LeafProgress]]</f>
        <v>0</v>
      </c>
      <c r="EG190" s="42" t="n">
        <f aca="false">IF(ISNUMBER(Tasks[[#This Row],[% Complete]]),Tasks[[#This Row],[% Complete]],IF(Tasks[[#This Row],[Stage]]="",0,IFERROR(INDEX(stg_Pct,MATCH(Tasks[[#This Row],[Stage]],stg_Name,0)),0)))</f>
        <v>0</v>
      </c>
      <c r="EH190" s="42" t="n">
        <f aca="false">IF(NOT(Tasks[[#This Row],[_IsLeaf]]=1),0,IF(N(Tasks[[#This Row],[Actual Finish]])&gt;0,1,MIN(1,Tasks[[#This Row],[_Pct]])))</f>
        <v>0</v>
      </c>
      <c r="EI190" s="42" t="n">
        <f aca="false">IF(OR(NOT(Tasks[[#This Row],[_IsLeaf]]=1),Tasks[[#This Row],[_Res1Row]]=0),0,N(Tasks[[#This Row],[_Days]])*HoursPerDay*IF(Tasks[[#This Row],[_Units1]]="",DefaultUnits,Tasks[[#This Row],[_Units1]]))</f>
        <v>0</v>
      </c>
      <c r="EJ190" s="42" t="n">
        <f aca="false">Tasks[[#This Row],[_LeafWork]]+Tasks[[#This Row],[_Res2Work]]+Tasks[[#This Row],[_Res3Work]]+Tasks[[#This Row],[_Res4Work]]</f>
        <v>0</v>
      </c>
      <c r="EK19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0" s="42" t="n">
        <f aca="false">IF(NOT(Tasks[[#This Row],[_IsLeaf]]=1),0,MAX(_xlfn.MAXIFS(Tasks[_Row],Tasks[_Pred1UID],Tasks[[#This Row],[UID]]),_xlfn.MAXIFS(Tasks[_Row],Tasks[_Pred2UID],Tasks[[#This Row],[UID]]),_xlfn.MAXIFS(Tasks[_Row],Tasks[_Pred3UID],Tasks[[#This Row],[UID]]),_xlfn.MAXIFS(Tasks[_Row],Tasks[_Pred4UID],Tasks[[#This Row],[UID]])))</f>
        <v>0</v>
      </c>
      <c r="ET19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0" s="89" t="str">
        <f aca="false">IF(NOT(Tasks[[#This Row],[_IsLeaf]]=1),"",IF(N(Tasks[[#This Row],[_Days]])&lt;=0,Tasks[[#This Row],[_LeafLateFinish]],WORKDAY.INTL(Tasks[[#This Row],[_LeafLateFinish]],-(Tasks[[#This Row],[_Days]]-1),WorkWeek,Holidays)))</f>
        <v/>
      </c>
      <c r="EW19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0" s="88" t="b">
        <f aca="false">AND(Tasks[[#This Row],[_IsLeaf]]=1,Tasks[[#This Row],[_LeafProgress]]&lt;1,N(Tasks[[#This Row],[_LeafTotalSlack]])&lt;=CriticalSlackDays)</f>
        <v>0</v>
      </c>
      <c r="EY190" s="42" t="n">
        <f aca="false">IF(AND(Tasks[[#This Row],[_IsLeaf]]=1,Tasks[[#This Row],[_ConstraintCode]]=1,Tasks[[#This Row],[Mode]]&lt;&gt;"Manual",N(Tasks[[#This Row],[Actual Start]])=0),MAX(0,N(Tasks[[#This Row],[Free Slack]])),0)</f>
        <v>0</v>
      </c>
      <c r="EZ190" s="89" t="str">
        <f aca="false">IF(NOT(Tasks[[#This Row],[_IsLeaf]]=1),"",IF(Tasks[[#This Row],[_AlapShift]]=0,Tasks[[#This Row],[_LeafCalcStart]],WORKDAY.INTL(Tasks[[#This Row],[_LeafCalcStart]],Tasks[[#This Row],[_AlapShift]],WorkWeek,Holidays)))</f>
        <v/>
      </c>
      <c r="FA190" s="89" t="str">
        <f aca="false">IF(NOT(Tasks[[#This Row],[_IsLeaf]]=1),"",IF(Tasks[[#This Row],[_AlapShift]]=0,Tasks[[#This Row],[_LeafCalcFinish]],WORKDAY.INTL(Tasks[[#This Row],[_LeafCalcFinish]],Tasks[[#This Row],[_AlapShift]],WorkWeek,Holidays)))</f>
        <v/>
      </c>
      <c r="FB190" s="89" t="str">
        <f aca="false">IF(NOT(Tasks[[#This Row],[_IsLeaf]]=1),"",IF(Tasks[[#This Row],[_AlapShift]]=0,Tasks[[#This Row],[_LeafFcstStart]],WORKDAY.INTL(Tasks[[#This Row],[_LeafFcstStart]],Tasks[[#This Row],[_AlapShift]],WorkWeek,Holidays)))</f>
        <v/>
      </c>
      <c r="FC190" s="89" t="str">
        <f aca="false">IF(NOT(Tasks[[#This Row],[_IsLeaf]]=1),"",IF(Tasks[[#This Row],[_AlapShift]]=0,Tasks[[#This Row],[_LeafFcstFinish]],WORKDAY.INTL(Tasks[[#This Row],[_LeafFcstFinish]],Tasks[[#This Row],[_AlapShift]],WorkWeek,Holidays)))</f>
        <v/>
      </c>
      <c r="FD190" s="89" t="str">
        <f aca="false">IF(Tasks[[#This Row],[Task Name]]="","",IF(Tasks[[#This Row],[_IsSummary]],MIN(INDEX(Tasks[_ShownCalcStart],Tasks[[#This Row],[_Row]]+1):INDEX(Tasks[_ShownCalcStart],Tasks[[#This Row],[_Row]]+Tasks[[#This Row],[_Descendants]])),Tasks[[#This Row],[_ShownCalcStart]]))</f>
        <v/>
      </c>
      <c r="FE190" s="89" t="str">
        <f aca="false">IF(Tasks[[#This Row],[Task Name]]="","",IF(Tasks[[#This Row],[_IsSummary]],MAX(INDEX(Tasks[_ShownCalcFinish],Tasks[[#This Row],[_Row]]+1):INDEX(Tasks[_ShownCalcFinish],Tasks[[#This Row],[_Row]]+Tasks[[#This Row],[_Descendants]])),Tasks[[#This Row],[_ShownCalcFinish]]))</f>
        <v/>
      </c>
      <c r="FF19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0" s="42" t="n">
        <f aca="false">IF(AND(Tasks[[#This Row],[_IsLeaf]]=1,Tasks[[#This Row],[_LeafTotalWork]]&gt;0),NETWORKDAYS.INTL(ProjectStart,Tasks[[#This Row],[_ShownFcstStart]],WorkWeek,Holidays),0)</f>
        <v>0</v>
      </c>
      <c r="FS190" s="42" t="n">
        <f aca="false">IF(AND(Tasks[[#This Row],[_IsLeaf]]=1,Tasks[[#This Row],[_LeafTotalWork]]&gt;0),MAX(Tasks[[#This Row],[_StartWorkday]],NETWORKDAYS.INTL(ProjectStart,Tasks[[#This Row],[_ShownFcstFinish]],WorkWeek,Holidays)),0)</f>
        <v>0</v>
      </c>
      <c r="FT190" s="42" t="n">
        <f aca="false">IF(AND(Tasks[[#This Row],[_IsLeaf]]=1,Tasks[[#This Row],[_LeafTotalWork]]&gt;0),Tasks[[#This Row],[_LeafWork]]/(Tasks[[#This Row],[_FinishWorkday]]-Tasks[[#This Row],[_StartWorkday]]+1),0)</f>
        <v>0</v>
      </c>
      <c r="FU190" s="42" t="n">
        <f aca="false">Tasks[[#This Row],[_WorkPerWorkday]]*(Tasks[[#This Row],[_StartWorkday]]-1)</f>
        <v>-0</v>
      </c>
      <c r="FV190" s="42" t="n">
        <f aca="false">IF(Tasks[[#This Row],[_IsLeaf]]=1,MAX(N(Tasks[[#This Row],[_Days]]),0.1),0)</f>
        <v>0</v>
      </c>
      <c r="FW190" s="42" t="n">
        <f aca="false">Tasks[[#This Row],[_WeightDur]]*Tasks[[#This Row],[_LeafProgress]]</f>
        <v>0</v>
      </c>
      <c r="FX190" s="42" t="n">
        <f aca="false">Tasks[[#This Row],[_WeightDur]]*Tasks[[#This Row],[_PlannedPct]]</f>
        <v>0</v>
      </c>
      <c r="FY19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0" s="42" t="str">
        <f aca="false">IF(AND(Tasks[[#This Row],[_IsLeaf]]=1,N(Tasks[[#This Row],[_Days]])=0,Tasks[[#This Row],[_LeafProgress]]&lt;1),Tasks[[#This Row],[_ShownFcstFinish]]+Tasks[[#This Row],[_Row]]/100000,"")</f>
        <v/>
      </c>
      <c r="GA19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0" s="42" t="str">
        <f aca="false">IF(Tasks[[#This Row],[Task Name]]="","",LEFT(Tasks[[#This Row],[WBS]],FIND(".",Tasks[[#This Row],[WBS]]&amp;".")-1))</f>
        <v/>
      </c>
      <c r="GC190" s="42" t="str">
        <f aca="false">IF(AND(Tasks[[#This Row],[Task Name]]&lt;&gt;"",Tasks[[#This Row],[_Level]]=1),Tasks[[#This Row],[_Row]],"")</f>
        <v/>
      </c>
      <c r="GD190" s="42" t="str">
        <f aca="false">IF(AND(Tasks[[#This Row],[_IsLeaf]]=1,N(Tasks[[#This Row],[_Days]])=0),Tasks[[#This Row],[Planned Finish]]+Tasks[[#This Row],[_Row]]/100000,"")</f>
        <v/>
      </c>
      <c r="GE190" s="42" t="str">
        <f aca="false">IF(AND(Tasks[[#This Row],[_IsLeaf]]=1,Tasks[[#This Row],[_LeafProgress]]&lt;1,OR(N(Tasks[[#This Row],[Finish Var]])&gt;0,Tasks[[#This Row],[Status]]="Late Start")),MAX(0,Tasks[[#This Row],[Finish Var]])+1-Tasks[[#This Row],[_Row]]/1000000,"")</f>
        <v/>
      </c>
      <c r="GF190" s="42" t="str">
        <f aca="false">IF(AND(Tasks[[#This Row],[_IsLeaf]]=1,N(Tasks[[#This Row],[Actual Start]])=0,Tasks[[#This Row],[_ShownFcstStart]]&gt;=StatusDate,Tasks[[#This Row],[_ShownFcstStart]]&lt;=LookaheadEnd),Tasks[[#This Row],[_ShownFcstStart]]+Tasks[[#This Row],[_Row]]/100000,"")</f>
        <v/>
      </c>
      <c r="GG190" s="42" t="str">
        <f aca="false">IF(AND(Tasks[[#This Row],[_IsLeaf]]=1,Tasks[[#This Row],[_LeafProgress]]&lt;1,Tasks[[#This Row],[_ShownFcstFinish]]&gt;=StatusDate,Tasks[[#This Row],[_ShownFcstFinish]]&lt;=LookaheadEnd),Tasks[[#This Row],[_ShownFcstFinish]]+Tasks[[#This Row],[_Row]]/100000,"")</f>
        <v/>
      </c>
      <c r="GH190" s="42" t="str">
        <f aca="false">IF(Tasks[[#This Row],[_LeafCritical]],Tasks[[#This Row],[_ShownFcstStart]]+Tasks[[#This Row],[_Row]]/100000,"")</f>
        <v/>
      </c>
      <c r="GI190" s="42" t="n">
        <f aca="false">Tasks[[#This Row],[_LeafWork]]*Tasks[[#This Row],[_LeafProgress]]</f>
        <v>0</v>
      </c>
      <c r="GJ190" s="89" t="str">
        <f aca="false">IF(AND(Tasks[[#This Row],[_IsLeaf]]=1,Tasks[[#This Row],[_LeafProgress]]&gt;=1),IF(N(Tasks[[#This Row],[Actual Finish]])&gt;0,Tasks[[#This Row],[Actual Finish]],Tasks[[#This Row],[_ShownFcstFinish]]),"")</f>
        <v/>
      </c>
      <c r="GK190" s="42" t="n">
        <f aca="false">IF(Tasks[[#This Row],[_IsLeaf]]=1,N(Tasks[[#This Row],[Story Points]]),0)</f>
        <v>0</v>
      </c>
      <c r="GL190" s="42" t="str">
        <f aca="false">""</f>
        <v/>
      </c>
      <c r="GM190" s="88" t="b">
        <f aca="false">IF(Tasks[[#This Row],[Task Name]]="",FALSE(),AND(Tasks[[#This Row],[_IsLeaf]]=1,N(Tasks[[#This Row],[_Days]])=0))</f>
        <v>0</v>
      </c>
      <c r="GN190" s="89" t="n">
        <f aca="false">IF(Tasks[[#This Row],[Task Name]]="",0,IF(AND(Tasks[[#This Row],[_IsLeaf]]=1,NOT(Tasks[[#This Row],[_IsMilestone]]),N(Tasks[[#This Row],[Progress]])&gt;0),Tasks[[#This Row],[Start]],0))</f>
        <v>0</v>
      </c>
      <c r="GO190" s="89" t="n">
        <f aca="false">IF(Tasks[[#This Row],[_DoneFrom]]=0,0,IF(Tasks[[#This Row],[Progress]]&gt;=1,Tasks[[#This Row],[Finish]],MAX(Tasks[[#This Row],[_DoneFrom]],Tasks[[#This Row],[Start]]+ROUND((Tasks[[#This Row],[Finish]]-Tasks[[#This Row],[Start]]+1)*Tasks[[#This Row],[Progress]],0)-1)))</f>
        <v>0</v>
      </c>
      <c r="GP190" s="89" t="n">
        <f aca="false">IF(Tasks[[#This Row],[Task Name]]="",0,IF(OR(NOT(Tasks[[#This Row],[_IsLeaf]]=1),Tasks[[#This Row],[_IsMilestone]],N(Tasks[[#This Row],[Progress]])&gt;=1),0,IF(Tasks[[#This Row],[_DoneTo]]&gt;0,Tasks[[#This Row],[_DoneTo]]+1,Tasks[[#This Row],[Start]])))</f>
        <v>0</v>
      </c>
      <c r="GQ190" s="89" t="n">
        <f aca="false">IF(Tasks[[#This Row],[_RemFrom]]=0,0,Tasks[[#This Row],[Finish]])</f>
        <v>0</v>
      </c>
      <c r="GR190" s="88" t="b">
        <f aca="false">IF(Tasks[[#This Row],[Task Name]]="",FALSE(),OR(NOT(BaselineSet),N(Tasks[[#This Row],[Baseline Start]])&gt;0))</f>
        <v>0</v>
      </c>
      <c r="GS19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0" s="90" t="str">
        <f aca="false">IF(Tasks[[#This Row],[_IsLeaf]]=1,Tasks[[#This Row],[_Row]],"")</f>
        <v/>
      </c>
      <c r="GW190" s="90" t="str">
        <f aca="false">IFERROR(INDEX(Tasks[UID],SMALL(Tasks[_PickKey],Tasks[[#This Row],[_Row]]))&amp;" "&amp;INDEX(Tasks[Task Name],SMALL(Tasks[_PickKey],Tasks[[#This Row],[_Row]])),"")</f>
        <v/>
      </c>
      <c r="GX190" s="42" t="str">
        <f aca="false">IF(Tasks[[#This Row],[Task Name]]="","",IF(Tasks[[#This Row],[_IsSummary]],NETWORKDAYS.INTL(Tasks[[#This Row],[Start]],Tasks[[#This Row],[Finish]],WorkWeek,Holidays),N(Tasks[[#This Row],[_Days]])))</f>
        <v/>
      </c>
    </row>
    <row r="191" customFormat="false" ht="15" hidden="false" customHeight="false" outlineLevel="0" collapsed="false">
      <c r="A191" s="21" t="str">
        <f aca="false">IF(Tasks[[#This Row],[Task Name]]="","",COUNTA(Tasks[[#Headers],[Task Name]]:Tasks[[#This Row],[Task Name]])-1)</f>
        <v/>
      </c>
      <c r="B191" s="22" t="n">
        <v>199</v>
      </c>
      <c r="C191" s="22"/>
      <c r="D191" s="23"/>
      <c r="E191" s="22"/>
      <c r="F191" s="23"/>
      <c r="G191" s="22"/>
      <c r="H191" s="22"/>
      <c r="I191" s="23"/>
      <c r="J191" s="22"/>
      <c r="K191" s="22"/>
      <c r="L191" s="23"/>
      <c r="M191" s="22"/>
      <c r="N191" s="22"/>
      <c r="O191" s="23"/>
      <c r="P191" s="22"/>
      <c r="Q191" s="22"/>
      <c r="R191" s="23"/>
      <c r="S191" s="23"/>
      <c r="T191" s="83"/>
      <c r="U191" s="23"/>
      <c r="V191" s="83"/>
      <c r="W191" s="23"/>
      <c r="X191" s="83"/>
      <c r="Y191" s="23"/>
      <c r="Z191" s="83"/>
      <c r="AA191" s="23"/>
      <c r="AB191" s="23"/>
      <c r="AC191" s="7"/>
      <c r="AD191" s="7"/>
      <c r="AE191" s="62" t="str">
        <f aca="false">IF(Tasks[[#This Row],[Task Name]]="","",IF(Tasks[[#This Row],[_IsSummary]],MIN(INDEX(Tasks[_ShownFcstStart],Tasks[[#This Row],[_Row]]+1):INDEX(Tasks[_ShownFcstStart],Tasks[[#This Row],[_Row]]+Tasks[[#This Row],[_Descendants]])),Tasks[[#This Row],[_ShownFcstStart]]))</f>
        <v/>
      </c>
      <c r="AF191" s="62" t="str">
        <f aca="false">IF(Tasks[[#This Row],[Task Name]]="","",IF(Tasks[[#This Row],[_IsSummary]],MAX(INDEX(Tasks[_ShownFcstFinish],Tasks[[#This Row],[_Row]]+1):INDEX(Tasks[_ShownFcstFinish],Tasks[[#This Row],[_Row]]+Tasks[[#This Row],[_Descendants]])),Tasks[[#This Row],[_ShownFcstFinish]]))</f>
        <v/>
      </c>
      <c r="AG191" s="21" t="str">
        <f aca="false">""</f>
        <v/>
      </c>
      <c r="AH191" s="23"/>
      <c r="AI19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1" s="7"/>
      <c r="AK191" s="22"/>
      <c r="AL191" s="23"/>
      <c r="AM191" s="7"/>
      <c r="AN191" s="46" t="str">
        <f aca="false">IF(Tasks[[#This Row],[Task Name]]="","",IF(Tasks[[#This Row],[Finish]]&gt;=Tasks[[#This Row],[Planned Finish]],NETWORKDAYS.INTL(Tasks[[#This Row],[Planned Finish]],Tasks[[#This Row],[Finish]],WorkWeek,Holidays)-1,1-NETWORKDAYS.INTL(Tasks[[#This Row],[Finish]],Tasks[[#This Row],[Planned Finish]],WorkWeek,Holidays)))</f>
        <v/>
      </c>
      <c r="AO191" s="21" t="str">
        <f aca="false">IF(Tasks[[#This Row],[Task Name]]="","",IF(Tasks[[#This Row],[Progress]]&gt;=1,"Complete",IF(OR(N(Tasks[[#This Row],[Actual Start]])&gt;0,Tasks[[#This Row],[Progress]]&gt;0),IF(Tasks[[#This Row],[Finish Var]]&gt;0,"Behind","In Progress"),IF(Tasks[[#This Row],[Planned Start]]&lt;StatusDate,"Late Start","Not Started"))))</f>
        <v/>
      </c>
      <c r="AP191" s="21" t="str">
        <f aca="false">IF(Tasks[[#This Row],[Task Name]]="","",IF(IF(Tasks[[#This Row],[_IsSummary]],COUNTIF(INDEX(Tasks[_LeafCritical],Tasks[[#This Row],[_Row]]+1):INDEX(Tasks[_LeafCritical],Tasks[[#This Row],[_Row]]+Tasks[[#This Row],[_Descendants]]),TRUE())&gt;0,Tasks[[#This Row],[_LeafCritical]]),"Yes",""))</f>
        <v/>
      </c>
      <c r="AQ191" s="62" t="str">
        <f aca="false">IF(Tasks[[#This Row],[Task Name]]="","",IF(N(Tasks[[#This Row],[Baseline Start]])&gt;0,Tasks[[#This Row],[Baseline Start]],Tasks[[#This Row],[_CalcStart]]))</f>
        <v/>
      </c>
      <c r="AR191" s="62" t="str">
        <f aca="false">IF(Tasks[[#This Row],[Task Name]]="","",IF(N(Tasks[[#This Row],[Baseline Finish]])&gt;0,Tasks[[#This Row],[Baseline Finish]],Tasks[[#This Row],[_CalcFinish]]))</f>
        <v/>
      </c>
      <c r="AS191" s="46" t="str">
        <f aca="false">IF(Tasks[[#This Row],[Task Name]]="","",IF(Tasks[[#This Row],[Start]]&gt;=Tasks[[#This Row],[Planned Start]],NETWORKDAYS.INTL(Tasks[[#This Row],[Planned Start]],Tasks[[#This Row],[Start]],WorkWeek,Holidays)-1,1-NETWORKDAYS.INTL(Tasks[[#This Row],[Start]],Tasks[[#This Row],[Planned Start]],WorkWeek,Holidays)))</f>
        <v/>
      </c>
      <c r="AT191" s="62" t="str">
        <f aca="false">IF(Tasks[[#This Row],[Task Name]]="","",IF(Tasks[[#This Row],[_IsSummary]],MIN(INDEX(Tasks[_LeafLateStart],Tasks[[#This Row],[_Row]]+1):INDEX(Tasks[_LeafLateStart],Tasks[[#This Row],[_Row]]+Tasks[[#This Row],[_Descendants]])),Tasks[[#This Row],[_LeafLateStart]]))</f>
        <v/>
      </c>
      <c r="AU191" s="62" t="str">
        <f aca="false">IF(Tasks[[#This Row],[Task Name]]="","",IF(Tasks[[#This Row],[_IsSummary]],MAX(INDEX(Tasks[_LeafLateFinish],Tasks[[#This Row],[_Row]]+1):INDEX(Tasks[_LeafLateFinish],Tasks[[#This Row],[_Row]]+Tasks[[#This Row],[_Descendants]])),Tasks[[#This Row],[_LeafLateFinish]]))</f>
        <v/>
      </c>
      <c r="AV191" s="46" t="str">
        <f aca="false">IF(Tasks[[#This Row],[Task Name]]="","",IF(Tasks[[#This Row],[_IsSummary]],MIN(INDEX(Tasks[_LeafTotalSlack],Tasks[[#This Row],[_Row]]+1):INDEX(Tasks[_LeafTotalSlack],Tasks[[#This Row],[_Row]]+Tasks[[#This Row],[_Descendants]])),Tasks[[#This Row],[_LeafTotalSlack]]))</f>
        <v/>
      </c>
      <c r="AW19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4"/>
      <c r="BA19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t="str">
        <f aca="false">IF(Tasks[[#This Row],[Task Name]]="","",IF(Tasks[[#This Row],[_Level]]&lt;=OutlineShowLevel,"Yes","No"))</f>
        <v/>
      </c>
      <c r="BE191" s="85" t="str">
        <f aca="false">IF(Tasks[[#This Row],[Task Name]]="","",IF(Tasks[[#This Row],[_IsSummary]],SUM(INDEX(Tasks[_LeafTotalWork],Tasks[[#This Row],[_Row]]+1):INDEX(Tasks[_LeafTotalWork],Tasks[[#This Row],[_Row]]+Tasks[[#This Row],[_Descendants]])),Tasks[[#This Row],[_LeafTotalWork]]))</f>
        <v/>
      </c>
      <c r="BF191" s="23"/>
      <c r="BG19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t="str">
        <f aca="false">""</f>
        <v/>
      </c>
      <c r="BI191" s="86"/>
      <c r="BJ191" s="22"/>
      <c r="BK191" s="46" t="str">
        <f aca="false">IF(OR(Tasks[[#This Row],[Task Name]]="",Tasks[[#This Row],[Baseline Duration]]=""),"",Tasks[[#This Row],[_SpanDays]]-N(Tasks[[#This Row],[Baseline Duration]]))</f>
        <v/>
      </c>
      <c r="BL191" s="85" t="str">
        <f aca="false">IF(OR(Tasks[[#This Row],[Task Name]]="",Tasks[[#This Row],[Baseline Work]]=""),"",Tasks[[#This Row],[Work]]-N(Tasks[[#This Row],[Baseline Work]]))</f>
        <v/>
      </c>
      <c r="BM191" s="62" t="str">
        <f aca="false">IF(Tasks[[#This Row],[Task Name]]="","",IF(OR(TakeBaseline="Yes",N(Tasks[[#This Row],[Baseline Start]])=0),Tasks[[#This Row],[Start]],Tasks[[#This Row],[Baseline Start]]))</f>
        <v/>
      </c>
      <c r="BN191" s="62" t="str">
        <f aca="false">IF(Tasks[[#This Row],[Task Name]]="","",IF(OR(TakeBaseline="Yes",N(Tasks[[#This Row],[Baseline Finish]])=0),Tasks[[#This Row],[Finish]],Tasks[[#This Row],[Baseline Finish]]))</f>
        <v/>
      </c>
      <c r="BO191" s="21" t="str">
        <f aca="false">IF(Tasks[[#This Row],[Task Name]]="","",IF(OR(TakeBaseline="Yes",N(Tasks[[#This Row],[Baseline Duration]])=0),Tasks[[#This Row],[_SpanDays]],Tasks[[#This Row],[Baseline Duration]]))</f>
        <v/>
      </c>
      <c r="BP191" s="85" t="str">
        <f aca="false">IF(Tasks[[#This Row],[Task Name]]="","",IF(OR(TakeBaseline="Yes",N(Tasks[[#This Row],[Baseline Work]])=0),Tasks[[#This Row],[Work]],Tasks[[#This Row],[Baseline Work]]))</f>
        <v/>
      </c>
      <c r="BQ191" s="7"/>
      <c r="BR191" s="7"/>
      <c r="BS191" s="22"/>
      <c r="BT191" s="87"/>
      <c r="BU191" s="42" t="str">
        <f aca="false">IF(Tasks[[#This Row],[Task Name]]="","",MAX(1,N(Tasks[[#This Row],[Level]])))</f>
        <v/>
      </c>
      <c r="BV191" s="42" t="n">
        <f aca="false">ROW()-ROW(Tasks[[#Headers],[ID]])</f>
        <v>186</v>
      </c>
      <c r="BW191" s="42" t="n">
        <f aca="false">IF(OR(Tasks[[#This Row],[Task Name]]="",Tasks[[#This Row],[_Level]]&lt;=1),0,IFERROR(LOOKUP(2,1/(Tasks[[#Headers],[_Level]]:Tasks[[#This Row],[_Level]]=Tasks[[#This Row],[_Level]]-1),ROW(Tasks[[#Headers],[_Level]]:Tasks[[#This Row],[_Level]])),0))</f>
        <v>0</v>
      </c>
      <c r="BX191" s="42" t="n">
        <f aca="false">IFERROR(N(INDEX(Tasks[_Level],Tasks[[#This Row],[_Row]]+1)),0)</f>
        <v>0</v>
      </c>
      <c r="BY191" s="88" t="b">
        <f aca="false">AND(Tasks[[#This Row],[Task Name]]&lt;&gt;"",Tasks[[#This Row],[_NextLevel]]&gt;Tasks[[#This Row],[_Level]])</f>
        <v>0</v>
      </c>
      <c r="BZ191" s="42" t="n">
        <f aca="false">IF(Tasks[[#This Row],[_IsSummary]],COUNTIF(Tasks[WBS],Tasks[[#This Row],[WBS]]&amp;".*"),0)</f>
        <v>0</v>
      </c>
      <c r="CA191" s="42" t="n">
        <f aca="false">IF(AND(Tasks[[#This Row],[Task Name]]&lt;&gt;"",NOT(Tasks[[#This Row],[_IsSummary]])),1,0)</f>
        <v>0</v>
      </c>
      <c r="CB191" s="42" t="n">
        <f aca="false">IF(N(Tasks[[#This Row],[_Pred1UID]])=0,0,IFERROR(MATCH(Tasks[[#This Row],[_Pred1UID]],Tasks[UID],0),-1))</f>
        <v>0</v>
      </c>
      <c r="CC191" s="42" t="n">
        <f aca="false">IF(N(Tasks[[#This Row],[_Pred2UID]])=0,0,IFERROR(MATCH(Tasks[[#This Row],[_Pred2UID]],Tasks[UID],0),-1))</f>
        <v>0</v>
      </c>
      <c r="CD191" s="42" t="n">
        <f aca="false">IF(N(Tasks[[#This Row],[_Pred3UID]])=0,0,IFERROR(MATCH(Tasks[[#This Row],[_Pred3UID]],Tasks[UID],0),-1))</f>
        <v>0</v>
      </c>
      <c r="CE191" s="42" t="n">
        <f aca="false">IF(N(Tasks[[#This Row],[_Pred4UID]])=0,0,IFERROR(MATCH(Tasks[[#This Row],[_Pred4UID]],Tasks[UID],0),-1))</f>
        <v>0</v>
      </c>
      <c r="CF19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1" s="89" t="n">
        <f aca="false">IF(OR(Tasks[[#This Row],[_ConstraintCode]]=2,Tasks[[#This Row],[_ConstraintCode]]=3,Tasks[[#This Row],[_ConstraintCode]]=4,Tasks[[#This Row],[_ConstraintCode]]=6),Tasks[[#This Row],[_ConstraintStart]],0)</f>
        <v>0</v>
      </c>
      <c r="CI191" s="89" t="n">
        <f aca="false">IF(OR(Tasks[[#This Row],[_ConstraintCode]]=2,Tasks[[#This Row],[_ConstraintCode]]=3,Tasks[[#This Row],[_ConstraintCode]]=5,Tasks[[#This Row],[_ConstraintCode]]=7),Tasks[[#This Row],[_ConstraintStart]],2958465)</f>
        <v>2958465</v>
      </c>
      <c r="CJ19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1" s="89" t="str">
        <f aca="false">IF(NOT(Tasks[[#This Row],[_IsLeaf]]=1),"",IF(N(Tasks[[#This Row],[_Days]])&lt;=0,Tasks[[#This Row],[_LeafCalcStart]],WORKDAY.INTL(Tasks[[#This Row],[_LeafCalcStart]],Tasks[[#This Row],[_Days]]-1,WorkWeek,Holidays)))</f>
        <v/>
      </c>
      <c r="CL19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1" s="42" t="str">
        <f aca="false">IF(Tasks[[#This Row],[_Predecessors]]="","",TRIM(MID(SUBSTITUTE(SUBSTITUTE(SUBSTITUTE(UPPER(Tasks[[#This Row],[_Predecessors]]),";",",")," ",""),",",REPT(" ",99)),1,99)))</f>
        <v/>
      </c>
      <c r="CO191" s="42" t="str">
        <f aca="false">IF(Tasks[[#This Row],[_Pred1Text]]="","",IFERROR(VALUE(LEFT(Tasks[[#This Row],[_Pred1Text]],MIN(FIND("F",Tasks[[#This Row],[_Pred1Text]]&amp;"F"),FIND("S",Tasks[[#This Row],[_Pred1Text]]&amp;"S"),FIND("+",Tasks[[#This Row],[_Pred1Text]]&amp;"+"),FIND("-",Tasks[[#This Row],[_Pred1Text]]&amp;"-"))-1)),""))</f>
        <v/>
      </c>
      <c r="CP19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1" s="42" t="str">
        <f aca="false">IF(Tasks[[#This Row],[_Pred1Text]]="","",TRIM(MID(SUBSTITUTE(SUBSTITUTE(SUBSTITUTE(UPPER(Tasks[[#This Row],[_Predecessors]]),";",",")," ",""),",",REPT(" ",99)),100,99)))</f>
        <v/>
      </c>
      <c r="CS191" s="42" t="str">
        <f aca="false">IF(Tasks[[#This Row],[_Pred2Text]]="","",IFERROR(VALUE(LEFT(Tasks[[#This Row],[_Pred2Text]],MIN(FIND("F",Tasks[[#This Row],[_Pred2Text]]&amp;"F"),FIND("S",Tasks[[#This Row],[_Pred2Text]]&amp;"S"),FIND("+",Tasks[[#This Row],[_Pred2Text]]&amp;"+"),FIND("-",Tasks[[#This Row],[_Pred2Text]]&amp;"-"))-1)),""))</f>
        <v/>
      </c>
      <c r="CT19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1" s="42" t="str">
        <f aca="false">IF(Tasks[[#This Row],[_Pred2Text]]="","",TRIM(MID(SUBSTITUTE(SUBSTITUTE(SUBSTITUTE(UPPER(Tasks[[#This Row],[_Predecessors]]),";",",")," ",""),",",REPT(" ",99)),199,99)))</f>
        <v/>
      </c>
      <c r="CW191" s="42" t="str">
        <f aca="false">IF(Tasks[[#This Row],[_Pred3Text]]="","",IFERROR(VALUE(LEFT(Tasks[[#This Row],[_Pred3Text]],MIN(FIND("F",Tasks[[#This Row],[_Pred3Text]]&amp;"F"),FIND("S",Tasks[[#This Row],[_Pred3Text]]&amp;"S"),FIND("+",Tasks[[#This Row],[_Pred3Text]]&amp;"+"),FIND("-",Tasks[[#This Row],[_Pred3Text]]&amp;"-"))-1)),""))</f>
        <v/>
      </c>
      <c r="CX19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1" s="42" t="str">
        <f aca="false">IF(Tasks[[#This Row],[_Pred3Text]]="","",TRIM(MID(SUBSTITUTE(SUBSTITUTE(SUBSTITUTE(UPPER(Tasks[[#This Row],[_Predecessors]]),";",",")," ",""),",",REPT(" ",99)),298,99)))</f>
        <v/>
      </c>
      <c r="DA191" s="42" t="str">
        <f aca="false">IF(Tasks[[#This Row],[_Pred4Text]]="","",IFERROR(VALUE(LEFT(Tasks[[#This Row],[_Pred4Text]],MIN(FIND("F",Tasks[[#This Row],[_Pred4Text]]&amp;"F"),FIND("S",Tasks[[#This Row],[_Pred4Text]]&amp;"S"),FIND("+",Tasks[[#This Row],[_Pred4Text]]&amp;"+"),FIND("-",Tasks[[#This Row],[_Pred4Text]]&amp;"-"))-1)),""))</f>
        <v/>
      </c>
      <c r="DB19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1" s="42" t="str">
        <f aca="false">IF(OR(Tasks[[#This Row],[Task Name]]="",Tasks[[#This Row],[_Resources]]=""),"",TRIM(MID(SUBSTITUTE(Tasks[[#This Row],[_Resources]],",",REPT(" ",99)),1,99)))</f>
        <v/>
      </c>
      <c r="DE191" s="42" t="str">
        <f aca="false">IF(Tasks[[#This Row],[_Res1Text]]="","",TRIM(MID(SUBSTITUTE(Tasks[[#This Row],[_Resources]],",",REPT(" ",99)),100,99)))</f>
        <v/>
      </c>
      <c r="DF191" s="42" t="str">
        <f aca="false">IF(Tasks[[#This Row],[_Res2Text]]="","",TRIM(MID(SUBSTITUTE(Tasks[[#This Row],[_Resources]],",",REPT(" ",99)),199,99)))</f>
        <v/>
      </c>
      <c r="DG191" s="42" t="str">
        <f aca="false">IF(Tasks[[#This Row],[_Res3Text]]="","",TRIM(MID(SUBSTITUTE(Tasks[[#This Row],[_Resources]],",",REPT(" ",99)),298,99)))</f>
        <v/>
      </c>
      <c r="DH191" s="42" t="n">
        <f aca="false">IF(Tasks[[#This Row],[_Res1Text]]="",0,IFERROR(MATCH(TRIM(LEFT(Tasks[[#This Row],[_Res1Text]],FIND("[",Tasks[[#This Row],[_Res1Text]]&amp;"[")-1)),res_Name,0),IFERROR(MATCH(TRIM(LEFT(Tasks[[#This Row],[_Res1Text]],FIND("[",Tasks[[#This Row],[_Res1Text]]&amp;"[")-1)),res_Initials,0),0)))</f>
        <v>0</v>
      </c>
      <c r="DI191" s="42" t="n">
        <f aca="false">IF(Tasks[[#This Row],[_Res2Text]]="",0,IFERROR(MATCH(TRIM(LEFT(Tasks[[#This Row],[_Res2Text]],FIND("[",Tasks[[#This Row],[_Res2Text]]&amp;"[")-1)),res_Name,0),IFERROR(MATCH(TRIM(LEFT(Tasks[[#This Row],[_Res2Text]],FIND("[",Tasks[[#This Row],[_Res2Text]]&amp;"[")-1)),res_Initials,0),0)))</f>
        <v>0</v>
      </c>
      <c r="DJ191" s="42" t="n">
        <f aca="false">IF(Tasks[[#This Row],[_Res3Text]]="",0,IFERROR(MATCH(TRIM(LEFT(Tasks[[#This Row],[_Res3Text]],FIND("[",Tasks[[#This Row],[_Res3Text]]&amp;"[")-1)),res_Name,0),IFERROR(MATCH(TRIM(LEFT(Tasks[[#This Row],[_Res3Text]],FIND("[",Tasks[[#This Row],[_Res3Text]]&amp;"[")-1)),res_Initials,0),0)))</f>
        <v>0</v>
      </c>
      <c r="DK191" s="42" t="n">
        <f aca="false">IF(Tasks[[#This Row],[_Res4Text]]="",0,IFERROR(MATCH(TRIM(LEFT(Tasks[[#This Row],[_Res4Text]],FIND("[",Tasks[[#This Row],[_Res4Text]]&amp;"[")-1)),res_Name,0),IFERROR(MATCH(TRIM(LEFT(Tasks[[#This Row],[_Res4Text]],FIND("[",Tasks[[#This Row],[_Res4Text]]&amp;"[")-1)),res_Initials,0),0)))</f>
        <v>0</v>
      </c>
      <c r="DL191" s="42" t="str">
        <f aca="false">IF(Tasks[[#This Row],[_Res1Text]]="","",IF(Tasks[[#This Row],[_Res1Row]]&gt;0,INDEX(res_Name,Tasks[[#This Row],[_Res1Row]]),TRIM(LEFT(Tasks[[#This Row],[_Res1Text]],FIND("[",Tasks[[#This Row],[_Res1Text]]&amp;"[")-1))))</f>
        <v/>
      </c>
      <c r="DM19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1" s="42" t="n">
        <f aca="false">IF(NOT(Tasks[[#This Row],[_IsLeaf]]=1),0,(Tasks[[#This Row],[_Resource1]]&lt;&gt;"")+(Tasks[[#This Row],[_Res2]]&lt;&gt;"")+(Tasks[[#This Row],[_Res3]]&lt;&gt;"")+(Tasks[[#This Row],[_Res4]]&lt;&gt;""))</f>
        <v>0</v>
      </c>
      <c r="DO191" s="42" t="str">
        <f aca="false">IF(Tasks[[#This Row],[_Res2Text]]="","",IF(Tasks[[#This Row],[_Res2Row]]&gt;0,INDEX(res_Name,Tasks[[#This Row],[_Res2Row]]),TRIM(LEFT(Tasks[[#This Row],[_Res2Text]],FIND("[",Tasks[[#This Row],[_Res2Text]]&amp;"[")-1))))</f>
        <v/>
      </c>
      <c r="DP19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1" s="42" t="n">
        <f aca="false">IF(OR(NOT(Tasks[[#This Row],[_IsLeaf]]=1),Tasks[[#This Row],[_Res2Row]]=0),0,N(Tasks[[#This Row],[_Days]])*HoursPerDay*IF(Tasks[[#This Row],[_Res2Units]]="",DefaultUnits,Tasks[[#This Row],[_Res2Units]]))</f>
        <v>0</v>
      </c>
      <c r="DR191" s="42" t="n">
        <f aca="false">IF(AND(AND(Tasks[[#This Row],[_IsLeaf]]=1,Tasks[[#This Row],[_LeafTotalWork]]&gt;0),Tasks[[#This Row],[_Res2Work]]&gt;0),Tasks[[#This Row],[_Res2Work]]/(Tasks[[#This Row],[_FinishWorkday]]-Tasks[[#This Row],[_StartWorkday]]+1),0)</f>
        <v>0</v>
      </c>
      <c r="DS191" s="42" t="n">
        <f aca="false">Tasks[[#This Row],[_Res2WorkPerWD]]*MAX(0,Tasks[[#This Row],[_StartWorkday]]-1)</f>
        <v>0</v>
      </c>
      <c r="DT191" s="42" t="n">
        <f aca="false">Tasks[[#This Row],[_Res2Work]]*Tasks[[#This Row],[_LeafProgress]]</f>
        <v>0</v>
      </c>
      <c r="DU191" s="42" t="str">
        <f aca="false">IF(Tasks[[#This Row],[_Res3Text]]="","",IF(Tasks[[#This Row],[_Res3Row]]&gt;0,INDEX(res_Name,Tasks[[#This Row],[_Res3Row]]),TRIM(LEFT(Tasks[[#This Row],[_Res3Text]],FIND("[",Tasks[[#This Row],[_Res3Text]]&amp;"[")-1))))</f>
        <v/>
      </c>
      <c r="DV19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1" s="42" t="n">
        <f aca="false">IF(OR(NOT(Tasks[[#This Row],[_IsLeaf]]=1),Tasks[[#This Row],[_Res3Row]]=0),0,N(Tasks[[#This Row],[_Days]])*HoursPerDay*IF(Tasks[[#This Row],[_Res3Units]]="",DefaultUnits,Tasks[[#This Row],[_Res3Units]]))</f>
        <v>0</v>
      </c>
      <c r="DX191" s="42" t="n">
        <f aca="false">IF(AND(AND(Tasks[[#This Row],[_IsLeaf]]=1,Tasks[[#This Row],[_LeafTotalWork]]&gt;0),Tasks[[#This Row],[_Res3Work]]&gt;0),Tasks[[#This Row],[_Res3Work]]/(Tasks[[#This Row],[_FinishWorkday]]-Tasks[[#This Row],[_StartWorkday]]+1),0)</f>
        <v>0</v>
      </c>
      <c r="DY191" s="42" t="n">
        <f aca="false">Tasks[[#This Row],[_Res3WorkPerWD]]*MAX(0,Tasks[[#This Row],[_StartWorkday]]-1)</f>
        <v>0</v>
      </c>
      <c r="DZ191" s="42" t="n">
        <f aca="false">Tasks[[#This Row],[_Res3Work]]*Tasks[[#This Row],[_LeafProgress]]</f>
        <v>0</v>
      </c>
      <c r="EA191" s="42" t="str">
        <f aca="false">IF(Tasks[[#This Row],[_Res4Text]]="","",IF(Tasks[[#This Row],[_Res4Row]]&gt;0,INDEX(res_Name,Tasks[[#This Row],[_Res4Row]]),TRIM(LEFT(Tasks[[#This Row],[_Res4Text]],FIND("[",Tasks[[#This Row],[_Res4Text]]&amp;"[")-1))))</f>
        <v/>
      </c>
      <c r="EB19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1" s="42" t="n">
        <f aca="false">IF(OR(NOT(Tasks[[#This Row],[_IsLeaf]]=1),Tasks[[#This Row],[_Res4Row]]=0),0,N(Tasks[[#This Row],[_Days]])*HoursPerDay*IF(Tasks[[#This Row],[_Res4Units]]="",DefaultUnits,Tasks[[#This Row],[_Res4Units]]))</f>
        <v>0</v>
      </c>
      <c r="ED191" s="42" t="n">
        <f aca="false">IF(AND(AND(Tasks[[#This Row],[_IsLeaf]]=1,Tasks[[#This Row],[_LeafTotalWork]]&gt;0),Tasks[[#This Row],[_Res4Work]]&gt;0),Tasks[[#This Row],[_Res4Work]]/(Tasks[[#This Row],[_FinishWorkday]]-Tasks[[#This Row],[_StartWorkday]]+1),0)</f>
        <v>0</v>
      </c>
      <c r="EE191" s="42" t="n">
        <f aca="false">Tasks[[#This Row],[_Res4WorkPerWD]]*MAX(0,Tasks[[#This Row],[_StartWorkday]]-1)</f>
        <v>0</v>
      </c>
      <c r="EF191" s="42" t="n">
        <f aca="false">Tasks[[#This Row],[_Res4Work]]*Tasks[[#This Row],[_LeafProgress]]</f>
        <v>0</v>
      </c>
      <c r="EG191" s="42" t="n">
        <f aca="false">IF(ISNUMBER(Tasks[[#This Row],[% Complete]]),Tasks[[#This Row],[% Complete]],IF(Tasks[[#This Row],[Stage]]="",0,IFERROR(INDEX(stg_Pct,MATCH(Tasks[[#This Row],[Stage]],stg_Name,0)),0)))</f>
        <v>0</v>
      </c>
      <c r="EH191" s="42" t="n">
        <f aca="false">IF(NOT(Tasks[[#This Row],[_IsLeaf]]=1),0,IF(N(Tasks[[#This Row],[Actual Finish]])&gt;0,1,MIN(1,Tasks[[#This Row],[_Pct]])))</f>
        <v>0</v>
      </c>
      <c r="EI191" s="42" t="n">
        <f aca="false">IF(OR(NOT(Tasks[[#This Row],[_IsLeaf]]=1),Tasks[[#This Row],[_Res1Row]]=0),0,N(Tasks[[#This Row],[_Days]])*HoursPerDay*IF(Tasks[[#This Row],[_Units1]]="",DefaultUnits,Tasks[[#This Row],[_Units1]]))</f>
        <v>0</v>
      </c>
      <c r="EJ191" s="42" t="n">
        <f aca="false">Tasks[[#This Row],[_LeafWork]]+Tasks[[#This Row],[_Res2Work]]+Tasks[[#This Row],[_Res3Work]]+Tasks[[#This Row],[_Res4Work]]</f>
        <v>0</v>
      </c>
      <c r="EK19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1" s="42" t="n">
        <f aca="false">IF(NOT(Tasks[[#This Row],[_IsLeaf]]=1),0,MAX(_xlfn.MAXIFS(Tasks[_Row],Tasks[_Pred1UID],Tasks[[#This Row],[UID]]),_xlfn.MAXIFS(Tasks[_Row],Tasks[_Pred2UID],Tasks[[#This Row],[UID]]),_xlfn.MAXIFS(Tasks[_Row],Tasks[_Pred3UID],Tasks[[#This Row],[UID]]),_xlfn.MAXIFS(Tasks[_Row],Tasks[_Pred4UID],Tasks[[#This Row],[UID]])))</f>
        <v>0</v>
      </c>
      <c r="ET19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1" s="89" t="str">
        <f aca="false">IF(NOT(Tasks[[#This Row],[_IsLeaf]]=1),"",IF(N(Tasks[[#This Row],[_Days]])&lt;=0,Tasks[[#This Row],[_LeafLateFinish]],WORKDAY.INTL(Tasks[[#This Row],[_LeafLateFinish]],-(Tasks[[#This Row],[_Days]]-1),WorkWeek,Holidays)))</f>
        <v/>
      </c>
      <c r="EW19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1" s="88" t="b">
        <f aca="false">AND(Tasks[[#This Row],[_IsLeaf]]=1,Tasks[[#This Row],[_LeafProgress]]&lt;1,N(Tasks[[#This Row],[_LeafTotalSlack]])&lt;=CriticalSlackDays)</f>
        <v>0</v>
      </c>
      <c r="EY191" s="42" t="n">
        <f aca="false">IF(AND(Tasks[[#This Row],[_IsLeaf]]=1,Tasks[[#This Row],[_ConstraintCode]]=1,Tasks[[#This Row],[Mode]]&lt;&gt;"Manual",N(Tasks[[#This Row],[Actual Start]])=0),MAX(0,N(Tasks[[#This Row],[Free Slack]])),0)</f>
        <v>0</v>
      </c>
      <c r="EZ191" s="89" t="str">
        <f aca="false">IF(NOT(Tasks[[#This Row],[_IsLeaf]]=1),"",IF(Tasks[[#This Row],[_AlapShift]]=0,Tasks[[#This Row],[_LeafCalcStart]],WORKDAY.INTL(Tasks[[#This Row],[_LeafCalcStart]],Tasks[[#This Row],[_AlapShift]],WorkWeek,Holidays)))</f>
        <v/>
      </c>
      <c r="FA191" s="89" t="str">
        <f aca="false">IF(NOT(Tasks[[#This Row],[_IsLeaf]]=1),"",IF(Tasks[[#This Row],[_AlapShift]]=0,Tasks[[#This Row],[_LeafCalcFinish]],WORKDAY.INTL(Tasks[[#This Row],[_LeafCalcFinish]],Tasks[[#This Row],[_AlapShift]],WorkWeek,Holidays)))</f>
        <v/>
      </c>
      <c r="FB191" s="89" t="str">
        <f aca="false">IF(NOT(Tasks[[#This Row],[_IsLeaf]]=1),"",IF(Tasks[[#This Row],[_AlapShift]]=0,Tasks[[#This Row],[_LeafFcstStart]],WORKDAY.INTL(Tasks[[#This Row],[_LeafFcstStart]],Tasks[[#This Row],[_AlapShift]],WorkWeek,Holidays)))</f>
        <v/>
      </c>
      <c r="FC191" s="89" t="str">
        <f aca="false">IF(NOT(Tasks[[#This Row],[_IsLeaf]]=1),"",IF(Tasks[[#This Row],[_AlapShift]]=0,Tasks[[#This Row],[_LeafFcstFinish]],WORKDAY.INTL(Tasks[[#This Row],[_LeafFcstFinish]],Tasks[[#This Row],[_AlapShift]],WorkWeek,Holidays)))</f>
        <v/>
      </c>
      <c r="FD191" s="89" t="str">
        <f aca="false">IF(Tasks[[#This Row],[Task Name]]="","",IF(Tasks[[#This Row],[_IsSummary]],MIN(INDEX(Tasks[_ShownCalcStart],Tasks[[#This Row],[_Row]]+1):INDEX(Tasks[_ShownCalcStart],Tasks[[#This Row],[_Row]]+Tasks[[#This Row],[_Descendants]])),Tasks[[#This Row],[_ShownCalcStart]]))</f>
        <v/>
      </c>
      <c r="FE191" s="89" t="str">
        <f aca="false">IF(Tasks[[#This Row],[Task Name]]="","",IF(Tasks[[#This Row],[_IsSummary]],MAX(INDEX(Tasks[_ShownCalcFinish],Tasks[[#This Row],[_Row]]+1):INDEX(Tasks[_ShownCalcFinish],Tasks[[#This Row],[_Row]]+Tasks[[#This Row],[_Descendants]])),Tasks[[#This Row],[_ShownCalcFinish]]))</f>
        <v/>
      </c>
      <c r="FF19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1" s="42" t="n">
        <f aca="false">IF(AND(Tasks[[#This Row],[_IsLeaf]]=1,Tasks[[#This Row],[_LeafTotalWork]]&gt;0),NETWORKDAYS.INTL(ProjectStart,Tasks[[#This Row],[_ShownFcstStart]],WorkWeek,Holidays),0)</f>
        <v>0</v>
      </c>
      <c r="FS191" s="42" t="n">
        <f aca="false">IF(AND(Tasks[[#This Row],[_IsLeaf]]=1,Tasks[[#This Row],[_LeafTotalWork]]&gt;0),MAX(Tasks[[#This Row],[_StartWorkday]],NETWORKDAYS.INTL(ProjectStart,Tasks[[#This Row],[_ShownFcstFinish]],WorkWeek,Holidays)),0)</f>
        <v>0</v>
      </c>
      <c r="FT191" s="42" t="n">
        <f aca="false">IF(AND(Tasks[[#This Row],[_IsLeaf]]=1,Tasks[[#This Row],[_LeafTotalWork]]&gt;0),Tasks[[#This Row],[_LeafWork]]/(Tasks[[#This Row],[_FinishWorkday]]-Tasks[[#This Row],[_StartWorkday]]+1),0)</f>
        <v>0</v>
      </c>
      <c r="FU191" s="42" t="n">
        <f aca="false">Tasks[[#This Row],[_WorkPerWorkday]]*(Tasks[[#This Row],[_StartWorkday]]-1)</f>
        <v>-0</v>
      </c>
      <c r="FV191" s="42" t="n">
        <f aca="false">IF(Tasks[[#This Row],[_IsLeaf]]=1,MAX(N(Tasks[[#This Row],[_Days]]),0.1),0)</f>
        <v>0</v>
      </c>
      <c r="FW191" s="42" t="n">
        <f aca="false">Tasks[[#This Row],[_WeightDur]]*Tasks[[#This Row],[_LeafProgress]]</f>
        <v>0</v>
      </c>
      <c r="FX191" s="42" t="n">
        <f aca="false">Tasks[[#This Row],[_WeightDur]]*Tasks[[#This Row],[_PlannedPct]]</f>
        <v>0</v>
      </c>
      <c r="FY19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1" s="42" t="str">
        <f aca="false">IF(AND(Tasks[[#This Row],[_IsLeaf]]=1,N(Tasks[[#This Row],[_Days]])=0,Tasks[[#This Row],[_LeafProgress]]&lt;1),Tasks[[#This Row],[_ShownFcstFinish]]+Tasks[[#This Row],[_Row]]/100000,"")</f>
        <v/>
      </c>
      <c r="GA19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1" s="42" t="str">
        <f aca="false">IF(Tasks[[#This Row],[Task Name]]="","",LEFT(Tasks[[#This Row],[WBS]],FIND(".",Tasks[[#This Row],[WBS]]&amp;".")-1))</f>
        <v/>
      </c>
      <c r="GC191" s="42" t="str">
        <f aca="false">IF(AND(Tasks[[#This Row],[Task Name]]&lt;&gt;"",Tasks[[#This Row],[_Level]]=1),Tasks[[#This Row],[_Row]],"")</f>
        <v/>
      </c>
      <c r="GD191" s="42" t="str">
        <f aca="false">IF(AND(Tasks[[#This Row],[_IsLeaf]]=1,N(Tasks[[#This Row],[_Days]])=0),Tasks[[#This Row],[Planned Finish]]+Tasks[[#This Row],[_Row]]/100000,"")</f>
        <v/>
      </c>
      <c r="GE191" s="42" t="str">
        <f aca="false">IF(AND(Tasks[[#This Row],[_IsLeaf]]=1,Tasks[[#This Row],[_LeafProgress]]&lt;1,OR(N(Tasks[[#This Row],[Finish Var]])&gt;0,Tasks[[#This Row],[Status]]="Late Start")),MAX(0,Tasks[[#This Row],[Finish Var]])+1-Tasks[[#This Row],[_Row]]/1000000,"")</f>
        <v/>
      </c>
      <c r="GF191" s="42" t="str">
        <f aca="false">IF(AND(Tasks[[#This Row],[_IsLeaf]]=1,N(Tasks[[#This Row],[Actual Start]])=0,Tasks[[#This Row],[_ShownFcstStart]]&gt;=StatusDate,Tasks[[#This Row],[_ShownFcstStart]]&lt;=LookaheadEnd),Tasks[[#This Row],[_ShownFcstStart]]+Tasks[[#This Row],[_Row]]/100000,"")</f>
        <v/>
      </c>
      <c r="GG191" s="42" t="str">
        <f aca="false">IF(AND(Tasks[[#This Row],[_IsLeaf]]=1,Tasks[[#This Row],[_LeafProgress]]&lt;1,Tasks[[#This Row],[_ShownFcstFinish]]&gt;=StatusDate,Tasks[[#This Row],[_ShownFcstFinish]]&lt;=LookaheadEnd),Tasks[[#This Row],[_ShownFcstFinish]]+Tasks[[#This Row],[_Row]]/100000,"")</f>
        <v/>
      </c>
      <c r="GH191" s="42" t="str">
        <f aca="false">IF(Tasks[[#This Row],[_LeafCritical]],Tasks[[#This Row],[_ShownFcstStart]]+Tasks[[#This Row],[_Row]]/100000,"")</f>
        <v/>
      </c>
      <c r="GI191" s="42" t="n">
        <f aca="false">Tasks[[#This Row],[_LeafWork]]*Tasks[[#This Row],[_LeafProgress]]</f>
        <v>0</v>
      </c>
      <c r="GJ191" s="89" t="str">
        <f aca="false">IF(AND(Tasks[[#This Row],[_IsLeaf]]=1,Tasks[[#This Row],[_LeafProgress]]&gt;=1),IF(N(Tasks[[#This Row],[Actual Finish]])&gt;0,Tasks[[#This Row],[Actual Finish]],Tasks[[#This Row],[_ShownFcstFinish]]),"")</f>
        <v/>
      </c>
      <c r="GK191" s="42" t="n">
        <f aca="false">IF(Tasks[[#This Row],[_IsLeaf]]=1,N(Tasks[[#This Row],[Story Points]]),0)</f>
        <v>0</v>
      </c>
      <c r="GL191" s="42" t="str">
        <f aca="false">""</f>
        <v/>
      </c>
      <c r="GM191" s="88" t="b">
        <f aca="false">IF(Tasks[[#This Row],[Task Name]]="",FALSE(),AND(Tasks[[#This Row],[_IsLeaf]]=1,N(Tasks[[#This Row],[_Days]])=0))</f>
        <v>0</v>
      </c>
      <c r="GN191" s="89" t="n">
        <f aca="false">IF(Tasks[[#This Row],[Task Name]]="",0,IF(AND(Tasks[[#This Row],[_IsLeaf]]=1,NOT(Tasks[[#This Row],[_IsMilestone]]),N(Tasks[[#This Row],[Progress]])&gt;0),Tasks[[#This Row],[Start]],0))</f>
        <v>0</v>
      </c>
      <c r="GO191" s="89" t="n">
        <f aca="false">IF(Tasks[[#This Row],[_DoneFrom]]=0,0,IF(Tasks[[#This Row],[Progress]]&gt;=1,Tasks[[#This Row],[Finish]],MAX(Tasks[[#This Row],[_DoneFrom]],Tasks[[#This Row],[Start]]+ROUND((Tasks[[#This Row],[Finish]]-Tasks[[#This Row],[Start]]+1)*Tasks[[#This Row],[Progress]],0)-1)))</f>
        <v>0</v>
      </c>
      <c r="GP191" s="89" t="n">
        <f aca="false">IF(Tasks[[#This Row],[Task Name]]="",0,IF(OR(NOT(Tasks[[#This Row],[_IsLeaf]]=1),Tasks[[#This Row],[_IsMilestone]],N(Tasks[[#This Row],[Progress]])&gt;=1),0,IF(Tasks[[#This Row],[_DoneTo]]&gt;0,Tasks[[#This Row],[_DoneTo]]+1,Tasks[[#This Row],[Start]])))</f>
        <v>0</v>
      </c>
      <c r="GQ191" s="89" t="n">
        <f aca="false">IF(Tasks[[#This Row],[_RemFrom]]=0,0,Tasks[[#This Row],[Finish]])</f>
        <v>0</v>
      </c>
      <c r="GR191" s="88" t="b">
        <f aca="false">IF(Tasks[[#This Row],[Task Name]]="",FALSE(),OR(NOT(BaselineSet),N(Tasks[[#This Row],[Baseline Start]])&gt;0))</f>
        <v>0</v>
      </c>
      <c r="GS19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1" s="90" t="str">
        <f aca="false">IF(Tasks[[#This Row],[_IsLeaf]]=1,Tasks[[#This Row],[_Row]],"")</f>
        <v/>
      </c>
      <c r="GW191" s="90" t="str">
        <f aca="false">IFERROR(INDEX(Tasks[UID],SMALL(Tasks[_PickKey],Tasks[[#This Row],[_Row]]))&amp;" "&amp;INDEX(Tasks[Task Name],SMALL(Tasks[_PickKey],Tasks[[#This Row],[_Row]])),"")</f>
        <v/>
      </c>
      <c r="GX191" s="42" t="str">
        <f aca="false">IF(Tasks[[#This Row],[Task Name]]="","",IF(Tasks[[#This Row],[_IsSummary]],NETWORKDAYS.INTL(Tasks[[#This Row],[Start]],Tasks[[#This Row],[Finish]],WorkWeek,Holidays),N(Tasks[[#This Row],[_Days]])))</f>
        <v/>
      </c>
    </row>
    <row r="192" customFormat="false" ht="15" hidden="false" customHeight="false" outlineLevel="0" collapsed="false">
      <c r="A192" s="21" t="str">
        <f aca="false">IF(Tasks[[#This Row],[Task Name]]="","",COUNTA(Tasks[[#Headers],[Task Name]]:Tasks[[#This Row],[Task Name]])-1)</f>
        <v/>
      </c>
      <c r="B192" s="22" t="n">
        <v>200</v>
      </c>
      <c r="C192" s="22"/>
      <c r="D192" s="23"/>
      <c r="E192" s="22"/>
      <c r="F192" s="23"/>
      <c r="G192" s="22"/>
      <c r="H192" s="22"/>
      <c r="I192" s="23"/>
      <c r="J192" s="22"/>
      <c r="K192" s="22"/>
      <c r="L192" s="23"/>
      <c r="M192" s="22"/>
      <c r="N192" s="22"/>
      <c r="O192" s="23"/>
      <c r="P192" s="22"/>
      <c r="Q192" s="22"/>
      <c r="R192" s="23"/>
      <c r="S192" s="23"/>
      <c r="T192" s="83"/>
      <c r="U192" s="23"/>
      <c r="V192" s="83"/>
      <c r="W192" s="23"/>
      <c r="X192" s="83"/>
      <c r="Y192" s="23"/>
      <c r="Z192" s="83"/>
      <c r="AA192" s="23"/>
      <c r="AB192" s="23"/>
      <c r="AC192" s="7"/>
      <c r="AD192" s="7"/>
      <c r="AE192" s="62" t="str">
        <f aca="false">IF(Tasks[[#This Row],[Task Name]]="","",IF(Tasks[[#This Row],[_IsSummary]],MIN(INDEX(Tasks[_ShownFcstStart],Tasks[[#This Row],[_Row]]+1):INDEX(Tasks[_ShownFcstStart],Tasks[[#This Row],[_Row]]+Tasks[[#This Row],[_Descendants]])),Tasks[[#This Row],[_ShownFcstStart]]))</f>
        <v/>
      </c>
      <c r="AF192" s="62" t="str">
        <f aca="false">IF(Tasks[[#This Row],[Task Name]]="","",IF(Tasks[[#This Row],[_IsSummary]],MAX(INDEX(Tasks[_ShownFcstFinish],Tasks[[#This Row],[_Row]]+1):INDEX(Tasks[_ShownFcstFinish],Tasks[[#This Row],[_Row]]+Tasks[[#This Row],[_Descendants]])),Tasks[[#This Row],[_ShownFcstFinish]]))</f>
        <v/>
      </c>
      <c r="AG192" s="21" t="str">
        <f aca="false">""</f>
        <v/>
      </c>
      <c r="AH192" s="23"/>
      <c r="AI19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2" s="7"/>
      <c r="AK192" s="22"/>
      <c r="AL192" s="23"/>
      <c r="AM192" s="7"/>
      <c r="AN192" s="46" t="str">
        <f aca="false">IF(Tasks[[#This Row],[Task Name]]="","",IF(Tasks[[#This Row],[Finish]]&gt;=Tasks[[#This Row],[Planned Finish]],NETWORKDAYS.INTL(Tasks[[#This Row],[Planned Finish]],Tasks[[#This Row],[Finish]],WorkWeek,Holidays)-1,1-NETWORKDAYS.INTL(Tasks[[#This Row],[Finish]],Tasks[[#This Row],[Planned Finish]],WorkWeek,Holidays)))</f>
        <v/>
      </c>
      <c r="AO192" s="21" t="str">
        <f aca="false">IF(Tasks[[#This Row],[Task Name]]="","",IF(Tasks[[#This Row],[Progress]]&gt;=1,"Complete",IF(OR(N(Tasks[[#This Row],[Actual Start]])&gt;0,Tasks[[#This Row],[Progress]]&gt;0),IF(Tasks[[#This Row],[Finish Var]]&gt;0,"Behind","In Progress"),IF(Tasks[[#This Row],[Planned Start]]&lt;StatusDate,"Late Start","Not Started"))))</f>
        <v/>
      </c>
      <c r="AP192" s="21" t="str">
        <f aca="false">IF(Tasks[[#This Row],[Task Name]]="","",IF(IF(Tasks[[#This Row],[_IsSummary]],COUNTIF(INDEX(Tasks[_LeafCritical],Tasks[[#This Row],[_Row]]+1):INDEX(Tasks[_LeafCritical],Tasks[[#This Row],[_Row]]+Tasks[[#This Row],[_Descendants]]),TRUE())&gt;0,Tasks[[#This Row],[_LeafCritical]]),"Yes",""))</f>
        <v/>
      </c>
      <c r="AQ192" s="62" t="str">
        <f aca="false">IF(Tasks[[#This Row],[Task Name]]="","",IF(N(Tasks[[#This Row],[Baseline Start]])&gt;0,Tasks[[#This Row],[Baseline Start]],Tasks[[#This Row],[_CalcStart]]))</f>
        <v/>
      </c>
      <c r="AR192" s="62" t="str">
        <f aca="false">IF(Tasks[[#This Row],[Task Name]]="","",IF(N(Tasks[[#This Row],[Baseline Finish]])&gt;0,Tasks[[#This Row],[Baseline Finish]],Tasks[[#This Row],[_CalcFinish]]))</f>
        <v/>
      </c>
      <c r="AS192" s="46" t="str">
        <f aca="false">IF(Tasks[[#This Row],[Task Name]]="","",IF(Tasks[[#This Row],[Start]]&gt;=Tasks[[#This Row],[Planned Start]],NETWORKDAYS.INTL(Tasks[[#This Row],[Planned Start]],Tasks[[#This Row],[Start]],WorkWeek,Holidays)-1,1-NETWORKDAYS.INTL(Tasks[[#This Row],[Start]],Tasks[[#This Row],[Planned Start]],WorkWeek,Holidays)))</f>
        <v/>
      </c>
      <c r="AT192" s="62" t="str">
        <f aca="false">IF(Tasks[[#This Row],[Task Name]]="","",IF(Tasks[[#This Row],[_IsSummary]],MIN(INDEX(Tasks[_LeafLateStart],Tasks[[#This Row],[_Row]]+1):INDEX(Tasks[_LeafLateStart],Tasks[[#This Row],[_Row]]+Tasks[[#This Row],[_Descendants]])),Tasks[[#This Row],[_LeafLateStart]]))</f>
        <v/>
      </c>
      <c r="AU192" s="62" t="str">
        <f aca="false">IF(Tasks[[#This Row],[Task Name]]="","",IF(Tasks[[#This Row],[_IsSummary]],MAX(INDEX(Tasks[_LeafLateFinish],Tasks[[#This Row],[_Row]]+1):INDEX(Tasks[_LeafLateFinish],Tasks[[#This Row],[_Row]]+Tasks[[#This Row],[_Descendants]])),Tasks[[#This Row],[_LeafLateFinish]]))</f>
        <v/>
      </c>
      <c r="AV192" s="46" t="str">
        <f aca="false">IF(Tasks[[#This Row],[Task Name]]="","",IF(Tasks[[#This Row],[_IsSummary]],MIN(INDEX(Tasks[_LeafTotalSlack],Tasks[[#This Row],[_Row]]+1):INDEX(Tasks[_LeafTotalSlack],Tasks[[#This Row],[_Row]]+Tasks[[#This Row],[_Descendants]])),Tasks[[#This Row],[_LeafTotalSlack]]))</f>
        <v/>
      </c>
      <c r="AW19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4"/>
      <c r="BA19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t="str">
        <f aca="false">IF(Tasks[[#This Row],[Task Name]]="","",IF(Tasks[[#This Row],[_Level]]&lt;=OutlineShowLevel,"Yes","No"))</f>
        <v/>
      </c>
      <c r="BE192" s="85" t="str">
        <f aca="false">IF(Tasks[[#This Row],[Task Name]]="","",IF(Tasks[[#This Row],[_IsSummary]],SUM(INDEX(Tasks[_LeafTotalWork],Tasks[[#This Row],[_Row]]+1):INDEX(Tasks[_LeafTotalWork],Tasks[[#This Row],[_Row]]+Tasks[[#This Row],[_Descendants]])),Tasks[[#This Row],[_LeafTotalWork]]))</f>
        <v/>
      </c>
      <c r="BF192" s="23"/>
      <c r="BG19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t="str">
        <f aca="false">""</f>
        <v/>
      </c>
      <c r="BI192" s="86"/>
      <c r="BJ192" s="22"/>
      <c r="BK192" s="46" t="str">
        <f aca="false">IF(OR(Tasks[[#This Row],[Task Name]]="",Tasks[[#This Row],[Baseline Duration]]=""),"",Tasks[[#This Row],[_SpanDays]]-N(Tasks[[#This Row],[Baseline Duration]]))</f>
        <v/>
      </c>
      <c r="BL192" s="85" t="str">
        <f aca="false">IF(OR(Tasks[[#This Row],[Task Name]]="",Tasks[[#This Row],[Baseline Work]]=""),"",Tasks[[#This Row],[Work]]-N(Tasks[[#This Row],[Baseline Work]]))</f>
        <v/>
      </c>
      <c r="BM192" s="62" t="str">
        <f aca="false">IF(Tasks[[#This Row],[Task Name]]="","",IF(OR(TakeBaseline="Yes",N(Tasks[[#This Row],[Baseline Start]])=0),Tasks[[#This Row],[Start]],Tasks[[#This Row],[Baseline Start]]))</f>
        <v/>
      </c>
      <c r="BN192" s="62" t="str">
        <f aca="false">IF(Tasks[[#This Row],[Task Name]]="","",IF(OR(TakeBaseline="Yes",N(Tasks[[#This Row],[Baseline Finish]])=0),Tasks[[#This Row],[Finish]],Tasks[[#This Row],[Baseline Finish]]))</f>
        <v/>
      </c>
      <c r="BO192" s="21" t="str">
        <f aca="false">IF(Tasks[[#This Row],[Task Name]]="","",IF(OR(TakeBaseline="Yes",N(Tasks[[#This Row],[Baseline Duration]])=0),Tasks[[#This Row],[_SpanDays]],Tasks[[#This Row],[Baseline Duration]]))</f>
        <v/>
      </c>
      <c r="BP192" s="85" t="str">
        <f aca="false">IF(Tasks[[#This Row],[Task Name]]="","",IF(OR(TakeBaseline="Yes",N(Tasks[[#This Row],[Baseline Work]])=0),Tasks[[#This Row],[Work]],Tasks[[#This Row],[Baseline Work]]))</f>
        <v/>
      </c>
      <c r="BQ192" s="7"/>
      <c r="BR192" s="7"/>
      <c r="BS192" s="22"/>
      <c r="BT192" s="87"/>
      <c r="BU192" s="42" t="str">
        <f aca="false">IF(Tasks[[#This Row],[Task Name]]="","",MAX(1,N(Tasks[[#This Row],[Level]])))</f>
        <v/>
      </c>
      <c r="BV192" s="42" t="n">
        <f aca="false">ROW()-ROW(Tasks[[#Headers],[ID]])</f>
        <v>187</v>
      </c>
      <c r="BW192" s="42" t="n">
        <f aca="false">IF(OR(Tasks[[#This Row],[Task Name]]="",Tasks[[#This Row],[_Level]]&lt;=1),0,IFERROR(LOOKUP(2,1/(Tasks[[#Headers],[_Level]]:Tasks[[#This Row],[_Level]]=Tasks[[#This Row],[_Level]]-1),ROW(Tasks[[#Headers],[_Level]]:Tasks[[#This Row],[_Level]])),0))</f>
        <v>0</v>
      </c>
      <c r="BX192" s="42" t="n">
        <f aca="false">IFERROR(N(INDEX(Tasks[_Level],Tasks[[#This Row],[_Row]]+1)),0)</f>
        <v>0</v>
      </c>
      <c r="BY192" s="88" t="b">
        <f aca="false">AND(Tasks[[#This Row],[Task Name]]&lt;&gt;"",Tasks[[#This Row],[_NextLevel]]&gt;Tasks[[#This Row],[_Level]])</f>
        <v>0</v>
      </c>
      <c r="BZ192" s="42" t="n">
        <f aca="false">IF(Tasks[[#This Row],[_IsSummary]],COUNTIF(Tasks[WBS],Tasks[[#This Row],[WBS]]&amp;".*"),0)</f>
        <v>0</v>
      </c>
      <c r="CA192" s="42" t="n">
        <f aca="false">IF(AND(Tasks[[#This Row],[Task Name]]&lt;&gt;"",NOT(Tasks[[#This Row],[_IsSummary]])),1,0)</f>
        <v>0</v>
      </c>
      <c r="CB192" s="42" t="n">
        <f aca="false">IF(N(Tasks[[#This Row],[_Pred1UID]])=0,0,IFERROR(MATCH(Tasks[[#This Row],[_Pred1UID]],Tasks[UID],0),-1))</f>
        <v>0</v>
      </c>
      <c r="CC192" s="42" t="n">
        <f aca="false">IF(N(Tasks[[#This Row],[_Pred2UID]])=0,0,IFERROR(MATCH(Tasks[[#This Row],[_Pred2UID]],Tasks[UID],0),-1))</f>
        <v>0</v>
      </c>
      <c r="CD192" s="42" t="n">
        <f aca="false">IF(N(Tasks[[#This Row],[_Pred3UID]])=0,0,IFERROR(MATCH(Tasks[[#This Row],[_Pred3UID]],Tasks[UID],0),-1))</f>
        <v>0</v>
      </c>
      <c r="CE192" s="42" t="n">
        <f aca="false">IF(N(Tasks[[#This Row],[_Pred4UID]])=0,0,IFERROR(MATCH(Tasks[[#This Row],[_Pred4UID]],Tasks[UID],0),-1))</f>
        <v>0</v>
      </c>
      <c r="CF19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2" s="89" t="n">
        <f aca="false">IF(OR(Tasks[[#This Row],[_ConstraintCode]]=2,Tasks[[#This Row],[_ConstraintCode]]=3,Tasks[[#This Row],[_ConstraintCode]]=4,Tasks[[#This Row],[_ConstraintCode]]=6),Tasks[[#This Row],[_ConstraintStart]],0)</f>
        <v>0</v>
      </c>
      <c r="CI192" s="89" t="n">
        <f aca="false">IF(OR(Tasks[[#This Row],[_ConstraintCode]]=2,Tasks[[#This Row],[_ConstraintCode]]=3,Tasks[[#This Row],[_ConstraintCode]]=5,Tasks[[#This Row],[_ConstraintCode]]=7),Tasks[[#This Row],[_ConstraintStart]],2958465)</f>
        <v>2958465</v>
      </c>
      <c r="CJ19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2" s="89" t="str">
        <f aca="false">IF(NOT(Tasks[[#This Row],[_IsLeaf]]=1),"",IF(N(Tasks[[#This Row],[_Days]])&lt;=0,Tasks[[#This Row],[_LeafCalcStart]],WORKDAY.INTL(Tasks[[#This Row],[_LeafCalcStart]],Tasks[[#This Row],[_Days]]-1,WorkWeek,Holidays)))</f>
        <v/>
      </c>
      <c r="CL19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2" s="42" t="str">
        <f aca="false">IF(Tasks[[#This Row],[_Predecessors]]="","",TRIM(MID(SUBSTITUTE(SUBSTITUTE(SUBSTITUTE(UPPER(Tasks[[#This Row],[_Predecessors]]),";",",")," ",""),",",REPT(" ",99)),1,99)))</f>
        <v/>
      </c>
      <c r="CO192" s="42" t="str">
        <f aca="false">IF(Tasks[[#This Row],[_Pred1Text]]="","",IFERROR(VALUE(LEFT(Tasks[[#This Row],[_Pred1Text]],MIN(FIND("F",Tasks[[#This Row],[_Pred1Text]]&amp;"F"),FIND("S",Tasks[[#This Row],[_Pred1Text]]&amp;"S"),FIND("+",Tasks[[#This Row],[_Pred1Text]]&amp;"+"),FIND("-",Tasks[[#This Row],[_Pred1Text]]&amp;"-"))-1)),""))</f>
        <v/>
      </c>
      <c r="CP19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2" s="42" t="str">
        <f aca="false">IF(Tasks[[#This Row],[_Pred1Text]]="","",TRIM(MID(SUBSTITUTE(SUBSTITUTE(SUBSTITUTE(UPPER(Tasks[[#This Row],[_Predecessors]]),";",",")," ",""),",",REPT(" ",99)),100,99)))</f>
        <v/>
      </c>
      <c r="CS192" s="42" t="str">
        <f aca="false">IF(Tasks[[#This Row],[_Pred2Text]]="","",IFERROR(VALUE(LEFT(Tasks[[#This Row],[_Pred2Text]],MIN(FIND("F",Tasks[[#This Row],[_Pred2Text]]&amp;"F"),FIND("S",Tasks[[#This Row],[_Pred2Text]]&amp;"S"),FIND("+",Tasks[[#This Row],[_Pred2Text]]&amp;"+"),FIND("-",Tasks[[#This Row],[_Pred2Text]]&amp;"-"))-1)),""))</f>
        <v/>
      </c>
      <c r="CT19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2" s="42" t="str">
        <f aca="false">IF(Tasks[[#This Row],[_Pred2Text]]="","",TRIM(MID(SUBSTITUTE(SUBSTITUTE(SUBSTITUTE(UPPER(Tasks[[#This Row],[_Predecessors]]),";",",")," ",""),",",REPT(" ",99)),199,99)))</f>
        <v/>
      </c>
      <c r="CW192" s="42" t="str">
        <f aca="false">IF(Tasks[[#This Row],[_Pred3Text]]="","",IFERROR(VALUE(LEFT(Tasks[[#This Row],[_Pred3Text]],MIN(FIND("F",Tasks[[#This Row],[_Pred3Text]]&amp;"F"),FIND("S",Tasks[[#This Row],[_Pred3Text]]&amp;"S"),FIND("+",Tasks[[#This Row],[_Pred3Text]]&amp;"+"),FIND("-",Tasks[[#This Row],[_Pred3Text]]&amp;"-"))-1)),""))</f>
        <v/>
      </c>
      <c r="CX19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2" s="42" t="str">
        <f aca="false">IF(Tasks[[#This Row],[_Pred3Text]]="","",TRIM(MID(SUBSTITUTE(SUBSTITUTE(SUBSTITUTE(UPPER(Tasks[[#This Row],[_Predecessors]]),";",",")," ",""),",",REPT(" ",99)),298,99)))</f>
        <v/>
      </c>
      <c r="DA192" s="42" t="str">
        <f aca="false">IF(Tasks[[#This Row],[_Pred4Text]]="","",IFERROR(VALUE(LEFT(Tasks[[#This Row],[_Pred4Text]],MIN(FIND("F",Tasks[[#This Row],[_Pred4Text]]&amp;"F"),FIND("S",Tasks[[#This Row],[_Pred4Text]]&amp;"S"),FIND("+",Tasks[[#This Row],[_Pred4Text]]&amp;"+"),FIND("-",Tasks[[#This Row],[_Pred4Text]]&amp;"-"))-1)),""))</f>
        <v/>
      </c>
      <c r="DB19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2" s="42" t="str">
        <f aca="false">IF(OR(Tasks[[#This Row],[Task Name]]="",Tasks[[#This Row],[_Resources]]=""),"",TRIM(MID(SUBSTITUTE(Tasks[[#This Row],[_Resources]],",",REPT(" ",99)),1,99)))</f>
        <v/>
      </c>
      <c r="DE192" s="42" t="str">
        <f aca="false">IF(Tasks[[#This Row],[_Res1Text]]="","",TRIM(MID(SUBSTITUTE(Tasks[[#This Row],[_Resources]],",",REPT(" ",99)),100,99)))</f>
        <v/>
      </c>
      <c r="DF192" s="42" t="str">
        <f aca="false">IF(Tasks[[#This Row],[_Res2Text]]="","",TRIM(MID(SUBSTITUTE(Tasks[[#This Row],[_Resources]],",",REPT(" ",99)),199,99)))</f>
        <v/>
      </c>
      <c r="DG192" s="42" t="str">
        <f aca="false">IF(Tasks[[#This Row],[_Res3Text]]="","",TRIM(MID(SUBSTITUTE(Tasks[[#This Row],[_Resources]],",",REPT(" ",99)),298,99)))</f>
        <v/>
      </c>
      <c r="DH192" s="42" t="n">
        <f aca="false">IF(Tasks[[#This Row],[_Res1Text]]="",0,IFERROR(MATCH(TRIM(LEFT(Tasks[[#This Row],[_Res1Text]],FIND("[",Tasks[[#This Row],[_Res1Text]]&amp;"[")-1)),res_Name,0),IFERROR(MATCH(TRIM(LEFT(Tasks[[#This Row],[_Res1Text]],FIND("[",Tasks[[#This Row],[_Res1Text]]&amp;"[")-1)),res_Initials,0),0)))</f>
        <v>0</v>
      </c>
      <c r="DI192" s="42" t="n">
        <f aca="false">IF(Tasks[[#This Row],[_Res2Text]]="",0,IFERROR(MATCH(TRIM(LEFT(Tasks[[#This Row],[_Res2Text]],FIND("[",Tasks[[#This Row],[_Res2Text]]&amp;"[")-1)),res_Name,0),IFERROR(MATCH(TRIM(LEFT(Tasks[[#This Row],[_Res2Text]],FIND("[",Tasks[[#This Row],[_Res2Text]]&amp;"[")-1)),res_Initials,0),0)))</f>
        <v>0</v>
      </c>
      <c r="DJ192" s="42" t="n">
        <f aca="false">IF(Tasks[[#This Row],[_Res3Text]]="",0,IFERROR(MATCH(TRIM(LEFT(Tasks[[#This Row],[_Res3Text]],FIND("[",Tasks[[#This Row],[_Res3Text]]&amp;"[")-1)),res_Name,0),IFERROR(MATCH(TRIM(LEFT(Tasks[[#This Row],[_Res3Text]],FIND("[",Tasks[[#This Row],[_Res3Text]]&amp;"[")-1)),res_Initials,0),0)))</f>
        <v>0</v>
      </c>
      <c r="DK192" s="42" t="n">
        <f aca="false">IF(Tasks[[#This Row],[_Res4Text]]="",0,IFERROR(MATCH(TRIM(LEFT(Tasks[[#This Row],[_Res4Text]],FIND("[",Tasks[[#This Row],[_Res4Text]]&amp;"[")-1)),res_Name,0),IFERROR(MATCH(TRIM(LEFT(Tasks[[#This Row],[_Res4Text]],FIND("[",Tasks[[#This Row],[_Res4Text]]&amp;"[")-1)),res_Initials,0),0)))</f>
        <v>0</v>
      </c>
      <c r="DL192" s="42" t="str">
        <f aca="false">IF(Tasks[[#This Row],[_Res1Text]]="","",IF(Tasks[[#This Row],[_Res1Row]]&gt;0,INDEX(res_Name,Tasks[[#This Row],[_Res1Row]]),TRIM(LEFT(Tasks[[#This Row],[_Res1Text]],FIND("[",Tasks[[#This Row],[_Res1Text]]&amp;"[")-1))))</f>
        <v/>
      </c>
      <c r="DM19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2" s="42" t="n">
        <f aca="false">IF(NOT(Tasks[[#This Row],[_IsLeaf]]=1),0,(Tasks[[#This Row],[_Resource1]]&lt;&gt;"")+(Tasks[[#This Row],[_Res2]]&lt;&gt;"")+(Tasks[[#This Row],[_Res3]]&lt;&gt;"")+(Tasks[[#This Row],[_Res4]]&lt;&gt;""))</f>
        <v>0</v>
      </c>
      <c r="DO192" s="42" t="str">
        <f aca="false">IF(Tasks[[#This Row],[_Res2Text]]="","",IF(Tasks[[#This Row],[_Res2Row]]&gt;0,INDEX(res_Name,Tasks[[#This Row],[_Res2Row]]),TRIM(LEFT(Tasks[[#This Row],[_Res2Text]],FIND("[",Tasks[[#This Row],[_Res2Text]]&amp;"[")-1))))</f>
        <v/>
      </c>
      <c r="DP19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2" s="42" t="n">
        <f aca="false">IF(OR(NOT(Tasks[[#This Row],[_IsLeaf]]=1),Tasks[[#This Row],[_Res2Row]]=0),0,N(Tasks[[#This Row],[_Days]])*HoursPerDay*IF(Tasks[[#This Row],[_Res2Units]]="",DefaultUnits,Tasks[[#This Row],[_Res2Units]]))</f>
        <v>0</v>
      </c>
      <c r="DR192" s="42" t="n">
        <f aca="false">IF(AND(AND(Tasks[[#This Row],[_IsLeaf]]=1,Tasks[[#This Row],[_LeafTotalWork]]&gt;0),Tasks[[#This Row],[_Res2Work]]&gt;0),Tasks[[#This Row],[_Res2Work]]/(Tasks[[#This Row],[_FinishWorkday]]-Tasks[[#This Row],[_StartWorkday]]+1),0)</f>
        <v>0</v>
      </c>
      <c r="DS192" s="42" t="n">
        <f aca="false">Tasks[[#This Row],[_Res2WorkPerWD]]*MAX(0,Tasks[[#This Row],[_StartWorkday]]-1)</f>
        <v>0</v>
      </c>
      <c r="DT192" s="42" t="n">
        <f aca="false">Tasks[[#This Row],[_Res2Work]]*Tasks[[#This Row],[_LeafProgress]]</f>
        <v>0</v>
      </c>
      <c r="DU192" s="42" t="str">
        <f aca="false">IF(Tasks[[#This Row],[_Res3Text]]="","",IF(Tasks[[#This Row],[_Res3Row]]&gt;0,INDEX(res_Name,Tasks[[#This Row],[_Res3Row]]),TRIM(LEFT(Tasks[[#This Row],[_Res3Text]],FIND("[",Tasks[[#This Row],[_Res3Text]]&amp;"[")-1))))</f>
        <v/>
      </c>
      <c r="DV19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2" s="42" t="n">
        <f aca="false">IF(OR(NOT(Tasks[[#This Row],[_IsLeaf]]=1),Tasks[[#This Row],[_Res3Row]]=0),0,N(Tasks[[#This Row],[_Days]])*HoursPerDay*IF(Tasks[[#This Row],[_Res3Units]]="",DefaultUnits,Tasks[[#This Row],[_Res3Units]]))</f>
        <v>0</v>
      </c>
      <c r="DX192" s="42" t="n">
        <f aca="false">IF(AND(AND(Tasks[[#This Row],[_IsLeaf]]=1,Tasks[[#This Row],[_LeafTotalWork]]&gt;0),Tasks[[#This Row],[_Res3Work]]&gt;0),Tasks[[#This Row],[_Res3Work]]/(Tasks[[#This Row],[_FinishWorkday]]-Tasks[[#This Row],[_StartWorkday]]+1),0)</f>
        <v>0</v>
      </c>
      <c r="DY192" s="42" t="n">
        <f aca="false">Tasks[[#This Row],[_Res3WorkPerWD]]*MAX(0,Tasks[[#This Row],[_StartWorkday]]-1)</f>
        <v>0</v>
      </c>
      <c r="DZ192" s="42" t="n">
        <f aca="false">Tasks[[#This Row],[_Res3Work]]*Tasks[[#This Row],[_LeafProgress]]</f>
        <v>0</v>
      </c>
      <c r="EA192" s="42" t="str">
        <f aca="false">IF(Tasks[[#This Row],[_Res4Text]]="","",IF(Tasks[[#This Row],[_Res4Row]]&gt;0,INDEX(res_Name,Tasks[[#This Row],[_Res4Row]]),TRIM(LEFT(Tasks[[#This Row],[_Res4Text]],FIND("[",Tasks[[#This Row],[_Res4Text]]&amp;"[")-1))))</f>
        <v/>
      </c>
      <c r="EB19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2" s="42" t="n">
        <f aca="false">IF(OR(NOT(Tasks[[#This Row],[_IsLeaf]]=1),Tasks[[#This Row],[_Res4Row]]=0),0,N(Tasks[[#This Row],[_Days]])*HoursPerDay*IF(Tasks[[#This Row],[_Res4Units]]="",DefaultUnits,Tasks[[#This Row],[_Res4Units]]))</f>
        <v>0</v>
      </c>
      <c r="ED192" s="42" t="n">
        <f aca="false">IF(AND(AND(Tasks[[#This Row],[_IsLeaf]]=1,Tasks[[#This Row],[_LeafTotalWork]]&gt;0),Tasks[[#This Row],[_Res4Work]]&gt;0),Tasks[[#This Row],[_Res4Work]]/(Tasks[[#This Row],[_FinishWorkday]]-Tasks[[#This Row],[_StartWorkday]]+1),0)</f>
        <v>0</v>
      </c>
      <c r="EE192" s="42" t="n">
        <f aca="false">Tasks[[#This Row],[_Res4WorkPerWD]]*MAX(0,Tasks[[#This Row],[_StartWorkday]]-1)</f>
        <v>0</v>
      </c>
      <c r="EF192" s="42" t="n">
        <f aca="false">Tasks[[#This Row],[_Res4Work]]*Tasks[[#This Row],[_LeafProgress]]</f>
        <v>0</v>
      </c>
      <c r="EG192" s="42" t="n">
        <f aca="false">IF(ISNUMBER(Tasks[[#This Row],[% Complete]]),Tasks[[#This Row],[% Complete]],IF(Tasks[[#This Row],[Stage]]="",0,IFERROR(INDEX(stg_Pct,MATCH(Tasks[[#This Row],[Stage]],stg_Name,0)),0)))</f>
        <v>0</v>
      </c>
      <c r="EH192" s="42" t="n">
        <f aca="false">IF(NOT(Tasks[[#This Row],[_IsLeaf]]=1),0,IF(N(Tasks[[#This Row],[Actual Finish]])&gt;0,1,MIN(1,Tasks[[#This Row],[_Pct]])))</f>
        <v>0</v>
      </c>
      <c r="EI192" s="42" t="n">
        <f aca="false">IF(OR(NOT(Tasks[[#This Row],[_IsLeaf]]=1),Tasks[[#This Row],[_Res1Row]]=0),0,N(Tasks[[#This Row],[_Days]])*HoursPerDay*IF(Tasks[[#This Row],[_Units1]]="",DefaultUnits,Tasks[[#This Row],[_Units1]]))</f>
        <v>0</v>
      </c>
      <c r="EJ192" s="42" t="n">
        <f aca="false">Tasks[[#This Row],[_LeafWork]]+Tasks[[#This Row],[_Res2Work]]+Tasks[[#This Row],[_Res3Work]]+Tasks[[#This Row],[_Res4Work]]</f>
        <v>0</v>
      </c>
      <c r="EK19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2" s="42" t="n">
        <f aca="false">IF(NOT(Tasks[[#This Row],[_IsLeaf]]=1),0,MAX(_xlfn.MAXIFS(Tasks[_Row],Tasks[_Pred1UID],Tasks[[#This Row],[UID]]),_xlfn.MAXIFS(Tasks[_Row],Tasks[_Pred2UID],Tasks[[#This Row],[UID]]),_xlfn.MAXIFS(Tasks[_Row],Tasks[_Pred3UID],Tasks[[#This Row],[UID]]),_xlfn.MAXIFS(Tasks[_Row],Tasks[_Pred4UID],Tasks[[#This Row],[UID]])))</f>
        <v>0</v>
      </c>
      <c r="ET19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2" s="89" t="str">
        <f aca="false">IF(NOT(Tasks[[#This Row],[_IsLeaf]]=1),"",IF(N(Tasks[[#This Row],[_Days]])&lt;=0,Tasks[[#This Row],[_LeafLateFinish]],WORKDAY.INTL(Tasks[[#This Row],[_LeafLateFinish]],-(Tasks[[#This Row],[_Days]]-1),WorkWeek,Holidays)))</f>
        <v/>
      </c>
      <c r="EW19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2" s="88" t="b">
        <f aca="false">AND(Tasks[[#This Row],[_IsLeaf]]=1,Tasks[[#This Row],[_LeafProgress]]&lt;1,N(Tasks[[#This Row],[_LeafTotalSlack]])&lt;=CriticalSlackDays)</f>
        <v>0</v>
      </c>
      <c r="EY192" s="42" t="n">
        <f aca="false">IF(AND(Tasks[[#This Row],[_IsLeaf]]=1,Tasks[[#This Row],[_ConstraintCode]]=1,Tasks[[#This Row],[Mode]]&lt;&gt;"Manual",N(Tasks[[#This Row],[Actual Start]])=0),MAX(0,N(Tasks[[#This Row],[Free Slack]])),0)</f>
        <v>0</v>
      </c>
      <c r="EZ192" s="89" t="str">
        <f aca="false">IF(NOT(Tasks[[#This Row],[_IsLeaf]]=1),"",IF(Tasks[[#This Row],[_AlapShift]]=0,Tasks[[#This Row],[_LeafCalcStart]],WORKDAY.INTL(Tasks[[#This Row],[_LeafCalcStart]],Tasks[[#This Row],[_AlapShift]],WorkWeek,Holidays)))</f>
        <v/>
      </c>
      <c r="FA192" s="89" t="str">
        <f aca="false">IF(NOT(Tasks[[#This Row],[_IsLeaf]]=1),"",IF(Tasks[[#This Row],[_AlapShift]]=0,Tasks[[#This Row],[_LeafCalcFinish]],WORKDAY.INTL(Tasks[[#This Row],[_LeafCalcFinish]],Tasks[[#This Row],[_AlapShift]],WorkWeek,Holidays)))</f>
        <v/>
      </c>
      <c r="FB192" s="89" t="str">
        <f aca="false">IF(NOT(Tasks[[#This Row],[_IsLeaf]]=1),"",IF(Tasks[[#This Row],[_AlapShift]]=0,Tasks[[#This Row],[_LeafFcstStart]],WORKDAY.INTL(Tasks[[#This Row],[_LeafFcstStart]],Tasks[[#This Row],[_AlapShift]],WorkWeek,Holidays)))</f>
        <v/>
      </c>
      <c r="FC192" s="89" t="str">
        <f aca="false">IF(NOT(Tasks[[#This Row],[_IsLeaf]]=1),"",IF(Tasks[[#This Row],[_AlapShift]]=0,Tasks[[#This Row],[_LeafFcstFinish]],WORKDAY.INTL(Tasks[[#This Row],[_LeafFcstFinish]],Tasks[[#This Row],[_AlapShift]],WorkWeek,Holidays)))</f>
        <v/>
      </c>
      <c r="FD192" s="89" t="str">
        <f aca="false">IF(Tasks[[#This Row],[Task Name]]="","",IF(Tasks[[#This Row],[_IsSummary]],MIN(INDEX(Tasks[_ShownCalcStart],Tasks[[#This Row],[_Row]]+1):INDEX(Tasks[_ShownCalcStart],Tasks[[#This Row],[_Row]]+Tasks[[#This Row],[_Descendants]])),Tasks[[#This Row],[_ShownCalcStart]]))</f>
        <v/>
      </c>
      <c r="FE192" s="89" t="str">
        <f aca="false">IF(Tasks[[#This Row],[Task Name]]="","",IF(Tasks[[#This Row],[_IsSummary]],MAX(INDEX(Tasks[_ShownCalcFinish],Tasks[[#This Row],[_Row]]+1):INDEX(Tasks[_ShownCalcFinish],Tasks[[#This Row],[_Row]]+Tasks[[#This Row],[_Descendants]])),Tasks[[#This Row],[_ShownCalcFinish]]))</f>
        <v/>
      </c>
      <c r="FF19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2" s="42" t="n">
        <f aca="false">IF(AND(Tasks[[#This Row],[_IsLeaf]]=1,Tasks[[#This Row],[_LeafTotalWork]]&gt;0),NETWORKDAYS.INTL(ProjectStart,Tasks[[#This Row],[_ShownFcstStart]],WorkWeek,Holidays),0)</f>
        <v>0</v>
      </c>
      <c r="FS192" s="42" t="n">
        <f aca="false">IF(AND(Tasks[[#This Row],[_IsLeaf]]=1,Tasks[[#This Row],[_LeafTotalWork]]&gt;0),MAX(Tasks[[#This Row],[_StartWorkday]],NETWORKDAYS.INTL(ProjectStart,Tasks[[#This Row],[_ShownFcstFinish]],WorkWeek,Holidays)),0)</f>
        <v>0</v>
      </c>
      <c r="FT192" s="42" t="n">
        <f aca="false">IF(AND(Tasks[[#This Row],[_IsLeaf]]=1,Tasks[[#This Row],[_LeafTotalWork]]&gt;0),Tasks[[#This Row],[_LeafWork]]/(Tasks[[#This Row],[_FinishWorkday]]-Tasks[[#This Row],[_StartWorkday]]+1),0)</f>
        <v>0</v>
      </c>
      <c r="FU192" s="42" t="n">
        <f aca="false">Tasks[[#This Row],[_WorkPerWorkday]]*(Tasks[[#This Row],[_StartWorkday]]-1)</f>
        <v>-0</v>
      </c>
      <c r="FV192" s="42" t="n">
        <f aca="false">IF(Tasks[[#This Row],[_IsLeaf]]=1,MAX(N(Tasks[[#This Row],[_Days]]),0.1),0)</f>
        <v>0</v>
      </c>
      <c r="FW192" s="42" t="n">
        <f aca="false">Tasks[[#This Row],[_WeightDur]]*Tasks[[#This Row],[_LeafProgress]]</f>
        <v>0</v>
      </c>
      <c r="FX192" s="42" t="n">
        <f aca="false">Tasks[[#This Row],[_WeightDur]]*Tasks[[#This Row],[_PlannedPct]]</f>
        <v>0</v>
      </c>
      <c r="FY19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2" s="42" t="str">
        <f aca="false">IF(AND(Tasks[[#This Row],[_IsLeaf]]=1,N(Tasks[[#This Row],[_Days]])=0,Tasks[[#This Row],[_LeafProgress]]&lt;1),Tasks[[#This Row],[_ShownFcstFinish]]+Tasks[[#This Row],[_Row]]/100000,"")</f>
        <v/>
      </c>
      <c r="GA19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2" s="42" t="str">
        <f aca="false">IF(Tasks[[#This Row],[Task Name]]="","",LEFT(Tasks[[#This Row],[WBS]],FIND(".",Tasks[[#This Row],[WBS]]&amp;".")-1))</f>
        <v/>
      </c>
      <c r="GC192" s="42" t="str">
        <f aca="false">IF(AND(Tasks[[#This Row],[Task Name]]&lt;&gt;"",Tasks[[#This Row],[_Level]]=1),Tasks[[#This Row],[_Row]],"")</f>
        <v/>
      </c>
      <c r="GD192" s="42" t="str">
        <f aca="false">IF(AND(Tasks[[#This Row],[_IsLeaf]]=1,N(Tasks[[#This Row],[_Days]])=0),Tasks[[#This Row],[Planned Finish]]+Tasks[[#This Row],[_Row]]/100000,"")</f>
        <v/>
      </c>
      <c r="GE192" s="42" t="str">
        <f aca="false">IF(AND(Tasks[[#This Row],[_IsLeaf]]=1,Tasks[[#This Row],[_LeafProgress]]&lt;1,OR(N(Tasks[[#This Row],[Finish Var]])&gt;0,Tasks[[#This Row],[Status]]="Late Start")),MAX(0,Tasks[[#This Row],[Finish Var]])+1-Tasks[[#This Row],[_Row]]/1000000,"")</f>
        <v/>
      </c>
      <c r="GF192" s="42" t="str">
        <f aca="false">IF(AND(Tasks[[#This Row],[_IsLeaf]]=1,N(Tasks[[#This Row],[Actual Start]])=0,Tasks[[#This Row],[_ShownFcstStart]]&gt;=StatusDate,Tasks[[#This Row],[_ShownFcstStart]]&lt;=LookaheadEnd),Tasks[[#This Row],[_ShownFcstStart]]+Tasks[[#This Row],[_Row]]/100000,"")</f>
        <v/>
      </c>
      <c r="GG192" s="42" t="str">
        <f aca="false">IF(AND(Tasks[[#This Row],[_IsLeaf]]=1,Tasks[[#This Row],[_LeafProgress]]&lt;1,Tasks[[#This Row],[_ShownFcstFinish]]&gt;=StatusDate,Tasks[[#This Row],[_ShownFcstFinish]]&lt;=LookaheadEnd),Tasks[[#This Row],[_ShownFcstFinish]]+Tasks[[#This Row],[_Row]]/100000,"")</f>
        <v/>
      </c>
      <c r="GH192" s="42" t="str">
        <f aca="false">IF(Tasks[[#This Row],[_LeafCritical]],Tasks[[#This Row],[_ShownFcstStart]]+Tasks[[#This Row],[_Row]]/100000,"")</f>
        <v/>
      </c>
      <c r="GI192" s="42" t="n">
        <f aca="false">Tasks[[#This Row],[_LeafWork]]*Tasks[[#This Row],[_LeafProgress]]</f>
        <v>0</v>
      </c>
      <c r="GJ192" s="89" t="str">
        <f aca="false">IF(AND(Tasks[[#This Row],[_IsLeaf]]=1,Tasks[[#This Row],[_LeafProgress]]&gt;=1),IF(N(Tasks[[#This Row],[Actual Finish]])&gt;0,Tasks[[#This Row],[Actual Finish]],Tasks[[#This Row],[_ShownFcstFinish]]),"")</f>
        <v/>
      </c>
      <c r="GK192" s="42" t="n">
        <f aca="false">IF(Tasks[[#This Row],[_IsLeaf]]=1,N(Tasks[[#This Row],[Story Points]]),0)</f>
        <v>0</v>
      </c>
      <c r="GL192" s="42" t="str">
        <f aca="false">""</f>
        <v/>
      </c>
      <c r="GM192" s="88" t="b">
        <f aca="false">IF(Tasks[[#This Row],[Task Name]]="",FALSE(),AND(Tasks[[#This Row],[_IsLeaf]]=1,N(Tasks[[#This Row],[_Days]])=0))</f>
        <v>0</v>
      </c>
      <c r="GN192" s="89" t="n">
        <f aca="false">IF(Tasks[[#This Row],[Task Name]]="",0,IF(AND(Tasks[[#This Row],[_IsLeaf]]=1,NOT(Tasks[[#This Row],[_IsMilestone]]),N(Tasks[[#This Row],[Progress]])&gt;0),Tasks[[#This Row],[Start]],0))</f>
        <v>0</v>
      </c>
      <c r="GO192" s="89" t="n">
        <f aca="false">IF(Tasks[[#This Row],[_DoneFrom]]=0,0,IF(Tasks[[#This Row],[Progress]]&gt;=1,Tasks[[#This Row],[Finish]],MAX(Tasks[[#This Row],[_DoneFrom]],Tasks[[#This Row],[Start]]+ROUND((Tasks[[#This Row],[Finish]]-Tasks[[#This Row],[Start]]+1)*Tasks[[#This Row],[Progress]],0)-1)))</f>
        <v>0</v>
      </c>
      <c r="GP192" s="89" t="n">
        <f aca="false">IF(Tasks[[#This Row],[Task Name]]="",0,IF(OR(NOT(Tasks[[#This Row],[_IsLeaf]]=1),Tasks[[#This Row],[_IsMilestone]],N(Tasks[[#This Row],[Progress]])&gt;=1),0,IF(Tasks[[#This Row],[_DoneTo]]&gt;0,Tasks[[#This Row],[_DoneTo]]+1,Tasks[[#This Row],[Start]])))</f>
        <v>0</v>
      </c>
      <c r="GQ192" s="89" t="n">
        <f aca="false">IF(Tasks[[#This Row],[_RemFrom]]=0,0,Tasks[[#This Row],[Finish]])</f>
        <v>0</v>
      </c>
      <c r="GR192" s="88" t="b">
        <f aca="false">IF(Tasks[[#This Row],[Task Name]]="",FALSE(),OR(NOT(BaselineSet),N(Tasks[[#This Row],[Baseline Start]])&gt;0))</f>
        <v>0</v>
      </c>
      <c r="GS19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2" s="90" t="str">
        <f aca="false">IF(Tasks[[#This Row],[_IsLeaf]]=1,Tasks[[#This Row],[_Row]],"")</f>
        <v/>
      </c>
      <c r="GW192" s="90" t="str">
        <f aca="false">IFERROR(INDEX(Tasks[UID],SMALL(Tasks[_PickKey],Tasks[[#This Row],[_Row]]))&amp;" "&amp;INDEX(Tasks[Task Name],SMALL(Tasks[_PickKey],Tasks[[#This Row],[_Row]])),"")</f>
        <v/>
      </c>
      <c r="GX192" s="42" t="str">
        <f aca="false">IF(Tasks[[#This Row],[Task Name]]="","",IF(Tasks[[#This Row],[_IsSummary]],NETWORKDAYS.INTL(Tasks[[#This Row],[Start]],Tasks[[#This Row],[Finish]],WorkWeek,Holidays),N(Tasks[[#This Row],[_Days]])))</f>
        <v/>
      </c>
    </row>
    <row r="193" customFormat="false" ht="15" hidden="false" customHeight="false" outlineLevel="0" collapsed="false">
      <c r="A193" s="21" t="str">
        <f aca="false">IF(Tasks[[#This Row],[Task Name]]="","",COUNTA(Tasks[[#Headers],[Task Name]]:Tasks[[#This Row],[Task Name]])-1)</f>
        <v/>
      </c>
      <c r="B193" s="22" t="n">
        <v>201</v>
      </c>
      <c r="C193" s="22"/>
      <c r="D193" s="23"/>
      <c r="E193" s="22"/>
      <c r="F193" s="23"/>
      <c r="G193" s="22"/>
      <c r="H193" s="22"/>
      <c r="I193" s="23"/>
      <c r="J193" s="22"/>
      <c r="K193" s="22"/>
      <c r="L193" s="23"/>
      <c r="M193" s="22"/>
      <c r="N193" s="22"/>
      <c r="O193" s="23"/>
      <c r="P193" s="22"/>
      <c r="Q193" s="22"/>
      <c r="R193" s="23"/>
      <c r="S193" s="23"/>
      <c r="T193" s="83"/>
      <c r="U193" s="23"/>
      <c r="V193" s="83"/>
      <c r="W193" s="23"/>
      <c r="X193" s="83"/>
      <c r="Y193" s="23"/>
      <c r="Z193" s="83"/>
      <c r="AA193" s="23"/>
      <c r="AB193" s="23"/>
      <c r="AC193" s="7"/>
      <c r="AD193" s="7"/>
      <c r="AE193" s="62" t="str">
        <f aca="false">IF(Tasks[[#This Row],[Task Name]]="","",IF(Tasks[[#This Row],[_IsSummary]],MIN(INDEX(Tasks[_ShownFcstStart],Tasks[[#This Row],[_Row]]+1):INDEX(Tasks[_ShownFcstStart],Tasks[[#This Row],[_Row]]+Tasks[[#This Row],[_Descendants]])),Tasks[[#This Row],[_ShownFcstStart]]))</f>
        <v/>
      </c>
      <c r="AF193" s="62" t="str">
        <f aca="false">IF(Tasks[[#This Row],[Task Name]]="","",IF(Tasks[[#This Row],[_IsSummary]],MAX(INDEX(Tasks[_ShownFcstFinish],Tasks[[#This Row],[_Row]]+1):INDEX(Tasks[_ShownFcstFinish],Tasks[[#This Row],[_Row]]+Tasks[[#This Row],[_Descendants]])),Tasks[[#This Row],[_ShownFcstFinish]]))</f>
        <v/>
      </c>
      <c r="AG193" s="21" t="str">
        <f aca="false">""</f>
        <v/>
      </c>
      <c r="AH193" s="23"/>
      <c r="AI19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3" s="7"/>
      <c r="AK193" s="22"/>
      <c r="AL193" s="23"/>
      <c r="AM193" s="7"/>
      <c r="AN193" s="46" t="str">
        <f aca="false">IF(Tasks[[#This Row],[Task Name]]="","",IF(Tasks[[#This Row],[Finish]]&gt;=Tasks[[#This Row],[Planned Finish]],NETWORKDAYS.INTL(Tasks[[#This Row],[Planned Finish]],Tasks[[#This Row],[Finish]],WorkWeek,Holidays)-1,1-NETWORKDAYS.INTL(Tasks[[#This Row],[Finish]],Tasks[[#This Row],[Planned Finish]],WorkWeek,Holidays)))</f>
        <v/>
      </c>
      <c r="AO193" s="21" t="str">
        <f aca="false">IF(Tasks[[#This Row],[Task Name]]="","",IF(Tasks[[#This Row],[Progress]]&gt;=1,"Complete",IF(OR(N(Tasks[[#This Row],[Actual Start]])&gt;0,Tasks[[#This Row],[Progress]]&gt;0),IF(Tasks[[#This Row],[Finish Var]]&gt;0,"Behind","In Progress"),IF(Tasks[[#This Row],[Planned Start]]&lt;StatusDate,"Late Start","Not Started"))))</f>
        <v/>
      </c>
      <c r="AP193" s="21" t="str">
        <f aca="false">IF(Tasks[[#This Row],[Task Name]]="","",IF(IF(Tasks[[#This Row],[_IsSummary]],COUNTIF(INDEX(Tasks[_LeafCritical],Tasks[[#This Row],[_Row]]+1):INDEX(Tasks[_LeafCritical],Tasks[[#This Row],[_Row]]+Tasks[[#This Row],[_Descendants]]),TRUE())&gt;0,Tasks[[#This Row],[_LeafCritical]]),"Yes",""))</f>
        <v/>
      </c>
      <c r="AQ193" s="62" t="str">
        <f aca="false">IF(Tasks[[#This Row],[Task Name]]="","",IF(N(Tasks[[#This Row],[Baseline Start]])&gt;0,Tasks[[#This Row],[Baseline Start]],Tasks[[#This Row],[_CalcStart]]))</f>
        <v/>
      </c>
      <c r="AR193" s="62" t="str">
        <f aca="false">IF(Tasks[[#This Row],[Task Name]]="","",IF(N(Tasks[[#This Row],[Baseline Finish]])&gt;0,Tasks[[#This Row],[Baseline Finish]],Tasks[[#This Row],[_CalcFinish]]))</f>
        <v/>
      </c>
      <c r="AS193" s="46" t="str">
        <f aca="false">IF(Tasks[[#This Row],[Task Name]]="","",IF(Tasks[[#This Row],[Start]]&gt;=Tasks[[#This Row],[Planned Start]],NETWORKDAYS.INTL(Tasks[[#This Row],[Planned Start]],Tasks[[#This Row],[Start]],WorkWeek,Holidays)-1,1-NETWORKDAYS.INTL(Tasks[[#This Row],[Start]],Tasks[[#This Row],[Planned Start]],WorkWeek,Holidays)))</f>
        <v/>
      </c>
      <c r="AT193" s="62" t="str">
        <f aca="false">IF(Tasks[[#This Row],[Task Name]]="","",IF(Tasks[[#This Row],[_IsSummary]],MIN(INDEX(Tasks[_LeafLateStart],Tasks[[#This Row],[_Row]]+1):INDEX(Tasks[_LeafLateStart],Tasks[[#This Row],[_Row]]+Tasks[[#This Row],[_Descendants]])),Tasks[[#This Row],[_LeafLateStart]]))</f>
        <v/>
      </c>
      <c r="AU193" s="62" t="str">
        <f aca="false">IF(Tasks[[#This Row],[Task Name]]="","",IF(Tasks[[#This Row],[_IsSummary]],MAX(INDEX(Tasks[_LeafLateFinish],Tasks[[#This Row],[_Row]]+1):INDEX(Tasks[_LeafLateFinish],Tasks[[#This Row],[_Row]]+Tasks[[#This Row],[_Descendants]])),Tasks[[#This Row],[_LeafLateFinish]]))</f>
        <v/>
      </c>
      <c r="AV193" s="46" t="str">
        <f aca="false">IF(Tasks[[#This Row],[Task Name]]="","",IF(Tasks[[#This Row],[_IsSummary]],MIN(INDEX(Tasks[_LeafTotalSlack],Tasks[[#This Row],[_Row]]+1):INDEX(Tasks[_LeafTotalSlack],Tasks[[#This Row],[_Row]]+Tasks[[#This Row],[_Descendants]])),Tasks[[#This Row],[_LeafTotalSlack]]))</f>
        <v/>
      </c>
      <c r="AW19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4"/>
      <c r="BA19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t="str">
        <f aca="false">IF(Tasks[[#This Row],[Task Name]]="","",IF(Tasks[[#This Row],[_Level]]&lt;=OutlineShowLevel,"Yes","No"))</f>
        <v/>
      </c>
      <c r="BE193" s="85" t="str">
        <f aca="false">IF(Tasks[[#This Row],[Task Name]]="","",IF(Tasks[[#This Row],[_IsSummary]],SUM(INDEX(Tasks[_LeafTotalWork],Tasks[[#This Row],[_Row]]+1):INDEX(Tasks[_LeafTotalWork],Tasks[[#This Row],[_Row]]+Tasks[[#This Row],[_Descendants]])),Tasks[[#This Row],[_LeafTotalWork]]))</f>
        <v/>
      </c>
      <c r="BF193" s="23"/>
      <c r="BG19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t="str">
        <f aca="false">""</f>
        <v/>
      </c>
      <c r="BI193" s="86"/>
      <c r="BJ193" s="22"/>
      <c r="BK193" s="46" t="str">
        <f aca="false">IF(OR(Tasks[[#This Row],[Task Name]]="",Tasks[[#This Row],[Baseline Duration]]=""),"",Tasks[[#This Row],[_SpanDays]]-N(Tasks[[#This Row],[Baseline Duration]]))</f>
        <v/>
      </c>
      <c r="BL193" s="85" t="str">
        <f aca="false">IF(OR(Tasks[[#This Row],[Task Name]]="",Tasks[[#This Row],[Baseline Work]]=""),"",Tasks[[#This Row],[Work]]-N(Tasks[[#This Row],[Baseline Work]]))</f>
        <v/>
      </c>
      <c r="BM193" s="62" t="str">
        <f aca="false">IF(Tasks[[#This Row],[Task Name]]="","",IF(OR(TakeBaseline="Yes",N(Tasks[[#This Row],[Baseline Start]])=0),Tasks[[#This Row],[Start]],Tasks[[#This Row],[Baseline Start]]))</f>
        <v/>
      </c>
      <c r="BN193" s="62" t="str">
        <f aca="false">IF(Tasks[[#This Row],[Task Name]]="","",IF(OR(TakeBaseline="Yes",N(Tasks[[#This Row],[Baseline Finish]])=0),Tasks[[#This Row],[Finish]],Tasks[[#This Row],[Baseline Finish]]))</f>
        <v/>
      </c>
      <c r="BO193" s="21" t="str">
        <f aca="false">IF(Tasks[[#This Row],[Task Name]]="","",IF(OR(TakeBaseline="Yes",N(Tasks[[#This Row],[Baseline Duration]])=0),Tasks[[#This Row],[_SpanDays]],Tasks[[#This Row],[Baseline Duration]]))</f>
        <v/>
      </c>
      <c r="BP193" s="85" t="str">
        <f aca="false">IF(Tasks[[#This Row],[Task Name]]="","",IF(OR(TakeBaseline="Yes",N(Tasks[[#This Row],[Baseline Work]])=0),Tasks[[#This Row],[Work]],Tasks[[#This Row],[Baseline Work]]))</f>
        <v/>
      </c>
      <c r="BQ193" s="7"/>
      <c r="BR193" s="7"/>
      <c r="BS193" s="22"/>
      <c r="BT193" s="87"/>
      <c r="BU193" s="42" t="str">
        <f aca="false">IF(Tasks[[#This Row],[Task Name]]="","",MAX(1,N(Tasks[[#This Row],[Level]])))</f>
        <v/>
      </c>
      <c r="BV193" s="42" t="n">
        <f aca="false">ROW()-ROW(Tasks[[#Headers],[ID]])</f>
        <v>188</v>
      </c>
      <c r="BW193" s="42" t="n">
        <f aca="false">IF(OR(Tasks[[#This Row],[Task Name]]="",Tasks[[#This Row],[_Level]]&lt;=1),0,IFERROR(LOOKUP(2,1/(Tasks[[#Headers],[_Level]]:Tasks[[#This Row],[_Level]]=Tasks[[#This Row],[_Level]]-1),ROW(Tasks[[#Headers],[_Level]]:Tasks[[#This Row],[_Level]])),0))</f>
        <v>0</v>
      </c>
      <c r="BX193" s="42" t="n">
        <f aca="false">IFERROR(N(INDEX(Tasks[_Level],Tasks[[#This Row],[_Row]]+1)),0)</f>
        <v>0</v>
      </c>
      <c r="BY193" s="88" t="b">
        <f aca="false">AND(Tasks[[#This Row],[Task Name]]&lt;&gt;"",Tasks[[#This Row],[_NextLevel]]&gt;Tasks[[#This Row],[_Level]])</f>
        <v>0</v>
      </c>
      <c r="BZ193" s="42" t="n">
        <f aca="false">IF(Tasks[[#This Row],[_IsSummary]],COUNTIF(Tasks[WBS],Tasks[[#This Row],[WBS]]&amp;".*"),0)</f>
        <v>0</v>
      </c>
      <c r="CA193" s="42" t="n">
        <f aca="false">IF(AND(Tasks[[#This Row],[Task Name]]&lt;&gt;"",NOT(Tasks[[#This Row],[_IsSummary]])),1,0)</f>
        <v>0</v>
      </c>
      <c r="CB193" s="42" t="n">
        <f aca="false">IF(N(Tasks[[#This Row],[_Pred1UID]])=0,0,IFERROR(MATCH(Tasks[[#This Row],[_Pred1UID]],Tasks[UID],0),-1))</f>
        <v>0</v>
      </c>
      <c r="CC193" s="42" t="n">
        <f aca="false">IF(N(Tasks[[#This Row],[_Pred2UID]])=0,0,IFERROR(MATCH(Tasks[[#This Row],[_Pred2UID]],Tasks[UID],0),-1))</f>
        <v>0</v>
      </c>
      <c r="CD193" s="42" t="n">
        <f aca="false">IF(N(Tasks[[#This Row],[_Pred3UID]])=0,0,IFERROR(MATCH(Tasks[[#This Row],[_Pred3UID]],Tasks[UID],0),-1))</f>
        <v>0</v>
      </c>
      <c r="CE193" s="42" t="n">
        <f aca="false">IF(N(Tasks[[#This Row],[_Pred4UID]])=0,0,IFERROR(MATCH(Tasks[[#This Row],[_Pred4UID]],Tasks[UID],0),-1))</f>
        <v>0</v>
      </c>
      <c r="CF19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3" s="89" t="n">
        <f aca="false">IF(OR(Tasks[[#This Row],[_ConstraintCode]]=2,Tasks[[#This Row],[_ConstraintCode]]=3,Tasks[[#This Row],[_ConstraintCode]]=4,Tasks[[#This Row],[_ConstraintCode]]=6),Tasks[[#This Row],[_ConstraintStart]],0)</f>
        <v>0</v>
      </c>
      <c r="CI193" s="89" t="n">
        <f aca="false">IF(OR(Tasks[[#This Row],[_ConstraintCode]]=2,Tasks[[#This Row],[_ConstraintCode]]=3,Tasks[[#This Row],[_ConstraintCode]]=5,Tasks[[#This Row],[_ConstraintCode]]=7),Tasks[[#This Row],[_ConstraintStart]],2958465)</f>
        <v>2958465</v>
      </c>
      <c r="CJ19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3" s="89" t="str">
        <f aca="false">IF(NOT(Tasks[[#This Row],[_IsLeaf]]=1),"",IF(N(Tasks[[#This Row],[_Days]])&lt;=0,Tasks[[#This Row],[_LeafCalcStart]],WORKDAY.INTL(Tasks[[#This Row],[_LeafCalcStart]],Tasks[[#This Row],[_Days]]-1,WorkWeek,Holidays)))</f>
        <v/>
      </c>
      <c r="CL19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3" s="42" t="str">
        <f aca="false">IF(Tasks[[#This Row],[_Predecessors]]="","",TRIM(MID(SUBSTITUTE(SUBSTITUTE(SUBSTITUTE(UPPER(Tasks[[#This Row],[_Predecessors]]),";",",")," ",""),",",REPT(" ",99)),1,99)))</f>
        <v/>
      </c>
      <c r="CO193" s="42" t="str">
        <f aca="false">IF(Tasks[[#This Row],[_Pred1Text]]="","",IFERROR(VALUE(LEFT(Tasks[[#This Row],[_Pred1Text]],MIN(FIND("F",Tasks[[#This Row],[_Pred1Text]]&amp;"F"),FIND("S",Tasks[[#This Row],[_Pred1Text]]&amp;"S"),FIND("+",Tasks[[#This Row],[_Pred1Text]]&amp;"+"),FIND("-",Tasks[[#This Row],[_Pred1Text]]&amp;"-"))-1)),""))</f>
        <v/>
      </c>
      <c r="CP19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3" s="42" t="str">
        <f aca="false">IF(Tasks[[#This Row],[_Pred1Text]]="","",TRIM(MID(SUBSTITUTE(SUBSTITUTE(SUBSTITUTE(UPPER(Tasks[[#This Row],[_Predecessors]]),";",",")," ",""),",",REPT(" ",99)),100,99)))</f>
        <v/>
      </c>
      <c r="CS193" s="42" t="str">
        <f aca="false">IF(Tasks[[#This Row],[_Pred2Text]]="","",IFERROR(VALUE(LEFT(Tasks[[#This Row],[_Pred2Text]],MIN(FIND("F",Tasks[[#This Row],[_Pred2Text]]&amp;"F"),FIND("S",Tasks[[#This Row],[_Pred2Text]]&amp;"S"),FIND("+",Tasks[[#This Row],[_Pred2Text]]&amp;"+"),FIND("-",Tasks[[#This Row],[_Pred2Text]]&amp;"-"))-1)),""))</f>
        <v/>
      </c>
      <c r="CT19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3" s="42" t="str">
        <f aca="false">IF(Tasks[[#This Row],[_Pred2Text]]="","",TRIM(MID(SUBSTITUTE(SUBSTITUTE(SUBSTITUTE(UPPER(Tasks[[#This Row],[_Predecessors]]),";",",")," ",""),",",REPT(" ",99)),199,99)))</f>
        <v/>
      </c>
      <c r="CW193" s="42" t="str">
        <f aca="false">IF(Tasks[[#This Row],[_Pred3Text]]="","",IFERROR(VALUE(LEFT(Tasks[[#This Row],[_Pred3Text]],MIN(FIND("F",Tasks[[#This Row],[_Pred3Text]]&amp;"F"),FIND("S",Tasks[[#This Row],[_Pred3Text]]&amp;"S"),FIND("+",Tasks[[#This Row],[_Pred3Text]]&amp;"+"),FIND("-",Tasks[[#This Row],[_Pred3Text]]&amp;"-"))-1)),""))</f>
        <v/>
      </c>
      <c r="CX19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3" s="42" t="str">
        <f aca="false">IF(Tasks[[#This Row],[_Pred3Text]]="","",TRIM(MID(SUBSTITUTE(SUBSTITUTE(SUBSTITUTE(UPPER(Tasks[[#This Row],[_Predecessors]]),";",",")," ",""),",",REPT(" ",99)),298,99)))</f>
        <v/>
      </c>
      <c r="DA193" s="42" t="str">
        <f aca="false">IF(Tasks[[#This Row],[_Pred4Text]]="","",IFERROR(VALUE(LEFT(Tasks[[#This Row],[_Pred4Text]],MIN(FIND("F",Tasks[[#This Row],[_Pred4Text]]&amp;"F"),FIND("S",Tasks[[#This Row],[_Pred4Text]]&amp;"S"),FIND("+",Tasks[[#This Row],[_Pred4Text]]&amp;"+"),FIND("-",Tasks[[#This Row],[_Pred4Text]]&amp;"-"))-1)),""))</f>
        <v/>
      </c>
      <c r="DB19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3" s="42" t="str">
        <f aca="false">IF(OR(Tasks[[#This Row],[Task Name]]="",Tasks[[#This Row],[_Resources]]=""),"",TRIM(MID(SUBSTITUTE(Tasks[[#This Row],[_Resources]],",",REPT(" ",99)),1,99)))</f>
        <v/>
      </c>
      <c r="DE193" s="42" t="str">
        <f aca="false">IF(Tasks[[#This Row],[_Res1Text]]="","",TRIM(MID(SUBSTITUTE(Tasks[[#This Row],[_Resources]],",",REPT(" ",99)),100,99)))</f>
        <v/>
      </c>
      <c r="DF193" s="42" t="str">
        <f aca="false">IF(Tasks[[#This Row],[_Res2Text]]="","",TRIM(MID(SUBSTITUTE(Tasks[[#This Row],[_Resources]],",",REPT(" ",99)),199,99)))</f>
        <v/>
      </c>
      <c r="DG193" s="42" t="str">
        <f aca="false">IF(Tasks[[#This Row],[_Res3Text]]="","",TRIM(MID(SUBSTITUTE(Tasks[[#This Row],[_Resources]],",",REPT(" ",99)),298,99)))</f>
        <v/>
      </c>
      <c r="DH193" s="42" t="n">
        <f aca="false">IF(Tasks[[#This Row],[_Res1Text]]="",0,IFERROR(MATCH(TRIM(LEFT(Tasks[[#This Row],[_Res1Text]],FIND("[",Tasks[[#This Row],[_Res1Text]]&amp;"[")-1)),res_Name,0),IFERROR(MATCH(TRIM(LEFT(Tasks[[#This Row],[_Res1Text]],FIND("[",Tasks[[#This Row],[_Res1Text]]&amp;"[")-1)),res_Initials,0),0)))</f>
        <v>0</v>
      </c>
      <c r="DI193" s="42" t="n">
        <f aca="false">IF(Tasks[[#This Row],[_Res2Text]]="",0,IFERROR(MATCH(TRIM(LEFT(Tasks[[#This Row],[_Res2Text]],FIND("[",Tasks[[#This Row],[_Res2Text]]&amp;"[")-1)),res_Name,0),IFERROR(MATCH(TRIM(LEFT(Tasks[[#This Row],[_Res2Text]],FIND("[",Tasks[[#This Row],[_Res2Text]]&amp;"[")-1)),res_Initials,0),0)))</f>
        <v>0</v>
      </c>
      <c r="DJ193" s="42" t="n">
        <f aca="false">IF(Tasks[[#This Row],[_Res3Text]]="",0,IFERROR(MATCH(TRIM(LEFT(Tasks[[#This Row],[_Res3Text]],FIND("[",Tasks[[#This Row],[_Res3Text]]&amp;"[")-1)),res_Name,0),IFERROR(MATCH(TRIM(LEFT(Tasks[[#This Row],[_Res3Text]],FIND("[",Tasks[[#This Row],[_Res3Text]]&amp;"[")-1)),res_Initials,0),0)))</f>
        <v>0</v>
      </c>
      <c r="DK193" s="42" t="n">
        <f aca="false">IF(Tasks[[#This Row],[_Res4Text]]="",0,IFERROR(MATCH(TRIM(LEFT(Tasks[[#This Row],[_Res4Text]],FIND("[",Tasks[[#This Row],[_Res4Text]]&amp;"[")-1)),res_Name,0),IFERROR(MATCH(TRIM(LEFT(Tasks[[#This Row],[_Res4Text]],FIND("[",Tasks[[#This Row],[_Res4Text]]&amp;"[")-1)),res_Initials,0),0)))</f>
        <v>0</v>
      </c>
      <c r="DL193" s="42" t="str">
        <f aca="false">IF(Tasks[[#This Row],[_Res1Text]]="","",IF(Tasks[[#This Row],[_Res1Row]]&gt;0,INDEX(res_Name,Tasks[[#This Row],[_Res1Row]]),TRIM(LEFT(Tasks[[#This Row],[_Res1Text]],FIND("[",Tasks[[#This Row],[_Res1Text]]&amp;"[")-1))))</f>
        <v/>
      </c>
      <c r="DM19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3" s="42" t="n">
        <f aca="false">IF(NOT(Tasks[[#This Row],[_IsLeaf]]=1),0,(Tasks[[#This Row],[_Resource1]]&lt;&gt;"")+(Tasks[[#This Row],[_Res2]]&lt;&gt;"")+(Tasks[[#This Row],[_Res3]]&lt;&gt;"")+(Tasks[[#This Row],[_Res4]]&lt;&gt;""))</f>
        <v>0</v>
      </c>
      <c r="DO193" s="42" t="str">
        <f aca="false">IF(Tasks[[#This Row],[_Res2Text]]="","",IF(Tasks[[#This Row],[_Res2Row]]&gt;0,INDEX(res_Name,Tasks[[#This Row],[_Res2Row]]),TRIM(LEFT(Tasks[[#This Row],[_Res2Text]],FIND("[",Tasks[[#This Row],[_Res2Text]]&amp;"[")-1))))</f>
        <v/>
      </c>
      <c r="DP19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3" s="42" t="n">
        <f aca="false">IF(OR(NOT(Tasks[[#This Row],[_IsLeaf]]=1),Tasks[[#This Row],[_Res2Row]]=0),0,N(Tasks[[#This Row],[_Days]])*HoursPerDay*IF(Tasks[[#This Row],[_Res2Units]]="",DefaultUnits,Tasks[[#This Row],[_Res2Units]]))</f>
        <v>0</v>
      </c>
      <c r="DR193" s="42" t="n">
        <f aca="false">IF(AND(AND(Tasks[[#This Row],[_IsLeaf]]=1,Tasks[[#This Row],[_LeafTotalWork]]&gt;0),Tasks[[#This Row],[_Res2Work]]&gt;0),Tasks[[#This Row],[_Res2Work]]/(Tasks[[#This Row],[_FinishWorkday]]-Tasks[[#This Row],[_StartWorkday]]+1),0)</f>
        <v>0</v>
      </c>
      <c r="DS193" s="42" t="n">
        <f aca="false">Tasks[[#This Row],[_Res2WorkPerWD]]*MAX(0,Tasks[[#This Row],[_StartWorkday]]-1)</f>
        <v>0</v>
      </c>
      <c r="DT193" s="42" t="n">
        <f aca="false">Tasks[[#This Row],[_Res2Work]]*Tasks[[#This Row],[_LeafProgress]]</f>
        <v>0</v>
      </c>
      <c r="DU193" s="42" t="str">
        <f aca="false">IF(Tasks[[#This Row],[_Res3Text]]="","",IF(Tasks[[#This Row],[_Res3Row]]&gt;0,INDEX(res_Name,Tasks[[#This Row],[_Res3Row]]),TRIM(LEFT(Tasks[[#This Row],[_Res3Text]],FIND("[",Tasks[[#This Row],[_Res3Text]]&amp;"[")-1))))</f>
        <v/>
      </c>
      <c r="DV19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3" s="42" t="n">
        <f aca="false">IF(OR(NOT(Tasks[[#This Row],[_IsLeaf]]=1),Tasks[[#This Row],[_Res3Row]]=0),0,N(Tasks[[#This Row],[_Days]])*HoursPerDay*IF(Tasks[[#This Row],[_Res3Units]]="",DefaultUnits,Tasks[[#This Row],[_Res3Units]]))</f>
        <v>0</v>
      </c>
      <c r="DX193" s="42" t="n">
        <f aca="false">IF(AND(AND(Tasks[[#This Row],[_IsLeaf]]=1,Tasks[[#This Row],[_LeafTotalWork]]&gt;0),Tasks[[#This Row],[_Res3Work]]&gt;0),Tasks[[#This Row],[_Res3Work]]/(Tasks[[#This Row],[_FinishWorkday]]-Tasks[[#This Row],[_StartWorkday]]+1),0)</f>
        <v>0</v>
      </c>
      <c r="DY193" s="42" t="n">
        <f aca="false">Tasks[[#This Row],[_Res3WorkPerWD]]*MAX(0,Tasks[[#This Row],[_StartWorkday]]-1)</f>
        <v>0</v>
      </c>
      <c r="DZ193" s="42" t="n">
        <f aca="false">Tasks[[#This Row],[_Res3Work]]*Tasks[[#This Row],[_LeafProgress]]</f>
        <v>0</v>
      </c>
      <c r="EA193" s="42" t="str">
        <f aca="false">IF(Tasks[[#This Row],[_Res4Text]]="","",IF(Tasks[[#This Row],[_Res4Row]]&gt;0,INDEX(res_Name,Tasks[[#This Row],[_Res4Row]]),TRIM(LEFT(Tasks[[#This Row],[_Res4Text]],FIND("[",Tasks[[#This Row],[_Res4Text]]&amp;"[")-1))))</f>
        <v/>
      </c>
      <c r="EB19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3" s="42" t="n">
        <f aca="false">IF(OR(NOT(Tasks[[#This Row],[_IsLeaf]]=1),Tasks[[#This Row],[_Res4Row]]=0),0,N(Tasks[[#This Row],[_Days]])*HoursPerDay*IF(Tasks[[#This Row],[_Res4Units]]="",DefaultUnits,Tasks[[#This Row],[_Res4Units]]))</f>
        <v>0</v>
      </c>
      <c r="ED193" s="42" t="n">
        <f aca="false">IF(AND(AND(Tasks[[#This Row],[_IsLeaf]]=1,Tasks[[#This Row],[_LeafTotalWork]]&gt;0),Tasks[[#This Row],[_Res4Work]]&gt;0),Tasks[[#This Row],[_Res4Work]]/(Tasks[[#This Row],[_FinishWorkday]]-Tasks[[#This Row],[_StartWorkday]]+1),0)</f>
        <v>0</v>
      </c>
      <c r="EE193" s="42" t="n">
        <f aca="false">Tasks[[#This Row],[_Res4WorkPerWD]]*MAX(0,Tasks[[#This Row],[_StartWorkday]]-1)</f>
        <v>0</v>
      </c>
      <c r="EF193" s="42" t="n">
        <f aca="false">Tasks[[#This Row],[_Res4Work]]*Tasks[[#This Row],[_LeafProgress]]</f>
        <v>0</v>
      </c>
      <c r="EG193" s="42" t="n">
        <f aca="false">IF(ISNUMBER(Tasks[[#This Row],[% Complete]]),Tasks[[#This Row],[% Complete]],IF(Tasks[[#This Row],[Stage]]="",0,IFERROR(INDEX(stg_Pct,MATCH(Tasks[[#This Row],[Stage]],stg_Name,0)),0)))</f>
        <v>0</v>
      </c>
      <c r="EH193" s="42" t="n">
        <f aca="false">IF(NOT(Tasks[[#This Row],[_IsLeaf]]=1),0,IF(N(Tasks[[#This Row],[Actual Finish]])&gt;0,1,MIN(1,Tasks[[#This Row],[_Pct]])))</f>
        <v>0</v>
      </c>
      <c r="EI193" s="42" t="n">
        <f aca="false">IF(OR(NOT(Tasks[[#This Row],[_IsLeaf]]=1),Tasks[[#This Row],[_Res1Row]]=0),0,N(Tasks[[#This Row],[_Days]])*HoursPerDay*IF(Tasks[[#This Row],[_Units1]]="",DefaultUnits,Tasks[[#This Row],[_Units1]]))</f>
        <v>0</v>
      </c>
      <c r="EJ193" s="42" t="n">
        <f aca="false">Tasks[[#This Row],[_LeafWork]]+Tasks[[#This Row],[_Res2Work]]+Tasks[[#This Row],[_Res3Work]]+Tasks[[#This Row],[_Res4Work]]</f>
        <v>0</v>
      </c>
      <c r="EK19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3" s="42" t="n">
        <f aca="false">IF(NOT(Tasks[[#This Row],[_IsLeaf]]=1),0,MAX(_xlfn.MAXIFS(Tasks[_Row],Tasks[_Pred1UID],Tasks[[#This Row],[UID]]),_xlfn.MAXIFS(Tasks[_Row],Tasks[_Pred2UID],Tasks[[#This Row],[UID]]),_xlfn.MAXIFS(Tasks[_Row],Tasks[_Pred3UID],Tasks[[#This Row],[UID]]),_xlfn.MAXIFS(Tasks[_Row],Tasks[_Pred4UID],Tasks[[#This Row],[UID]])))</f>
        <v>0</v>
      </c>
      <c r="ET19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3" s="89" t="str">
        <f aca="false">IF(NOT(Tasks[[#This Row],[_IsLeaf]]=1),"",IF(N(Tasks[[#This Row],[_Days]])&lt;=0,Tasks[[#This Row],[_LeafLateFinish]],WORKDAY.INTL(Tasks[[#This Row],[_LeafLateFinish]],-(Tasks[[#This Row],[_Days]]-1),WorkWeek,Holidays)))</f>
        <v/>
      </c>
      <c r="EW19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3" s="88" t="b">
        <f aca="false">AND(Tasks[[#This Row],[_IsLeaf]]=1,Tasks[[#This Row],[_LeafProgress]]&lt;1,N(Tasks[[#This Row],[_LeafTotalSlack]])&lt;=CriticalSlackDays)</f>
        <v>0</v>
      </c>
      <c r="EY193" s="42" t="n">
        <f aca="false">IF(AND(Tasks[[#This Row],[_IsLeaf]]=1,Tasks[[#This Row],[_ConstraintCode]]=1,Tasks[[#This Row],[Mode]]&lt;&gt;"Manual",N(Tasks[[#This Row],[Actual Start]])=0),MAX(0,N(Tasks[[#This Row],[Free Slack]])),0)</f>
        <v>0</v>
      </c>
      <c r="EZ193" s="89" t="str">
        <f aca="false">IF(NOT(Tasks[[#This Row],[_IsLeaf]]=1),"",IF(Tasks[[#This Row],[_AlapShift]]=0,Tasks[[#This Row],[_LeafCalcStart]],WORKDAY.INTL(Tasks[[#This Row],[_LeafCalcStart]],Tasks[[#This Row],[_AlapShift]],WorkWeek,Holidays)))</f>
        <v/>
      </c>
      <c r="FA193" s="89" t="str">
        <f aca="false">IF(NOT(Tasks[[#This Row],[_IsLeaf]]=1),"",IF(Tasks[[#This Row],[_AlapShift]]=0,Tasks[[#This Row],[_LeafCalcFinish]],WORKDAY.INTL(Tasks[[#This Row],[_LeafCalcFinish]],Tasks[[#This Row],[_AlapShift]],WorkWeek,Holidays)))</f>
        <v/>
      </c>
      <c r="FB193" s="89" t="str">
        <f aca="false">IF(NOT(Tasks[[#This Row],[_IsLeaf]]=1),"",IF(Tasks[[#This Row],[_AlapShift]]=0,Tasks[[#This Row],[_LeafFcstStart]],WORKDAY.INTL(Tasks[[#This Row],[_LeafFcstStart]],Tasks[[#This Row],[_AlapShift]],WorkWeek,Holidays)))</f>
        <v/>
      </c>
      <c r="FC193" s="89" t="str">
        <f aca="false">IF(NOT(Tasks[[#This Row],[_IsLeaf]]=1),"",IF(Tasks[[#This Row],[_AlapShift]]=0,Tasks[[#This Row],[_LeafFcstFinish]],WORKDAY.INTL(Tasks[[#This Row],[_LeafFcstFinish]],Tasks[[#This Row],[_AlapShift]],WorkWeek,Holidays)))</f>
        <v/>
      </c>
      <c r="FD193" s="89" t="str">
        <f aca="false">IF(Tasks[[#This Row],[Task Name]]="","",IF(Tasks[[#This Row],[_IsSummary]],MIN(INDEX(Tasks[_ShownCalcStart],Tasks[[#This Row],[_Row]]+1):INDEX(Tasks[_ShownCalcStart],Tasks[[#This Row],[_Row]]+Tasks[[#This Row],[_Descendants]])),Tasks[[#This Row],[_ShownCalcStart]]))</f>
        <v/>
      </c>
      <c r="FE193" s="89" t="str">
        <f aca="false">IF(Tasks[[#This Row],[Task Name]]="","",IF(Tasks[[#This Row],[_IsSummary]],MAX(INDEX(Tasks[_ShownCalcFinish],Tasks[[#This Row],[_Row]]+1):INDEX(Tasks[_ShownCalcFinish],Tasks[[#This Row],[_Row]]+Tasks[[#This Row],[_Descendants]])),Tasks[[#This Row],[_ShownCalcFinish]]))</f>
        <v/>
      </c>
      <c r="FF19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3" s="42" t="n">
        <f aca="false">IF(AND(Tasks[[#This Row],[_IsLeaf]]=1,Tasks[[#This Row],[_LeafTotalWork]]&gt;0),NETWORKDAYS.INTL(ProjectStart,Tasks[[#This Row],[_ShownFcstStart]],WorkWeek,Holidays),0)</f>
        <v>0</v>
      </c>
      <c r="FS193" s="42" t="n">
        <f aca="false">IF(AND(Tasks[[#This Row],[_IsLeaf]]=1,Tasks[[#This Row],[_LeafTotalWork]]&gt;0),MAX(Tasks[[#This Row],[_StartWorkday]],NETWORKDAYS.INTL(ProjectStart,Tasks[[#This Row],[_ShownFcstFinish]],WorkWeek,Holidays)),0)</f>
        <v>0</v>
      </c>
      <c r="FT193" s="42" t="n">
        <f aca="false">IF(AND(Tasks[[#This Row],[_IsLeaf]]=1,Tasks[[#This Row],[_LeafTotalWork]]&gt;0),Tasks[[#This Row],[_LeafWork]]/(Tasks[[#This Row],[_FinishWorkday]]-Tasks[[#This Row],[_StartWorkday]]+1),0)</f>
        <v>0</v>
      </c>
      <c r="FU193" s="42" t="n">
        <f aca="false">Tasks[[#This Row],[_WorkPerWorkday]]*(Tasks[[#This Row],[_StartWorkday]]-1)</f>
        <v>-0</v>
      </c>
      <c r="FV193" s="42" t="n">
        <f aca="false">IF(Tasks[[#This Row],[_IsLeaf]]=1,MAX(N(Tasks[[#This Row],[_Days]]),0.1),0)</f>
        <v>0</v>
      </c>
      <c r="FW193" s="42" t="n">
        <f aca="false">Tasks[[#This Row],[_WeightDur]]*Tasks[[#This Row],[_LeafProgress]]</f>
        <v>0</v>
      </c>
      <c r="FX193" s="42" t="n">
        <f aca="false">Tasks[[#This Row],[_WeightDur]]*Tasks[[#This Row],[_PlannedPct]]</f>
        <v>0</v>
      </c>
      <c r="FY19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3" s="42" t="str">
        <f aca="false">IF(AND(Tasks[[#This Row],[_IsLeaf]]=1,N(Tasks[[#This Row],[_Days]])=0,Tasks[[#This Row],[_LeafProgress]]&lt;1),Tasks[[#This Row],[_ShownFcstFinish]]+Tasks[[#This Row],[_Row]]/100000,"")</f>
        <v/>
      </c>
      <c r="GA19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3" s="42" t="str">
        <f aca="false">IF(Tasks[[#This Row],[Task Name]]="","",LEFT(Tasks[[#This Row],[WBS]],FIND(".",Tasks[[#This Row],[WBS]]&amp;".")-1))</f>
        <v/>
      </c>
      <c r="GC193" s="42" t="str">
        <f aca="false">IF(AND(Tasks[[#This Row],[Task Name]]&lt;&gt;"",Tasks[[#This Row],[_Level]]=1),Tasks[[#This Row],[_Row]],"")</f>
        <v/>
      </c>
      <c r="GD193" s="42" t="str">
        <f aca="false">IF(AND(Tasks[[#This Row],[_IsLeaf]]=1,N(Tasks[[#This Row],[_Days]])=0),Tasks[[#This Row],[Planned Finish]]+Tasks[[#This Row],[_Row]]/100000,"")</f>
        <v/>
      </c>
      <c r="GE193" s="42" t="str">
        <f aca="false">IF(AND(Tasks[[#This Row],[_IsLeaf]]=1,Tasks[[#This Row],[_LeafProgress]]&lt;1,OR(N(Tasks[[#This Row],[Finish Var]])&gt;0,Tasks[[#This Row],[Status]]="Late Start")),MAX(0,Tasks[[#This Row],[Finish Var]])+1-Tasks[[#This Row],[_Row]]/1000000,"")</f>
        <v/>
      </c>
      <c r="GF193" s="42" t="str">
        <f aca="false">IF(AND(Tasks[[#This Row],[_IsLeaf]]=1,N(Tasks[[#This Row],[Actual Start]])=0,Tasks[[#This Row],[_ShownFcstStart]]&gt;=StatusDate,Tasks[[#This Row],[_ShownFcstStart]]&lt;=LookaheadEnd),Tasks[[#This Row],[_ShownFcstStart]]+Tasks[[#This Row],[_Row]]/100000,"")</f>
        <v/>
      </c>
      <c r="GG193" s="42" t="str">
        <f aca="false">IF(AND(Tasks[[#This Row],[_IsLeaf]]=1,Tasks[[#This Row],[_LeafProgress]]&lt;1,Tasks[[#This Row],[_ShownFcstFinish]]&gt;=StatusDate,Tasks[[#This Row],[_ShownFcstFinish]]&lt;=LookaheadEnd),Tasks[[#This Row],[_ShownFcstFinish]]+Tasks[[#This Row],[_Row]]/100000,"")</f>
        <v/>
      </c>
      <c r="GH193" s="42" t="str">
        <f aca="false">IF(Tasks[[#This Row],[_LeafCritical]],Tasks[[#This Row],[_ShownFcstStart]]+Tasks[[#This Row],[_Row]]/100000,"")</f>
        <v/>
      </c>
      <c r="GI193" s="42" t="n">
        <f aca="false">Tasks[[#This Row],[_LeafWork]]*Tasks[[#This Row],[_LeafProgress]]</f>
        <v>0</v>
      </c>
      <c r="GJ193" s="89" t="str">
        <f aca="false">IF(AND(Tasks[[#This Row],[_IsLeaf]]=1,Tasks[[#This Row],[_LeafProgress]]&gt;=1),IF(N(Tasks[[#This Row],[Actual Finish]])&gt;0,Tasks[[#This Row],[Actual Finish]],Tasks[[#This Row],[_ShownFcstFinish]]),"")</f>
        <v/>
      </c>
      <c r="GK193" s="42" t="n">
        <f aca="false">IF(Tasks[[#This Row],[_IsLeaf]]=1,N(Tasks[[#This Row],[Story Points]]),0)</f>
        <v>0</v>
      </c>
      <c r="GL193" s="42" t="str">
        <f aca="false">""</f>
        <v/>
      </c>
      <c r="GM193" s="88" t="b">
        <f aca="false">IF(Tasks[[#This Row],[Task Name]]="",FALSE(),AND(Tasks[[#This Row],[_IsLeaf]]=1,N(Tasks[[#This Row],[_Days]])=0))</f>
        <v>0</v>
      </c>
      <c r="GN193" s="89" t="n">
        <f aca="false">IF(Tasks[[#This Row],[Task Name]]="",0,IF(AND(Tasks[[#This Row],[_IsLeaf]]=1,NOT(Tasks[[#This Row],[_IsMilestone]]),N(Tasks[[#This Row],[Progress]])&gt;0),Tasks[[#This Row],[Start]],0))</f>
        <v>0</v>
      </c>
      <c r="GO193" s="89" t="n">
        <f aca="false">IF(Tasks[[#This Row],[_DoneFrom]]=0,0,IF(Tasks[[#This Row],[Progress]]&gt;=1,Tasks[[#This Row],[Finish]],MAX(Tasks[[#This Row],[_DoneFrom]],Tasks[[#This Row],[Start]]+ROUND((Tasks[[#This Row],[Finish]]-Tasks[[#This Row],[Start]]+1)*Tasks[[#This Row],[Progress]],0)-1)))</f>
        <v>0</v>
      </c>
      <c r="GP193" s="89" t="n">
        <f aca="false">IF(Tasks[[#This Row],[Task Name]]="",0,IF(OR(NOT(Tasks[[#This Row],[_IsLeaf]]=1),Tasks[[#This Row],[_IsMilestone]],N(Tasks[[#This Row],[Progress]])&gt;=1),0,IF(Tasks[[#This Row],[_DoneTo]]&gt;0,Tasks[[#This Row],[_DoneTo]]+1,Tasks[[#This Row],[Start]])))</f>
        <v>0</v>
      </c>
      <c r="GQ193" s="89" t="n">
        <f aca="false">IF(Tasks[[#This Row],[_RemFrom]]=0,0,Tasks[[#This Row],[Finish]])</f>
        <v>0</v>
      </c>
      <c r="GR193" s="88" t="b">
        <f aca="false">IF(Tasks[[#This Row],[Task Name]]="",FALSE(),OR(NOT(BaselineSet),N(Tasks[[#This Row],[Baseline Start]])&gt;0))</f>
        <v>0</v>
      </c>
      <c r="GS19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3" s="90" t="str">
        <f aca="false">IF(Tasks[[#This Row],[_IsLeaf]]=1,Tasks[[#This Row],[_Row]],"")</f>
        <v/>
      </c>
      <c r="GW193" s="90" t="str">
        <f aca="false">IFERROR(INDEX(Tasks[UID],SMALL(Tasks[_PickKey],Tasks[[#This Row],[_Row]]))&amp;" "&amp;INDEX(Tasks[Task Name],SMALL(Tasks[_PickKey],Tasks[[#This Row],[_Row]])),"")</f>
        <v/>
      </c>
      <c r="GX193" s="42" t="str">
        <f aca="false">IF(Tasks[[#This Row],[Task Name]]="","",IF(Tasks[[#This Row],[_IsSummary]],NETWORKDAYS.INTL(Tasks[[#This Row],[Start]],Tasks[[#This Row],[Finish]],WorkWeek,Holidays),N(Tasks[[#This Row],[_Days]])))</f>
        <v/>
      </c>
    </row>
    <row r="194" customFormat="false" ht="15" hidden="false" customHeight="false" outlineLevel="0" collapsed="false">
      <c r="A194" s="21" t="str">
        <f aca="false">IF(Tasks[[#This Row],[Task Name]]="","",COUNTA(Tasks[[#Headers],[Task Name]]:Tasks[[#This Row],[Task Name]])-1)</f>
        <v/>
      </c>
      <c r="B194" s="22" t="n">
        <v>202</v>
      </c>
      <c r="C194" s="22"/>
      <c r="D194" s="23"/>
      <c r="E194" s="22"/>
      <c r="F194" s="23"/>
      <c r="G194" s="22"/>
      <c r="H194" s="22"/>
      <c r="I194" s="23"/>
      <c r="J194" s="22"/>
      <c r="K194" s="22"/>
      <c r="L194" s="23"/>
      <c r="M194" s="22"/>
      <c r="N194" s="22"/>
      <c r="O194" s="23"/>
      <c r="P194" s="22"/>
      <c r="Q194" s="22"/>
      <c r="R194" s="23"/>
      <c r="S194" s="23"/>
      <c r="T194" s="83"/>
      <c r="U194" s="23"/>
      <c r="V194" s="83"/>
      <c r="W194" s="23"/>
      <c r="X194" s="83"/>
      <c r="Y194" s="23"/>
      <c r="Z194" s="83"/>
      <c r="AA194" s="23"/>
      <c r="AB194" s="23"/>
      <c r="AC194" s="7"/>
      <c r="AD194" s="7"/>
      <c r="AE194" s="62" t="str">
        <f aca="false">IF(Tasks[[#This Row],[Task Name]]="","",IF(Tasks[[#This Row],[_IsSummary]],MIN(INDEX(Tasks[_ShownFcstStart],Tasks[[#This Row],[_Row]]+1):INDEX(Tasks[_ShownFcstStart],Tasks[[#This Row],[_Row]]+Tasks[[#This Row],[_Descendants]])),Tasks[[#This Row],[_ShownFcstStart]]))</f>
        <v/>
      </c>
      <c r="AF194" s="62" t="str">
        <f aca="false">IF(Tasks[[#This Row],[Task Name]]="","",IF(Tasks[[#This Row],[_IsSummary]],MAX(INDEX(Tasks[_ShownFcstFinish],Tasks[[#This Row],[_Row]]+1):INDEX(Tasks[_ShownFcstFinish],Tasks[[#This Row],[_Row]]+Tasks[[#This Row],[_Descendants]])),Tasks[[#This Row],[_ShownFcstFinish]]))</f>
        <v/>
      </c>
      <c r="AG194" s="21" t="str">
        <f aca="false">""</f>
        <v/>
      </c>
      <c r="AH194" s="23"/>
      <c r="AI19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4" s="7"/>
      <c r="AK194" s="22"/>
      <c r="AL194" s="23"/>
      <c r="AM194" s="7"/>
      <c r="AN194" s="46" t="str">
        <f aca="false">IF(Tasks[[#This Row],[Task Name]]="","",IF(Tasks[[#This Row],[Finish]]&gt;=Tasks[[#This Row],[Planned Finish]],NETWORKDAYS.INTL(Tasks[[#This Row],[Planned Finish]],Tasks[[#This Row],[Finish]],WorkWeek,Holidays)-1,1-NETWORKDAYS.INTL(Tasks[[#This Row],[Finish]],Tasks[[#This Row],[Planned Finish]],WorkWeek,Holidays)))</f>
        <v/>
      </c>
      <c r="AO194" s="21" t="str">
        <f aca="false">IF(Tasks[[#This Row],[Task Name]]="","",IF(Tasks[[#This Row],[Progress]]&gt;=1,"Complete",IF(OR(N(Tasks[[#This Row],[Actual Start]])&gt;0,Tasks[[#This Row],[Progress]]&gt;0),IF(Tasks[[#This Row],[Finish Var]]&gt;0,"Behind","In Progress"),IF(Tasks[[#This Row],[Planned Start]]&lt;StatusDate,"Late Start","Not Started"))))</f>
        <v/>
      </c>
      <c r="AP194" s="21" t="str">
        <f aca="false">IF(Tasks[[#This Row],[Task Name]]="","",IF(IF(Tasks[[#This Row],[_IsSummary]],COUNTIF(INDEX(Tasks[_LeafCritical],Tasks[[#This Row],[_Row]]+1):INDEX(Tasks[_LeafCritical],Tasks[[#This Row],[_Row]]+Tasks[[#This Row],[_Descendants]]),TRUE())&gt;0,Tasks[[#This Row],[_LeafCritical]]),"Yes",""))</f>
        <v/>
      </c>
      <c r="AQ194" s="62" t="str">
        <f aca="false">IF(Tasks[[#This Row],[Task Name]]="","",IF(N(Tasks[[#This Row],[Baseline Start]])&gt;0,Tasks[[#This Row],[Baseline Start]],Tasks[[#This Row],[_CalcStart]]))</f>
        <v/>
      </c>
      <c r="AR194" s="62" t="str">
        <f aca="false">IF(Tasks[[#This Row],[Task Name]]="","",IF(N(Tasks[[#This Row],[Baseline Finish]])&gt;0,Tasks[[#This Row],[Baseline Finish]],Tasks[[#This Row],[_CalcFinish]]))</f>
        <v/>
      </c>
      <c r="AS194" s="46" t="str">
        <f aca="false">IF(Tasks[[#This Row],[Task Name]]="","",IF(Tasks[[#This Row],[Start]]&gt;=Tasks[[#This Row],[Planned Start]],NETWORKDAYS.INTL(Tasks[[#This Row],[Planned Start]],Tasks[[#This Row],[Start]],WorkWeek,Holidays)-1,1-NETWORKDAYS.INTL(Tasks[[#This Row],[Start]],Tasks[[#This Row],[Planned Start]],WorkWeek,Holidays)))</f>
        <v/>
      </c>
      <c r="AT194" s="62" t="str">
        <f aca="false">IF(Tasks[[#This Row],[Task Name]]="","",IF(Tasks[[#This Row],[_IsSummary]],MIN(INDEX(Tasks[_LeafLateStart],Tasks[[#This Row],[_Row]]+1):INDEX(Tasks[_LeafLateStart],Tasks[[#This Row],[_Row]]+Tasks[[#This Row],[_Descendants]])),Tasks[[#This Row],[_LeafLateStart]]))</f>
        <v/>
      </c>
      <c r="AU194" s="62" t="str">
        <f aca="false">IF(Tasks[[#This Row],[Task Name]]="","",IF(Tasks[[#This Row],[_IsSummary]],MAX(INDEX(Tasks[_LeafLateFinish],Tasks[[#This Row],[_Row]]+1):INDEX(Tasks[_LeafLateFinish],Tasks[[#This Row],[_Row]]+Tasks[[#This Row],[_Descendants]])),Tasks[[#This Row],[_LeafLateFinish]]))</f>
        <v/>
      </c>
      <c r="AV194" s="46" t="str">
        <f aca="false">IF(Tasks[[#This Row],[Task Name]]="","",IF(Tasks[[#This Row],[_IsSummary]],MIN(INDEX(Tasks[_LeafTotalSlack],Tasks[[#This Row],[_Row]]+1):INDEX(Tasks[_LeafTotalSlack],Tasks[[#This Row],[_Row]]+Tasks[[#This Row],[_Descendants]])),Tasks[[#This Row],[_LeafTotalSlack]]))</f>
        <v/>
      </c>
      <c r="AW19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4"/>
      <c r="BA19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t="str">
        <f aca="false">IF(Tasks[[#This Row],[Task Name]]="","",IF(Tasks[[#This Row],[_Level]]&lt;=OutlineShowLevel,"Yes","No"))</f>
        <v/>
      </c>
      <c r="BE194" s="85" t="str">
        <f aca="false">IF(Tasks[[#This Row],[Task Name]]="","",IF(Tasks[[#This Row],[_IsSummary]],SUM(INDEX(Tasks[_LeafTotalWork],Tasks[[#This Row],[_Row]]+1):INDEX(Tasks[_LeafTotalWork],Tasks[[#This Row],[_Row]]+Tasks[[#This Row],[_Descendants]])),Tasks[[#This Row],[_LeafTotalWork]]))</f>
        <v/>
      </c>
      <c r="BF194" s="23"/>
      <c r="BG19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t="str">
        <f aca="false">""</f>
        <v/>
      </c>
      <c r="BI194" s="86"/>
      <c r="BJ194" s="22"/>
      <c r="BK194" s="46" t="str">
        <f aca="false">IF(OR(Tasks[[#This Row],[Task Name]]="",Tasks[[#This Row],[Baseline Duration]]=""),"",Tasks[[#This Row],[_SpanDays]]-N(Tasks[[#This Row],[Baseline Duration]]))</f>
        <v/>
      </c>
      <c r="BL194" s="85" t="str">
        <f aca="false">IF(OR(Tasks[[#This Row],[Task Name]]="",Tasks[[#This Row],[Baseline Work]]=""),"",Tasks[[#This Row],[Work]]-N(Tasks[[#This Row],[Baseline Work]]))</f>
        <v/>
      </c>
      <c r="BM194" s="62" t="str">
        <f aca="false">IF(Tasks[[#This Row],[Task Name]]="","",IF(OR(TakeBaseline="Yes",N(Tasks[[#This Row],[Baseline Start]])=0),Tasks[[#This Row],[Start]],Tasks[[#This Row],[Baseline Start]]))</f>
        <v/>
      </c>
      <c r="BN194" s="62" t="str">
        <f aca="false">IF(Tasks[[#This Row],[Task Name]]="","",IF(OR(TakeBaseline="Yes",N(Tasks[[#This Row],[Baseline Finish]])=0),Tasks[[#This Row],[Finish]],Tasks[[#This Row],[Baseline Finish]]))</f>
        <v/>
      </c>
      <c r="BO194" s="21" t="str">
        <f aca="false">IF(Tasks[[#This Row],[Task Name]]="","",IF(OR(TakeBaseline="Yes",N(Tasks[[#This Row],[Baseline Duration]])=0),Tasks[[#This Row],[_SpanDays]],Tasks[[#This Row],[Baseline Duration]]))</f>
        <v/>
      </c>
      <c r="BP194" s="85" t="str">
        <f aca="false">IF(Tasks[[#This Row],[Task Name]]="","",IF(OR(TakeBaseline="Yes",N(Tasks[[#This Row],[Baseline Work]])=0),Tasks[[#This Row],[Work]],Tasks[[#This Row],[Baseline Work]]))</f>
        <v/>
      </c>
      <c r="BQ194" s="7"/>
      <c r="BR194" s="7"/>
      <c r="BS194" s="22"/>
      <c r="BT194" s="87"/>
      <c r="BU194" s="42" t="str">
        <f aca="false">IF(Tasks[[#This Row],[Task Name]]="","",MAX(1,N(Tasks[[#This Row],[Level]])))</f>
        <v/>
      </c>
      <c r="BV194" s="42" t="n">
        <f aca="false">ROW()-ROW(Tasks[[#Headers],[ID]])</f>
        <v>189</v>
      </c>
      <c r="BW194" s="42" t="n">
        <f aca="false">IF(OR(Tasks[[#This Row],[Task Name]]="",Tasks[[#This Row],[_Level]]&lt;=1),0,IFERROR(LOOKUP(2,1/(Tasks[[#Headers],[_Level]]:Tasks[[#This Row],[_Level]]=Tasks[[#This Row],[_Level]]-1),ROW(Tasks[[#Headers],[_Level]]:Tasks[[#This Row],[_Level]])),0))</f>
        <v>0</v>
      </c>
      <c r="BX194" s="42" t="n">
        <f aca="false">IFERROR(N(INDEX(Tasks[_Level],Tasks[[#This Row],[_Row]]+1)),0)</f>
        <v>0</v>
      </c>
      <c r="BY194" s="88" t="b">
        <f aca="false">AND(Tasks[[#This Row],[Task Name]]&lt;&gt;"",Tasks[[#This Row],[_NextLevel]]&gt;Tasks[[#This Row],[_Level]])</f>
        <v>0</v>
      </c>
      <c r="BZ194" s="42" t="n">
        <f aca="false">IF(Tasks[[#This Row],[_IsSummary]],COUNTIF(Tasks[WBS],Tasks[[#This Row],[WBS]]&amp;".*"),0)</f>
        <v>0</v>
      </c>
      <c r="CA194" s="42" t="n">
        <f aca="false">IF(AND(Tasks[[#This Row],[Task Name]]&lt;&gt;"",NOT(Tasks[[#This Row],[_IsSummary]])),1,0)</f>
        <v>0</v>
      </c>
      <c r="CB194" s="42" t="n">
        <f aca="false">IF(N(Tasks[[#This Row],[_Pred1UID]])=0,0,IFERROR(MATCH(Tasks[[#This Row],[_Pred1UID]],Tasks[UID],0),-1))</f>
        <v>0</v>
      </c>
      <c r="CC194" s="42" t="n">
        <f aca="false">IF(N(Tasks[[#This Row],[_Pred2UID]])=0,0,IFERROR(MATCH(Tasks[[#This Row],[_Pred2UID]],Tasks[UID],0),-1))</f>
        <v>0</v>
      </c>
      <c r="CD194" s="42" t="n">
        <f aca="false">IF(N(Tasks[[#This Row],[_Pred3UID]])=0,0,IFERROR(MATCH(Tasks[[#This Row],[_Pred3UID]],Tasks[UID],0),-1))</f>
        <v>0</v>
      </c>
      <c r="CE194" s="42" t="n">
        <f aca="false">IF(N(Tasks[[#This Row],[_Pred4UID]])=0,0,IFERROR(MATCH(Tasks[[#This Row],[_Pred4UID]],Tasks[UID],0),-1))</f>
        <v>0</v>
      </c>
      <c r="CF19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4" s="89" t="n">
        <f aca="false">IF(OR(Tasks[[#This Row],[_ConstraintCode]]=2,Tasks[[#This Row],[_ConstraintCode]]=3,Tasks[[#This Row],[_ConstraintCode]]=4,Tasks[[#This Row],[_ConstraintCode]]=6),Tasks[[#This Row],[_ConstraintStart]],0)</f>
        <v>0</v>
      </c>
      <c r="CI194" s="89" t="n">
        <f aca="false">IF(OR(Tasks[[#This Row],[_ConstraintCode]]=2,Tasks[[#This Row],[_ConstraintCode]]=3,Tasks[[#This Row],[_ConstraintCode]]=5,Tasks[[#This Row],[_ConstraintCode]]=7),Tasks[[#This Row],[_ConstraintStart]],2958465)</f>
        <v>2958465</v>
      </c>
      <c r="CJ19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4" s="89" t="str">
        <f aca="false">IF(NOT(Tasks[[#This Row],[_IsLeaf]]=1),"",IF(N(Tasks[[#This Row],[_Days]])&lt;=0,Tasks[[#This Row],[_LeafCalcStart]],WORKDAY.INTL(Tasks[[#This Row],[_LeafCalcStart]],Tasks[[#This Row],[_Days]]-1,WorkWeek,Holidays)))</f>
        <v/>
      </c>
      <c r="CL19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4" s="42" t="str">
        <f aca="false">IF(Tasks[[#This Row],[_Predecessors]]="","",TRIM(MID(SUBSTITUTE(SUBSTITUTE(SUBSTITUTE(UPPER(Tasks[[#This Row],[_Predecessors]]),";",",")," ",""),",",REPT(" ",99)),1,99)))</f>
        <v/>
      </c>
      <c r="CO194" s="42" t="str">
        <f aca="false">IF(Tasks[[#This Row],[_Pred1Text]]="","",IFERROR(VALUE(LEFT(Tasks[[#This Row],[_Pred1Text]],MIN(FIND("F",Tasks[[#This Row],[_Pred1Text]]&amp;"F"),FIND("S",Tasks[[#This Row],[_Pred1Text]]&amp;"S"),FIND("+",Tasks[[#This Row],[_Pred1Text]]&amp;"+"),FIND("-",Tasks[[#This Row],[_Pred1Text]]&amp;"-"))-1)),""))</f>
        <v/>
      </c>
      <c r="CP19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4" s="42" t="str">
        <f aca="false">IF(Tasks[[#This Row],[_Pred1Text]]="","",TRIM(MID(SUBSTITUTE(SUBSTITUTE(SUBSTITUTE(UPPER(Tasks[[#This Row],[_Predecessors]]),";",",")," ",""),",",REPT(" ",99)),100,99)))</f>
        <v/>
      </c>
      <c r="CS194" s="42" t="str">
        <f aca="false">IF(Tasks[[#This Row],[_Pred2Text]]="","",IFERROR(VALUE(LEFT(Tasks[[#This Row],[_Pred2Text]],MIN(FIND("F",Tasks[[#This Row],[_Pred2Text]]&amp;"F"),FIND("S",Tasks[[#This Row],[_Pred2Text]]&amp;"S"),FIND("+",Tasks[[#This Row],[_Pred2Text]]&amp;"+"),FIND("-",Tasks[[#This Row],[_Pred2Text]]&amp;"-"))-1)),""))</f>
        <v/>
      </c>
      <c r="CT19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4" s="42" t="str">
        <f aca="false">IF(Tasks[[#This Row],[_Pred2Text]]="","",TRIM(MID(SUBSTITUTE(SUBSTITUTE(SUBSTITUTE(UPPER(Tasks[[#This Row],[_Predecessors]]),";",",")," ",""),",",REPT(" ",99)),199,99)))</f>
        <v/>
      </c>
      <c r="CW194" s="42" t="str">
        <f aca="false">IF(Tasks[[#This Row],[_Pred3Text]]="","",IFERROR(VALUE(LEFT(Tasks[[#This Row],[_Pred3Text]],MIN(FIND("F",Tasks[[#This Row],[_Pred3Text]]&amp;"F"),FIND("S",Tasks[[#This Row],[_Pred3Text]]&amp;"S"),FIND("+",Tasks[[#This Row],[_Pred3Text]]&amp;"+"),FIND("-",Tasks[[#This Row],[_Pred3Text]]&amp;"-"))-1)),""))</f>
        <v/>
      </c>
      <c r="CX19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4" s="42" t="str">
        <f aca="false">IF(Tasks[[#This Row],[_Pred3Text]]="","",TRIM(MID(SUBSTITUTE(SUBSTITUTE(SUBSTITUTE(UPPER(Tasks[[#This Row],[_Predecessors]]),";",",")," ",""),",",REPT(" ",99)),298,99)))</f>
        <v/>
      </c>
      <c r="DA194" s="42" t="str">
        <f aca="false">IF(Tasks[[#This Row],[_Pred4Text]]="","",IFERROR(VALUE(LEFT(Tasks[[#This Row],[_Pred4Text]],MIN(FIND("F",Tasks[[#This Row],[_Pred4Text]]&amp;"F"),FIND("S",Tasks[[#This Row],[_Pred4Text]]&amp;"S"),FIND("+",Tasks[[#This Row],[_Pred4Text]]&amp;"+"),FIND("-",Tasks[[#This Row],[_Pred4Text]]&amp;"-"))-1)),""))</f>
        <v/>
      </c>
      <c r="DB19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4" s="42" t="str">
        <f aca="false">IF(OR(Tasks[[#This Row],[Task Name]]="",Tasks[[#This Row],[_Resources]]=""),"",TRIM(MID(SUBSTITUTE(Tasks[[#This Row],[_Resources]],",",REPT(" ",99)),1,99)))</f>
        <v/>
      </c>
      <c r="DE194" s="42" t="str">
        <f aca="false">IF(Tasks[[#This Row],[_Res1Text]]="","",TRIM(MID(SUBSTITUTE(Tasks[[#This Row],[_Resources]],",",REPT(" ",99)),100,99)))</f>
        <v/>
      </c>
      <c r="DF194" s="42" t="str">
        <f aca="false">IF(Tasks[[#This Row],[_Res2Text]]="","",TRIM(MID(SUBSTITUTE(Tasks[[#This Row],[_Resources]],",",REPT(" ",99)),199,99)))</f>
        <v/>
      </c>
      <c r="DG194" s="42" t="str">
        <f aca="false">IF(Tasks[[#This Row],[_Res3Text]]="","",TRIM(MID(SUBSTITUTE(Tasks[[#This Row],[_Resources]],",",REPT(" ",99)),298,99)))</f>
        <v/>
      </c>
      <c r="DH194" s="42" t="n">
        <f aca="false">IF(Tasks[[#This Row],[_Res1Text]]="",0,IFERROR(MATCH(TRIM(LEFT(Tasks[[#This Row],[_Res1Text]],FIND("[",Tasks[[#This Row],[_Res1Text]]&amp;"[")-1)),res_Name,0),IFERROR(MATCH(TRIM(LEFT(Tasks[[#This Row],[_Res1Text]],FIND("[",Tasks[[#This Row],[_Res1Text]]&amp;"[")-1)),res_Initials,0),0)))</f>
        <v>0</v>
      </c>
      <c r="DI194" s="42" t="n">
        <f aca="false">IF(Tasks[[#This Row],[_Res2Text]]="",0,IFERROR(MATCH(TRIM(LEFT(Tasks[[#This Row],[_Res2Text]],FIND("[",Tasks[[#This Row],[_Res2Text]]&amp;"[")-1)),res_Name,0),IFERROR(MATCH(TRIM(LEFT(Tasks[[#This Row],[_Res2Text]],FIND("[",Tasks[[#This Row],[_Res2Text]]&amp;"[")-1)),res_Initials,0),0)))</f>
        <v>0</v>
      </c>
      <c r="DJ194" s="42" t="n">
        <f aca="false">IF(Tasks[[#This Row],[_Res3Text]]="",0,IFERROR(MATCH(TRIM(LEFT(Tasks[[#This Row],[_Res3Text]],FIND("[",Tasks[[#This Row],[_Res3Text]]&amp;"[")-1)),res_Name,0),IFERROR(MATCH(TRIM(LEFT(Tasks[[#This Row],[_Res3Text]],FIND("[",Tasks[[#This Row],[_Res3Text]]&amp;"[")-1)),res_Initials,0),0)))</f>
        <v>0</v>
      </c>
      <c r="DK194" s="42" t="n">
        <f aca="false">IF(Tasks[[#This Row],[_Res4Text]]="",0,IFERROR(MATCH(TRIM(LEFT(Tasks[[#This Row],[_Res4Text]],FIND("[",Tasks[[#This Row],[_Res4Text]]&amp;"[")-1)),res_Name,0),IFERROR(MATCH(TRIM(LEFT(Tasks[[#This Row],[_Res4Text]],FIND("[",Tasks[[#This Row],[_Res4Text]]&amp;"[")-1)),res_Initials,0),0)))</f>
        <v>0</v>
      </c>
      <c r="DL194" s="42" t="str">
        <f aca="false">IF(Tasks[[#This Row],[_Res1Text]]="","",IF(Tasks[[#This Row],[_Res1Row]]&gt;0,INDEX(res_Name,Tasks[[#This Row],[_Res1Row]]),TRIM(LEFT(Tasks[[#This Row],[_Res1Text]],FIND("[",Tasks[[#This Row],[_Res1Text]]&amp;"[")-1))))</f>
        <v/>
      </c>
      <c r="DM19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4" s="42" t="n">
        <f aca="false">IF(NOT(Tasks[[#This Row],[_IsLeaf]]=1),0,(Tasks[[#This Row],[_Resource1]]&lt;&gt;"")+(Tasks[[#This Row],[_Res2]]&lt;&gt;"")+(Tasks[[#This Row],[_Res3]]&lt;&gt;"")+(Tasks[[#This Row],[_Res4]]&lt;&gt;""))</f>
        <v>0</v>
      </c>
      <c r="DO194" s="42" t="str">
        <f aca="false">IF(Tasks[[#This Row],[_Res2Text]]="","",IF(Tasks[[#This Row],[_Res2Row]]&gt;0,INDEX(res_Name,Tasks[[#This Row],[_Res2Row]]),TRIM(LEFT(Tasks[[#This Row],[_Res2Text]],FIND("[",Tasks[[#This Row],[_Res2Text]]&amp;"[")-1))))</f>
        <v/>
      </c>
      <c r="DP19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4" s="42" t="n">
        <f aca="false">IF(OR(NOT(Tasks[[#This Row],[_IsLeaf]]=1),Tasks[[#This Row],[_Res2Row]]=0),0,N(Tasks[[#This Row],[_Days]])*HoursPerDay*IF(Tasks[[#This Row],[_Res2Units]]="",DefaultUnits,Tasks[[#This Row],[_Res2Units]]))</f>
        <v>0</v>
      </c>
      <c r="DR194" s="42" t="n">
        <f aca="false">IF(AND(AND(Tasks[[#This Row],[_IsLeaf]]=1,Tasks[[#This Row],[_LeafTotalWork]]&gt;0),Tasks[[#This Row],[_Res2Work]]&gt;0),Tasks[[#This Row],[_Res2Work]]/(Tasks[[#This Row],[_FinishWorkday]]-Tasks[[#This Row],[_StartWorkday]]+1),0)</f>
        <v>0</v>
      </c>
      <c r="DS194" s="42" t="n">
        <f aca="false">Tasks[[#This Row],[_Res2WorkPerWD]]*MAX(0,Tasks[[#This Row],[_StartWorkday]]-1)</f>
        <v>0</v>
      </c>
      <c r="DT194" s="42" t="n">
        <f aca="false">Tasks[[#This Row],[_Res2Work]]*Tasks[[#This Row],[_LeafProgress]]</f>
        <v>0</v>
      </c>
      <c r="DU194" s="42" t="str">
        <f aca="false">IF(Tasks[[#This Row],[_Res3Text]]="","",IF(Tasks[[#This Row],[_Res3Row]]&gt;0,INDEX(res_Name,Tasks[[#This Row],[_Res3Row]]),TRIM(LEFT(Tasks[[#This Row],[_Res3Text]],FIND("[",Tasks[[#This Row],[_Res3Text]]&amp;"[")-1))))</f>
        <v/>
      </c>
      <c r="DV19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4" s="42" t="n">
        <f aca="false">IF(OR(NOT(Tasks[[#This Row],[_IsLeaf]]=1),Tasks[[#This Row],[_Res3Row]]=0),0,N(Tasks[[#This Row],[_Days]])*HoursPerDay*IF(Tasks[[#This Row],[_Res3Units]]="",DefaultUnits,Tasks[[#This Row],[_Res3Units]]))</f>
        <v>0</v>
      </c>
      <c r="DX194" s="42" t="n">
        <f aca="false">IF(AND(AND(Tasks[[#This Row],[_IsLeaf]]=1,Tasks[[#This Row],[_LeafTotalWork]]&gt;0),Tasks[[#This Row],[_Res3Work]]&gt;0),Tasks[[#This Row],[_Res3Work]]/(Tasks[[#This Row],[_FinishWorkday]]-Tasks[[#This Row],[_StartWorkday]]+1),0)</f>
        <v>0</v>
      </c>
      <c r="DY194" s="42" t="n">
        <f aca="false">Tasks[[#This Row],[_Res3WorkPerWD]]*MAX(0,Tasks[[#This Row],[_StartWorkday]]-1)</f>
        <v>0</v>
      </c>
      <c r="DZ194" s="42" t="n">
        <f aca="false">Tasks[[#This Row],[_Res3Work]]*Tasks[[#This Row],[_LeafProgress]]</f>
        <v>0</v>
      </c>
      <c r="EA194" s="42" t="str">
        <f aca="false">IF(Tasks[[#This Row],[_Res4Text]]="","",IF(Tasks[[#This Row],[_Res4Row]]&gt;0,INDEX(res_Name,Tasks[[#This Row],[_Res4Row]]),TRIM(LEFT(Tasks[[#This Row],[_Res4Text]],FIND("[",Tasks[[#This Row],[_Res4Text]]&amp;"[")-1))))</f>
        <v/>
      </c>
      <c r="EB19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4" s="42" t="n">
        <f aca="false">IF(OR(NOT(Tasks[[#This Row],[_IsLeaf]]=1),Tasks[[#This Row],[_Res4Row]]=0),0,N(Tasks[[#This Row],[_Days]])*HoursPerDay*IF(Tasks[[#This Row],[_Res4Units]]="",DefaultUnits,Tasks[[#This Row],[_Res4Units]]))</f>
        <v>0</v>
      </c>
      <c r="ED194" s="42" t="n">
        <f aca="false">IF(AND(AND(Tasks[[#This Row],[_IsLeaf]]=1,Tasks[[#This Row],[_LeafTotalWork]]&gt;0),Tasks[[#This Row],[_Res4Work]]&gt;0),Tasks[[#This Row],[_Res4Work]]/(Tasks[[#This Row],[_FinishWorkday]]-Tasks[[#This Row],[_StartWorkday]]+1),0)</f>
        <v>0</v>
      </c>
      <c r="EE194" s="42" t="n">
        <f aca="false">Tasks[[#This Row],[_Res4WorkPerWD]]*MAX(0,Tasks[[#This Row],[_StartWorkday]]-1)</f>
        <v>0</v>
      </c>
      <c r="EF194" s="42" t="n">
        <f aca="false">Tasks[[#This Row],[_Res4Work]]*Tasks[[#This Row],[_LeafProgress]]</f>
        <v>0</v>
      </c>
      <c r="EG194" s="42" t="n">
        <f aca="false">IF(ISNUMBER(Tasks[[#This Row],[% Complete]]),Tasks[[#This Row],[% Complete]],IF(Tasks[[#This Row],[Stage]]="",0,IFERROR(INDEX(stg_Pct,MATCH(Tasks[[#This Row],[Stage]],stg_Name,0)),0)))</f>
        <v>0</v>
      </c>
      <c r="EH194" s="42" t="n">
        <f aca="false">IF(NOT(Tasks[[#This Row],[_IsLeaf]]=1),0,IF(N(Tasks[[#This Row],[Actual Finish]])&gt;0,1,MIN(1,Tasks[[#This Row],[_Pct]])))</f>
        <v>0</v>
      </c>
      <c r="EI194" s="42" t="n">
        <f aca="false">IF(OR(NOT(Tasks[[#This Row],[_IsLeaf]]=1),Tasks[[#This Row],[_Res1Row]]=0),0,N(Tasks[[#This Row],[_Days]])*HoursPerDay*IF(Tasks[[#This Row],[_Units1]]="",DefaultUnits,Tasks[[#This Row],[_Units1]]))</f>
        <v>0</v>
      </c>
      <c r="EJ194" s="42" t="n">
        <f aca="false">Tasks[[#This Row],[_LeafWork]]+Tasks[[#This Row],[_Res2Work]]+Tasks[[#This Row],[_Res3Work]]+Tasks[[#This Row],[_Res4Work]]</f>
        <v>0</v>
      </c>
      <c r="EK19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4" s="42" t="n">
        <f aca="false">IF(NOT(Tasks[[#This Row],[_IsLeaf]]=1),0,MAX(_xlfn.MAXIFS(Tasks[_Row],Tasks[_Pred1UID],Tasks[[#This Row],[UID]]),_xlfn.MAXIFS(Tasks[_Row],Tasks[_Pred2UID],Tasks[[#This Row],[UID]]),_xlfn.MAXIFS(Tasks[_Row],Tasks[_Pred3UID],Tasks[[#This Row],[UID]]),_xlfn.MAXIFS(Tasks[_Row],Tasks[_Pred4UID],Tasks[[#This Row],[UID]])))</f>
        <v>0</v>
      </c>
      <c r="ET19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4" s="89" t="str">
        <f aca="false">IF(NOT(Tasks[[#This Row],[_IsLeaf]]=1),"",IF(N(Tasks[[#This Row],[_Days]])&lt;=0,Tasks[[#This Row],[_LeafLateFinish]],WORKDAY.INTL(Tasks[[#This Row],[_LeafLateFinish]],-(Tasks[[#This Row],[_Days]]-1),WorkWeek,Holidays)))</f>
        <v/>
      </c>
      <c r="EW19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4" s="88" t="b">
        <f aca="false">AND(Tasks[[#This Row],[_IsLeaf]]=1,Tasks[[#This Row],[_LeafProgress]]&lt;1,N(Tasks[[#This Row],[_LeafTotalSlack]])&lt;=CriticalSlackDays)</f>
        <v>0</v>
      </c>
      <c r="EY194" s="42" t="n">
        <f aca="false">IF(AND(Tasks[[#This Row],[_IsLeaf]]=1,Tasks[[#This Row],[_ConstraintCode]]=1,Tasks[[#This Row],[Mode]]&lt;&gt;"Manual",N(Tasks[[#This Row],[Actual Start]])=0),MAX(0,N(Tasks[[#This Row],[Free Slack]])),0)</f>
        <v>0</v>
      </c>
      <c r="EZ194" s="89" t="str">
        <f aca="false">IF(NOT(Tasks[[#This Row],[_IsLeaf]]=1),"",IF(Tasks[[#This Row],[_AlapShift]]=0,Tasks[[#This Row],[_LeafCalcStart]],WORKDAY.INTL(Tasks[[#This Row],[_LeafCalcStart]],Tasks[[#This Row],[_AlapShift]],WorkWeek,Holidays)))</f>
        <v/>
      </c>
      <c r="FA194" s="89" t="str">
        <f aca="false">IF(NOT(Tasks[[#This Row],[_IsLeaf]]=1),"",IF(Tasks[[#This Row],[_AlapShift]]=0,Tasks[[#This Row],[_LeafCalcFinish]],WORKDAY.INTL(Tasks[[#This Row],[_LeafCalcFinish]],Tasks[[#This Row],[_AlapShift]],WorkWeek,Holidays)))</f>
        <v/>
      </c>
      <c r="FB194" s="89" t="str">
        <f aca="false">IF(NOT(Tasks[[#This Row],[_IsLeaf]]=1),"",IF(Tasks[[#This Row],[_AlapShift]]=0,Tasks[[#This Row],[_LeafFcstStart]],WORKDAY.INTL(Tasks[[#This Row],[_LeafFcstStart]],Tasks[[#This Row],[_AlapShift]],WorkWeek,Holidays)))</f>
        <v/>
      </c>
      <c r="FC194" s="89" t="str">
        <f aca="false">IF(NOT(Tasks[[#This Row],[_IsLeaf]]=1),"",IF(Tasks[[#This Row],[_AlapShift]]=0,Tasks[[#This Row],[_LeafFcstFinish]],WORKDAY.INTL(Tasks[[#This Row],[_LeafFcstFinish]],Tasks[[#This Row],[_AlapShift]],WorkWeek,Holidays)))</f>
        <v/>
      </c>
      <c r="FD194" s="89" t="str">
        <f aca="false">IF(Tasks[[#This Row],[Task Name]]="","",IF(Tasks[[#This Row],[_IsSummary]],MIN(INDEX(Tasks[_ShownCalcStart],Tasks[[#This Row],[_Row]]+1):INDEX(Tasks[_ShownCalcStart],Tasks[[#This Row],[_Row]]+Tasks[[#This Row],[_Descendants]])),Tasks[[#This Row],[_ShownCalcStart]]))</f>
        <v/>
      </c>
      <c r="FE194" s="89" t="str">
        <f aca="false">IF(Tasks[[#This Row],[Task Name]]="","",IF(Tasks[[#This Row],[_IsSummary]],MAX(INDEX(Tasks[_ShownCalcFinish],Tasks[[#This Row],[_Row]]+1):INDEX(Tasks[_ShownCalcFinish],Tasks[[#This Row],[_Row]]+Tasks[[#This Row],[_Descendants]])),Tasks[[#This Row],[_ShownCalcFinish]]))</f>
        <v/>
      </c>
      <c r="FF19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4" s="42" t="n">
        <f aca="false">IF(AND(Tasks[[#This Row],[_IsLeaf]]=1,Tasks[[#This Row],[_LeafTotalWork]]&gt;0),NETWORKDAYS.INTL(ProjectStart,Tasks[[#This Row],[_ShownFcstStart]],WorkWeek,Holidays),0)</f>
        <v>0</v>
      </c>
      <c r="FS194" s="42" t="n">
        <f aca="false">IF(AND(Tasks[[#This Row],[_IsLeaf]]=1,Tasks[[#This Row],[_LeafTotalWork]]&gt;0),MAX(Tasks[[#This Row],[_StartWorkday]],NETWORKDAYS.INTL(ProjectStart,Tasks[[#This Row],[_ShownFcstFinish]],WorkWeek,Holidays)),0)</f>
        <v>0</v>
      </c>
      <c r="FT194" s="42" t="n">
        <f aca="false">IF(AND(Tasks[[#This Row],[_IsLeaf]]=1,Tasks[[#This Row],[_LeafTotalWork]]&gt;0),Tasks[[#This Row],[_LeafWork]]/(Tasks[[#This Row],[_FinishWorkday]]-Tasks[[#This Row],[_StartWorkday]]+1),0)</f>
        <v>0</v>
      </c>
      <c r="FU194" s="42" t="n">
        <f aca="false">Tasks[[#This Row],[_WorkPerWorkday]]*(Tasks[[#This Row],[_StartWorkday]]-1)</f>
        <v>-0</v>
      </c>
      <c r="FV194" s="42" t="n">
        <f aca="false">IF(Tasks[[#This Row],[_IsLeaf]]=1,MAX(N(Tasks[[#This Row],[_Days]]),0.1),0)</f>
        <v>0</v>
      </c>
      <c r="FW194" s="42" t="n">
        <f aca="false">Tasks[[#This Row],[_WeightDur]]*Tasks[[#This Row],[_LeafProgress]]</f>
        <v>0</v>
      </c>
      <c r="FX194" s="42" t="n">
        <f aca="false">Tasks[[#This Row],[_WeightDur]]*Tasks[[#This Row],[_PlannedPct]]</f>
        <v>0</v>
      </c>
      <c r="FY19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4" s="42" t="str">
        <f aca="false">IF(AND(Tasks[[#This Row],[_IsLeaf]]=1,N(Tasks[[#This Row],[_Days]])=0,Tasks[[#This Row],[_LeafProgress]]&lt;1),Tasks[[#This Row],[_ShownFcstFinish]]+Tasks[[#This Row],[_Row]]/100000,"")</f>
        <v/>
      </c>
      <c r="GA19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4" s="42" t="str">
        <f aca="false">IF(Tasks[[#This Row],[Task Name]]="","",LEFT(Tasks[[#This Row],[WBS]],FIND(".",Tasks[[#This Row],[WBS]]&amp;".")-1))</f>
        <v/>
      </c>
      <c r="GC194" s="42" t="str">
        <f aca="false">IF(AND(Tasks[[#This Row],[Task Name]]&lt;&gt;"",Tasks[[#This Row],[_Level]]=1),Tasks[[#This Row],[_Row]],"")</f>
        <v/>
      </c>
      <c r="GD194" s="42" t="str">
        <f aca="false">IF(AND(Tasks[[#This Row],[_IsLeaf]]=1,N(Tasks[[#This Row],[_Days]])=0),Tasks[[#This Row],[Planned Finish]]+Tasks[[#This Row],[_Row]]/100000,"")</f>
        <v/>
      </c>
      <c r="GE194" s="42" t="str">
        <f aca="false">IF(AND(Tasks[[#This Row],[_IsLeaf]]=1,Tasks[[#This Row],[_LeafProgress]]&lt;1,OR(N(Tasks[[#This Row],[Finish Var]])&gt;0,Tasks[[#This Row],[Status]]="Late Start")),MAX(0,Tasks[[#This Row],[Finish Var]])+1-Tasks[[#This Row],[_Row]]/1000000,"")</f>
        <v/>
      </c>
      <c r="GF194" s="42" t="str">
        <f aca="false">IF(AND(Tasks[[#This Row],[_IsLeaf]]=1,N(Tasks[[#This Row],[Actual Start]])=0,Tasks[[#This Row],[_ShownFcstStart]]&gt;=StatusDate,Tasks[[#This Row],[_ShownFcstStart]]&lt;=LookaheadEnd),Tasks[[#This Row],[_ShownFcstStart]]+Tasks[[#This Row],[_Row]]/100000,"")</f>
        <v/>
      </c>
      <c r="GG194" s="42" t="str">
        <f aca="false">IF(AND(Tasks[[#This Row],[_IsLeaf]]=1,Tasks[[#This Row],[_LeafProgress]]&lt;1,Tasks[[#This Row],[_ShownFcstFinish]]&gt;=StatusDate,Tasks[[#This Row],[_ShownFcstFinish]]&lt;=LookaheadEnd),Tasks[[#This Row],[_ShownFcstFinish]]+Tasks[[#This Row],[_Row]]/100000,"")</f>
        <v/>
      </c>
      <c r="GH194" s="42" t="str">
        <f aca="false">IF(Tasks[[#This Row],[_LeafCritical]],Tasks[[#This Row],[_ShownFcstStart]]+Tasks[[#This Row],[_Row]]/100000,"")</f>
        <v/>
      </c>
      <c r="GI194" s="42" t="n">
        <f aca="false">Tasks[[#This Row],[_LeafWork]]*Tasks[[#This Row],[_LeafProgress]]</f>
        <v>0</v>
      </c>
      <c r="GJ194" s="89" t="str">
        <f aca="false">IF(AND(Tasks[[#This Row],[_IsLeaf]]=1,Tasks[[#This Row],[_LeafProgress]]&gt;=1),IF(N(Tasks[[#This Row],[Actual Finish]])&gt;0,Tasks[[#This Row],[Actual Finish]],Tasks[[#This Row],[_ShownFcstFinish]]),"")</f>
        <v/>
      </c>
      <c r="GK194" s="42" t="n">
        <f aca="false">IF(Tasks[[#This Row],[_IsLeaf]]=1,N(Tasks[[#This Row],[Story Points]]),0)</f>
        <v>0</v>
      </c>
      <c r="GL194" s="42" t="str">
        <f aca="false">""</f>
        <v/>
      </c>
      <c r="GM194" s="88" t="b">
        <f aca="false">IF(Tasks[[#This Row],[Task Name]]="",FALSE(),AND(Tasks[[#This Row],[_IsLeaf]]=1,N(Tasks[[#This Row],[_Days]])=0))</f>
        <v>0</v>
      </c>
      <c r="GN194" s="89" t="n">
        <f aca="false">IF(Tasks[[#This Row],[Task Name]]="",0,IF(AND(Tasks[[#This Row],[_IsLeaf]]=1,NOT(Tasks[[#This Row],[_IsMilestone]]),N(Tasks[[#This Row],[Progress]])&gt;0),Tasks[[#This Row],[Start]],0))</f>
        <v>0</v>
      </c>
      <c r="GO194" s="89" t="n">
        <f aca="false">IF(Tasks[[#This Row],[_DoneFrom]]=0,0,IF(Tasks[[#This Row],[Progress]]&gt;=1,Tasks[[#This Row],[Finish]],MAX(Tasks[[#This Row],[_DoneFrom]],Tasks[[#This Row],[Start]]+ROUND((Tasks[[#This Row],[Finish]]-Tasks[[#This Row],[Start]]+1)*Tasks[[#This Row],[Progress]],0)-1)))</f>
        <v>0</v>
      </c>
      <c r="GP194" s="89" t="n">
        <f aca="false">IF(Tasks[[#This Row],[Task Name]]="",0,IF(OR(NOT(Tasks[[#This Row],[_IsLeaf]]=1),Tasks[[#This Row],[_IsMilestone]],N(Tasks[[#This Row],[Progress]])&gt;=1),0,IF(Tasks[[#This Row],[_DoneTo]]&gt;0,Tasks[[#This Row],[_DoneTo]]+1,Tasks[[#This Row],[Start]])))</f>
        <v>0</v>
      </c>
      <c r="GQ194" s="89" t="n">
        <f aca="false">IF(Tasks[[#This Row],[_RemFrom]]=0,0,Tasks[[#This Row],[Finish]])</f>
        <v>0</v>
      </c>
      <c r="GR194" s="88" t="b">
        <f aca="false">IF(Tasks[[#This Row],[Task Name]]="",FALSE(),OR(NOT(BaselineSet),N(Tasks[[#This Row],[Baseline Start]])&gt;0))</f>
        <v>0</v>
      </c>
      <c r="GS19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4" s="90" t="str">
        <f aca="false">IF(Tasks[[#This Row],[_IsLeaf]]=1,Tasks[[#This Row],[_Row]],"")</f>
        <v/>
      </c>
      <c r="GW194" s="90" t="str">
        <f aca="false">IFERROR(INDEX(Tasks[UID],SMALL(Tasks[_PickKey],Tasks[[#This Row],[_Row]]))&amp;" "&amp;INDEX(Tasks[Task Name],SMALL(Tasks[_PickKey],Tasks[[#This Row],[_Row]])),"")</f>
        <v/>
      </c>
      <c r="GX194" s="42" t="str">
        <f aca="false">IF(Tasks[[#This Row],[Task Name]]="","",IF(Tasks[[#This Row],[_IsSummary]],NETWORKDAYS.INTL(Tasks[[#This Row],[Start]],Tasks[[#This Row],[Finish]],WorkWeek,Holidays),N(Tasks[[#This Row],[_Days]])))</f>
        <v/>
      </c>
    </row>
    <row r="195" customFormat="false" ht="15" hidden="false" customHeight="false" outlineLevel="0" collapsed="false">
      <c r="A195" s="21" t="str">
        <f aca="false">IF(Tasks[[#This Row],[Task Name]]="","",COUNTA(Tasks[[#Headers],[Task Name]]:Tasks[[#This Row],[Task Name]])-1)</f>
        <v/>
      </c>
      <c r="B195" s="22" t="n">
        <v>203</v>
      </c>
      <c r="C195" s="22"/>
      <c r="D195" s="23"/>
      <c r="E195" s="22"/>
      <c r="F195" s="23"/>
      <c r="G195" s="22"/>
      <c r="H195" s="22"/>
      <c r="I195" s="23"/>
      <c r="J195" s="22"/>
      <c r="K195" s="22"/>
      <c r="L195" s="23"/>
      <c r="M195" s="22"/>
      <c r="N195" s="22"/>
      <c r="O195" s="23"/>
      <c r="P195" s="22"/>
      <c r="Q195" s="22"/>
      <c r="R195" s="23"/>
      <c r="S195" s="23"/>
      <c r="T195" s="83"/>
      <c r="U195" s="23"/>
      <c r="V195" s="83"/>
      <c r="W195" s="23"/>
      <c r="X195" s="83"/>
      <c r="Y195" s="23"/>
      <c r="Z195" s="83"/>
      <c r="AA195" s="23"/>
      <c r="AB195" s="23"/>
      <c r="AC195" s="7"/>
      <c r="AD195" s="7"/>
      <c r="AE195" s="62" t="str">
        <f aca="false">IF(Tasks[[#This Row],[Task Name]]="","",IF(Tasks[[#This Row],[_IsSummary]],MIN(INDEX(Tasks[_ShownFcstStart],Tasks[[#This Row],[_Row]]+1):INDEX(Tasks[_ShownFcstStart],Tasks[[#This Row],[_Row]]+Tasks[[#This Row],[_Descendants]])),Tasks[[#This Row],[_ShownFcstStart]]))</f>
        <v/>
      </c>
      <c r="AF195" s="62" t="str">
        <f aca="false">IF(Tasks[[#This Row],[Task Name]]="","",IF(Tasks[[#This Row],[_IsSummary]],MAX(INDEX(Tasks[_ShownFcstFinish],Tasks[[#This Row],[_Row]]+1):INDEX(Tasks[_ShownFcstFinish],Tasks[[#This Row],[_Row]]+Tasks[[#This Row],[_Descendants]])),Tasks[[#This Row],[_ShownFcstFinish]]))</f>
        <v/>
      </c>
      <c r="AG195" s="21" t="str">
        <f aca="false">""</f>
        <v/>
      </c>
      <c r="AH195" s="23"/>
      <c r="AI19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5" s="7"/>
      <c r="AK195" s="22"/>
      <c r="AL195" s="23"/>
      <c r="AM195" s="7"/>
      <c r="AN195" s="46" t="str">
        <f aca="false">IF(Tasks[[#This Row],[Task Name]]="","",IF(Tasks[[#This Row],[Finish]]&gt;=Tasks[[#This Row],[Planned Finish]],NETWORKDAYS.INTL(Tasks[[#This Row],[Planned Finish]],Tasks[[#This Row],[Finish]],WorkWeek,Holidays)-1,1-NETWORKDAYS.INTL(Tasks[[#This Row],[Finish]],Tasks[[#This Row],[Planned Finish]],WorkWeek,Holidays)))</f>
        <v/>
      </c>
      <c r="AO195" s="21" t="str">
        <f aca="false">IF(Tasks[[#This Row],[Task Name]]="","",IF(Tasks[[#This Row],[Progress]]&gt;=1,"Complete",IF(OR(N(Tasks[[#This Row],[Actual Start]])&gt;0,Tasks[[#This Row],[Progress]]&gt;0),IF(Tasks[[#This Row],[Finish Var]]&gt;0,"Behind","In Progress"),IF(Tasks[[#This Row],[Planned Start]]&lt;StatusDate,"Late Start","Not Started"))))</f>
        <v/>
      </c>
      <c r="AP195" s="21" t="str">
        <f aca="false">IF(Tasks[[#This Row],[Task Name]]="","",IF(IF(Tasks[[#This Row],[_IsSummary]],COUNTIF(INDEX(Tasks[_LeafCritical],Tasks[[#This Row],[_Row]]+1):INDEX(Tasks[_LeafCritical],Tasks[[#This Row],[_Row]]+Tasks[[#This Row],[_Descendants]]),TRUE())&gt;0,Tasks[[#This Row],[_LeafCritical]]),"Yes",""))</f>
        <v/>
      </c>
      <c r="AQ195" s="62" t="str">
        <f aca="false">IF(Tasks[[#This Row],[Task Name]]="","",IF(N(Tasks[[#This Row],[Baseline Start]])&gt;0,Tasks[[#This Row],[Baseline Start]],Tasks[[#This Row],[_CalcStart]]))</f>
        <v/>
      </c>
      <c r="AR195" s="62" t="str">
        <f aca="false">IF(Tasks[[#This Row],[Task Name]]="","",IF(N(Tasks[[#This Row],[Baseline Finish]])&gt;0,Tasks[[#This Row],[Baseline Finish]],Tasks[[#This Row],[_CalcFinish]]))</f>
        <v/>
      </c>
      <c r="AS195" s="46" t="str">
        <f aca="false">IF(Tasks[[#This Row],[Task Name]]="","",IF(Tasks[[#This Row],[Start]]&gt;=Tasks[[#This Row],[Planned Start]],NETWORKDAYS.INTL(Tasks[[#This Row],[Planned Start]],Tasks[[#This Row],[Start]],WorkWeek,Holidays)-1,1-NETWORKDAYS.INTL(Tasks[[#This Row],[Start]],Tasks[[#This Row],[Planned Start]],WorkWeek,Holidays)))</f>
        <v/>
      </c>
      <c r="AT195" s="62" t="str">
        <f aca="false">IF(Tasks[[#This Row],[Task Name]]="","",IF(Tasks[[#This Row],[_IsSummary]],MIN(INDEX(Tasks[_LeafLateStart],Tasks[[#This Row],[_Row]]+1):INDEX(Tasks[_LeafLateStart],Tasks[[#This Row],[_Row]]+Tasks[[#This Row],[_Descendants]])),Tasks[[#This Row],[_LeafLateStart]]))</f>
        <v/>
      </c>
      <c r="AU195" s="62" t="str">
        <f aca="false">IF(Tasks[[#This Row],[Task Name]]="","",IF(Tasks[[#This Row],[_IsSummary]],MAX(INDEX(Tasks[_LeafLateFinish],Tasks[[#This Row],[_Row]]+1):INDEX(Tasks[_LeafLateFinish],Tasks[[#This Row],[_Row]]+Tasks[[#This Row],[_Descendants]])),Tasks[[#This Row],[_LeafLateFinish]]))</f>
        <v/>
      </c>
      <c r="AV195" s="46" t="str">
        <f aca="false">IF(Tasks[[#This Row],[Task Name]]="","",IF(Tasks[[#This Row],[_IsSummary]],MIN(INDEX(Tasks[_LeafTotalSlack],Tasks[[#This Row],[_Row]]+1):INDEX(Tasks[_LeafTotalSlack],Tasks[[#This Row],[_Row]]+Tasks[[#This Row],[_Descendants]])),Tasks[[#This Row],[_LeafTotalSlack]]))</f>
        <v/>
      </c>
      <c r="AW19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4"/>
      <c r="BA19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t="str">
        <f aca="false">IF(Tasks[[#This Row],[Task Name]]="","",IF(Tasks[[#This Row],[_Level]]&lt;=OutlineShowLevel,"Yes","No"))</f>
        <v/>
      </c>
      <c r="BE195" s="85" t="str">
        <f aca="false">IF(Tasks[[#This Row],[Task Name]]="","",IF(Tasks[[#This Row],[_IsSummary]],SUM(INDEX(Tasks[_LeafTotalWork],Tasks[[#This Row],[_Row]]+1):INDEX(Tasks[_LeafTotalWork],Tasks[[#This Row],[_Row]]+Tasks[[#This Row],[_Descendants]])),Tasks[[#This Row],[_LeafTotalWork]]))</f>
        <v/>
      </c>
      <c r="BF195" s="23"/>
      <c r="BG19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t="str">
        <f aca="false">""</f>
        <v/>
      </c>
      <c r="BI195" s="86"/>
      <c r="BJ195" s="22"/>
      <c r="BK195" s="46" t="str">
        <f aca="false">IF(OR(Tasks[[#This Row],[Task Name]]="",Tasks[[#This Row],[Baseline Duration]]=""),"",Tasks[[#This Row],[_SpanDays]]-N(Tasks[[#This Row],[Baseline Duration]]))</f>
        <v/>
      </c>
      <c r="BL195" s="85" t="str">
        <f aca="false">IF(OR(Tasks[[#This Row],[Task Name]]="",Tasks[[#This Row],[Baseline Work]]=""),"",Tasks[[#This Row],[Work]]-N(Tasks[[#This Row],[Baseline Work]]))</f>
        <v/>
      </c>
      <c r="BM195" s="62" t="str">
        <f aca="false">IF(Tasks[[#This Row],[Task Name]]="","",IF(OR(TakeBaseline="Yes",N(Tasks[[#This Row],[Baseline Start]])=0),Tasks[[#This Row],[Start]],Tasks[[#This Row],[Baseline Start]]))</f>
        <v/>
      </c>
      <c r="BN195" s="62" t="str">
        <f aca="false">IF(Tasks[[#This Row],[Task Name]]="","",IF(OR(TakeBaseline="Yes",N(Tasks[[#This Row],[Baseline Finish]])=0),Tasks[[#This Row],[Finish]],Tasks[[#This Row],[Baseline Finish]]))</f>
        <v/>
      </c>
      <c r="BO195" s="21" t="str">
        <f aca="false">IF(Tasks[[#This Row],[Task Name]]="","",IF(OR(TakeBaseline="Yes",N(Tasks[[#This Row],[Baseline Duration]])=0),Tasks[[#This Row],[_SpanDays]],Tasks[[#This Row],[Baseline Duration]]))</f>
        <v/>
      </c>
      <c r="BP195" s="85" t="str">
        <f aca="false">IF(Tasks[[#This Row],[Task Name]]="","",IF(OR(TakeBaseline="Yes",N(Tasks[[#This Row],[Baseline Work]])=0),Tasks[[#This Row],[Work]],Tasks[[#This Row],[Baseline Work]]))</f>
        <v/>
      </c>
      <c r="BQ195" s="7"/>
      <c r="BR195" s="7"/>
      <c r="BS195" s="22"/>
      <c r="BT195" s="87"/>
      <c r="BU195" s="42" t="str">
        <f aca="false">IF(Tasks[[#This Row],[Task Name]]="","",MAX(1,N(Tasks[[#This Row],[Level]])))</f>
        <v/>
      </c>
      <c r="BV195" s="42" t="n">
        <f aca="false">ROW()-ROW(Tasks[[#Headers],[ID]])</f>
        <v>190</v>
      </c>
      <c r="BW195" s="42" t="n">
        <f aca="false">IF(OR(Tasks[[#This Row],[Task Name]]="",Tasks[[#This Row],[_Level]]&lt;=1),0,IFERROR(LOOKUP(2,1/(Tasks[[#Headers],[_Level]]:Tasks[[#This Row],[_Level]]=Tasks[[#This Row],[_Level]]-1),ROW(Tasks[[#Headers],[_Level]]:Tasks[[#This Row],[_Level]])),0))</f>
        <v>0</v>
      </c>
      <c r="BX195" s="42" t="n">
        <f aca="false">IFERROR(N(INDEX(Tasks[_Level],Tasks[[#This Row],[_Row]]+1)),0)</f>
        <v>0</v>
      </c>
      <c r="BY195" s="88" t="b">
        <f aca="false">AND(Tasks[[#This Row],[Task Name]]&lt;&gt;"",Tasks[[#This Row],[_NextLevel]]&gt;Tasks[[#This Row],[_Level]])</f>
        <v>0</v>
      </c>
      <c r="BZ195" s="42" t="n">
        <f aca="false">IF(Tasks[[#This Row],[_IsSummary]],COUNTIF(Tasks[WBS],Tasks[[#This Row],[WBS]]&amp;".*"),0)</f>
        <v>0</v>
      </c>
      <c r="CA195" s="42" t="n">
        <f aca="false">IF(AND(Tasks[[#This Row],[Task Name]]&lt;&gt;"",NOT(Tasks[[#This Row],[_IsSummary]])),1,0)</f>
        <v>0</v>
      </c>
      <c r="CB195" s="42" t="n">
        <f aca="false">IF(N(Tasks[[#This Row],[_Pred1UID]])=0,0,IFERROR(MATCH(Tasks[[#This Row],[_Pred1UID]],Tasks[UID],0),-1))</f>
        <v>0</v>
      </c>
      <c r="CC195" s="42" t="n">
        <f aca="false">IF(N(Tasks[[#This Row],[_Pred2UID]])=0,0,IFERROR(MATCH(Tasks[[#This Row],[_Pred2UID]],Tasks[UID],0),-1))</f>
        <v>0</v>
      </c>
      <c r="CD195" s="42" t="n">
        <f aca="false">IF(N(Tasks[[#This Row],[_Pred3UID]])=0,0,IFERROR(MATCH(Tasks[[#This Row],[_Pred3UID]],Tasks[UID],0),-1))</f>
        <v>0</v>
      </c>
      <c r="CE195" s="42" t="n">
        <f aca="false">IF(N(Tasks[[#This Row],[_Pred4UID]])=0,0,IFERROR(MATCH(Tasks[[#This Row],[_Pred4UID]],Tasks[UID],0),-1))</f>
        <v>0</v>
      </c>
      <c r="CF19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5" s="89" t="n">
        <f aca="false">IF(OR(Tasks[[#This Row],[_ConstraintCode]]=2,Tasks[[#This Row],[_ConstraintCode]]=3,Tasks[[#This Row],[_ConstraintCode]]=4,Tasks[[#This Row],[_ConstraintCode]]=6),Tasks[[#This Row],[_ConstraintStart]],0)</f>
        <v>0</v>
      </c>
      <c r="CI195" s="89" t="n">
        <f aca="false">IF(OR(Tasks[[#This Row],[_ConstraintCode]]=2,Tasks[[#This Row],[_ConstraintCode]]=3,Tasks[[#This Row],[_ConstraintCode]]=5,Tasks[[#This Row],[_ConstraintCode]]=7),Tasks[[#This Row],[_ConstraintStart]],2958465)</f>
        <v>2958465</v>
      </c>
      <c r="CJ19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5" s="89" t="str">
        <f aca="false">IF(NOT(Tasks[[#This Row],[_IsLeaf]]=1),"",IF(N(Tasks[[#This Row],[_Days]])&lt;=0,Tasks[[#This Row],[_LeafCalcStart]],WORKDAY.INTL(Tasks[[#This Row],[_LeafCalcStart]],Tasks[[#This Row],[_Days]]-1,WorkWeek,Holidays)))</f>
        <v/>
      </c>
      <c r="CL19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5" s="42" t="str">
        <f aca="false">IF(Tasks[[#This Row],[_Predecessors]]="","",TRIM(MID(SUBSTITUTE(SUBSTITUTE(SUBSTITUTE(UPPER(Tasks[[#This Row],[_Predecessors]]),";",",")," ",""),",",REPT(" ",99)),1,99)))</f>
        <v/>
      </c>
      <c r="CO195" s="42" t="str">
        <f aca="false">IF(Tasks[[#This Row],[_Pred1Text]]="","",IFERROR(VALUE(LEFT(Tasks[[#This Row],[_Pred1Text]],MIN(FIND("F",Tasks[[#This Row],[_Pred1Text]]&amp;"F"),FIND("S",Tasks[[#This Row],[_Pred1Text]]&amp;"S"),FIND("+",Tasks[[#This Row],[_Pred1Text]]&amp;"+"),FIND("-",Tasks[[#This Row],[_Pred1Text]]&amp;"-"))-1)),""))</f>
        <v/>
      </c>
      <c r="CP19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5" s="42" t="str">
        <f aca="false">IF(Tasks[[#This Row],[_Pred1Text]]="","",TRIM(MID(SUBSTITUTE(SUBSTITUTE(SUBSTITUTE(UPPER(Tasks[[#This Row],[_Predecessors]]),";",",")," ",""),",",REPT(" ",99)),100,99)))</f>
        <v/>
      </c>
      <c r="CS195" s="42" t="str">
        <f aca="false">IF(Tasks[[#This Row],[_Pred2Text]]="","",IFERROR(VALUE(LEFT(Tasks[[#This Row],[_Pred2Text]],MIN(FIND("F",Tasks[[#This Row],[_Pred2Text]]&amp;"F"),FIND("S",Tasks[[#This Row],[_Pred2Text]]&amp;"S"),FIND("+",Tasks[[#This Row],[_Pred2Text]]&amp;"+"),FIND("-",Tasks[[#This Row],[_Pred2Text]]&amp;"-"))-1)),""))</f>
        <v/>
      </c>
      <c r="CT19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5" s="42" t="str">
        <f aca="false">IF(Tasks[[#This Row],[_Pred2Text]]="","",TRIM(MID(SUBSTITUTE(SUBSTITUTE(SUBSTITUTE(UPPER(Tasks[[#This Row],[_Predecessors]]),";",",")," ",""),",",REPT(" ",99)),199,99)))</f>
        <v/>
      </c>
      <c r="CW195" s="42" t="str">
        <f aca="false">IF(Tasks[[#This Row],[_Pred3Text]]="","",IFERROR(VALUE(LEFT(Tasks[[#This Row],[_Pred3Text]],MIN(FIND("F",Tasks[[#This Row],[_Pred3Text]]&amp;"F"),FIND("S",Tasks[[#This Row],[_Pred3Text]]&amp;"S"),FIND("+",Tasks[[#This Row],[_Pred3Text]]&amp;"+"),FIND("-",Tasks[[#This Row],[_Pred3Text]]&amp;"-"))-1)),""))</f>
        <v/>
      </c>
      <c r="CX19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5" s="42" t="str">
        <f aca="false">IF(Tasks[[#This Row],[_Pred3Text]]="","",TRIM(MID(SUBSTITUTE(SUBSTITUTE(SUBSTITUTE(UPPER(Tasks[[#This Row],[_Predecessors]]),";",",")," ",""),",",REPT(" ",99)),298,99)))</f>
        <v/>
      </c>
      <c r="DA195" s="42" t="str">
        <f aca="false">IF(Tasks[[#This Row],[_Pred4Text]]="","",IFERROR(VALUE(LEFT(Tasks[[#This Row],[_Pred4Text]],MIN(FIND("F",Tasks[[#This Row],[_Pred4Text]]&amp;"F"),FIND("S",Tasks[[#This Row],[_Pred4Text]]&amp;"S"),FIND("+",Tasks[[#This Row],[_Pred4Text]]&amp;"+"),FIND("-",Tasks[[#This Row],[_Pred4Text]]&amp;"-"))-1)),""))</f>
        <v/>
      </c>
      <c r="DB19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5" s="42" t="str">
        <f aca="false">IF(OR(Tasks[[#This Row],[Task Name]]="",Tasks[[#This Row],[_Resources]]=""),"",TRIM(MID(SUBSTITUTE(Tasks[[#This Row],[_Resources]],",",REPT(" ",99)),1,99)))</f>
        <v/>
      </c>
      <c r="DE195" s="42" t="str">
        <f aca="false">IF(Tasks[[#This Row],[_Res1Text]]="","",TRIM(MID(SUBSTITUTE(Tasks[[#This Row],[_Resources]],",",REPT(" ",99)),100,99)))</f>
        <v/>
      </c>
      <c r="DF195" s="42" t="str">
        <f aca="false">IF(Tasks[[#This Row],[_Res2Text]]="","",TRIM(MID(SUBSTITUTE(Tasks[[#This Row],[_Resources]],",",REPT(" ",99)),199,99)))</f>
        <v/>
      </c>
      <c r="DG195" s="42" t="str">
        <f aca="false">IF(Tasks[[#This Row],[_Res3Text]]="","",TRIM(MID(SUBSTITUTE(Tasks[[#This Row],[_Resources]],",",REPT(" ",99)),298,99)))</f>
        <v/>
      </c>
      <c r="DH195" s="42" t="n">
        <f aca="false">IF(Tasks[[#This Row],[_Res1Text]]="",0,IFERROR(MATCH(TRIM(LEFT(Tasks[[#This Row],[_Res1Text]],FIND("[",Tasks[[#This Row],[_Res1Text]]&amp;"[")-1)),res_Name,0),IFERROR(MATCH(TRIM(LEFT(Tasks[[#This Row],[_Res1Text]],FIND("[",Tasks[[#This Row],[_Res1Text]]&amp;"[")-1)),res_Initials,0),0)))</f>
        <v>0</v>
      </c>
      <c r="DI195" s="42" t="n">
        <f aca="false">IF(Tasks[[#This Row],[_Res2Text]]="",0,IFERROR(MATCH(TRIM(LEFT(Tasks[[#This Row],[_Res2Text]],FIND("[",Tasks[[#This Row],[_Res2Text]]&amp;"[")-1)),res_Name,0),IFERROR(MATCH(TRIM(LEFT(Tasks[[#This Row],[_Res2Text]],FIND("[",Tasks[[#This Row],[_Res2Text]]&amp;"[")-1)),res_Initials,0),0)))</f>
        <v>0</v>
      </c>
      <c r="DJ195" s="42" t="n">
        <f aca="false">IF(Tasks[[#This Row],[_Res3Text]]="",0,IFERROR(MATCH(TRIM(LEFT(Tasks[[#This Row],[_Res3Text]],FIND("[",Tasks[[#This Row],[_Res3Text]]&amp;"[")-1)),res_Name,0),IFERROR(MATCH(TRIM(LEFT(Tasks[[#This Row],[_Res3Text]],FIND("[",Tasks[[#This Row],[_Res3Text]]&amp;"[")-1)),res_Initials,0),0)))</f>
        <v>0</v>
      </c>
      <c r="DK195" s="42" t="n">
        <f aca="false">IF(Tasks[[#This Row],[_Res4Text]]="",0,IFERROR(MATCH(TRIM(LEFT(Tasks[[#This Row],[_Res4Text]],FIND("[",Tasks[[#This Row],[_Res4Text]]&amp;"[")-1)),res_Name,0),IFERROR(MATCH(TRIM(LEFT(Tasks[[#This Row],[_Res4Text]],FIND("[",Tasks[[#This Row],[_Res4Text]]&amp;"[")-1)),res_Initials,0),0)))</f>
        <v>0</v>
      </c>
      <c r="DL195" s="42" t="str">
        <f aca="false">IF(Tasks[[#This Row],[_Res1Text]]="","",IF(Tasks[[#This Row],[_Res1Row]]&gt;0,INDEX(res_Name,Tasks[[#This Row],[_Res1Row]]),TRIM(LEFT(Tasks[[#This Row],[_Res1Text]],FIND("[",Tasks[[#This Row],[_Res1Text]]&amp;"[")-1))))</f>
        <v/>
      </c>
      <c r="DM19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5" s="42" t="n">
        <f aca="false">IF(NOT(Tasks[[#This Row],[_IsLeaf]]=1),0,(Tasks[[#This Row],[_Resource1]]&lt;&gt;"")+(Tasks[[#This Row],[_Res2]]&lt;&gt;"")+(Tasks[[#This Row],[_Res3]]&lt;&gt;"")+(Tasks[[#This Row],[_Res4]]&lt;&gt;""))</f>
        <v>0</v>
      </c>
      <c r="DO195" s="42" t="str">
        <f aca="false">IF(Tasks[[#This Row],[_Res2Text]]="","",IF(Tasks[[#This Row],[_Res2Row]]&gt;0,INDEX(res_Name,Tasks[[#This Row],[_Res2Row]]),TRIM(LEFT(Tasks[[#This Row],[_Res2Text]],FIND("[",Tasks[[#This Row],[_Res2Text]]&amp;"[")-1))))</f>
        <v/>
      </c>
      <c r="DP19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5" s="42" t="n">
        <f aca="false">IF(OR(NOT(Tasks[[#This Row],[_IsLeaf]]=1),Tasks[[#This Row],[_Res2Row]]=0),0,N(Tasks[[#This Row],[_Days]])*HoursPerDay*IF(Tasks[[#This Row],[_Res2Units]]="",DefaultUnits,Tasks[[#This Row],[_Res2Units]]))</f>
        <v>0</v>
      </c>
      <c r="DR195" s="42" t="n">
        <f aca="false">IF(AND(AND(Tasks[[#This Row],[_IsLeaf]]=1,Tasks[[#This Row],[_LeafTotalWork]]&gt;0),Tasks[[#This Row],[_Res2Work]]&gt;0),Tasks[[#This Row],[_Res2Work]]/(Tasks[[#This Row],[_FinishWorkday]]-Tasks[[#This Row],[_StartWorkday]]+1),0)</f>
        <v>0</v>
      </c>
      <c r="DS195" s="42" t="n">
        <f aca="false">Tasks[[#This Row],[_Res2WorkPerWD]]*MAX(0,Tasks[[#This Row],[_StartWorkday]]-1)</f>
        <v>0</v>
      </c>
      <c r="DT195" s="42" t="n">
        <f aca="false">Tasks[[#This Row],[_Res2Work]]*Tasks[[#This Row],[_LeafProgress]]</f>
        <v>0</v>
      </c>
      <c r="DU195" s="42" t="str">
        <f aca="false">IF(Tasks[[#This Row],[_Res3Text]]="","",IF(Tasks[[#This Row],[_Res3Row]]&gt;0,INDEX(res_Name,Tasks[[#This Row],[_Res3Row]]),TRIM(LEFT(Tasks[[#This Row],[_Res3Text]],FIND("[",Tasks[[#This Row],[_Res3Text]]&amp;"[")-1))))</f>
        <v/>
      </c>
      <c r="DV19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5" s="42" t="n">
        <f aca="false">IF(OR(NOT(Tasks[[#This Row],[_IsLeaf]]=1),Tasks[[#This Row],[_Res3Row]]=0),0,N(Tasks[[#This Row],[_Days]])*HoursPerDay*IF(Tasks[[#This Row],[_Res3Units]]="",DefaultUnits,Tasks[[#This Row],[_Res3Units]]))</f>
        <v>0</v>
      </c>
      <c r="DX195" s="42" t="n">
        <f aca="false">IF(AND(AND(Tasks[[#This Row],[_IsLeaf]]=1,Tasks[[#This Row],[_LeafTotalWork]]&gt;0),Tasks[[#This Row],[_Res3Work]]&gt;0),Tasks[[#This Row],[_Res3Work]]/(Tasks[[#This Row],[_FinishWorkday]]-Tasks[[#This Row],[_StartWorkday]]+1),0)</f>
        <v>0</v>
      </c>
      <c r="DY195" s="42" t="n">
        <f aca="false">Tasks[[#This Row],[_Res3WorkPerWD]]*MAX(0,Tasks[[#This Row],[_StartWorkday]]-1)</f>
        <v>0</v>
      </c>
      <c r="DZ195" s="42" t="n">
        <f aca="false">Tasks[[#This Row],[_Res3Work]]*Tasks[[#This Row],[_LeafProgress]]</f>
        <v>0</v>
      </c>
      <c r="EA195" s="42" t="str">
        <f aca="false">IF(Tasks[[#This Row],[_Res4Text]]="","",IF(Tasks[[#This Row],[_Res4Row]]&gt;0,INDEX(res_Name,Tasks[[#This Row],[_Res4Row]]),TRIM(LEFT(Tasks[[#This Row],[_Res4Text]],FIND("[",Tasks[[#This Row],[_Res4Text]]&amp;"[")-1))))</f>
        <v/>
      </c>
      <c r="EB19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5" s="42" t="n">
        <f aca="false">IF(OR(NOT(Tasks[[#This Row],[_IsLeaf]]=1),Tasks[[#This Row],[_Res4Row]]=0),0,N(Tasks[[#This Row],[_Days]])*HoursPerDay*IF(Tasks[[#This Row],[_Res4Units]]="",DefaultUnits,Tasks[[#This Row],[_Res4Units]]))</f>
        <v>0</v>
      </c>
      <c r="ED195" s="42" t="n">
        <f aca="false">IF(AND(AND(Tasks[[#This Row],[_IsLeaf]]=1,Tasks[[#This Row],[_LeafTotalWork]]&gt;0),Tasks[[#This Row],[_Res4Work]]&gt;0),Tasks[[#This Row],[_Res4Work]]/(Tasks[[#This Row],[_FinishWorkday]]-Tasks[[#This Row],[_StartWorkday]]+1),0)</f>
        <v>0</v>
      </c>
      <c r="EE195" s="42" t="n">
        <f aca="false">Tasks[[#This Row],[_Res4WorkPerWD]]*MAX(0,Tasks[[#This Row],[_StartWorkday]]-1)</f>
        <v>0</v>
      </c>
      <c r="EF195" s="42" t="n">
        <f aca="false">Tasks[[#This Row],[_Res4Work]]*Tasks[[#This Row],[_LeafProgress]]</f>
        <v>0</v>
      </c>
      <c r="EG195" s="42" t="n">
        <f aca="false">IF(ISNUMBER(Tasks[[#This Row],[% Complete]]),Tasks[[#This Row],[% Complete]],IF(Tasks[[#This Row],[Stage]]="",0,IFERROR(INDEX(stg_Pct,MATCH(Tasks[[#This Row],[Stage]],stg_Name,0)),0)))</f>
        <v>0</v>
      </c>
      <c r="EH195" s="42" t="n">
        <f aca="false">IF(NOT(Tasks[[#This Row],[_IsLeaf]]=1),0,IF(N(Tasks[[#This Row],[Actual Finish]])&gt;0,1,MIN(1,Tasks[[#This Row],[_Pct]])))</f>
        <v>0</v>
      </c>
      <c r="EI195" s="42" t="n">
        <f aca="false">IF(OR(NOT(Tasks[[#This Row],[_IsLeaf]]=1),Tasks[[#This Row],[_Res1Row]]=0),0,N(Tasks[[#This Row],[_Days]])*HoursPerDay*IF(Tasks[[#This Row],[_Units1]]="",DefaultUnits,Tasks[[#This Row],[_Units1]]))</f>
        <v>0</v>
      </c>
      <c r="EJ195" s="42" t="n">
        <f aca="false">Tasks[[#This Row],[_LeafWork]]+Tasks[[#This Row],[_Res2Work]]+Tasks[[#This Row],[_Res3Work]]+Tasks[[#This Row],[_Res4Work]]</f>
        <v>0</v>
      </c>
      <c r="EK19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5" s="42" t="n">
        <f aca="false">IF(NOT(Tasks[[#This Row],[_IsLeaf]]=1),0,MAX(_xlfn.MAXIFS(Tasks[_Row],Tasks[_Pred1UID],Tasks[[#This Row],[UID]]),_xlfn.MAXIFS(Tasks[_Row],Tasks[_Pred2UID],Tasks[[#This Row],[UID]]),_xlfn.MAXIFS(Tasks[_Row],Tasks[_Pred3UID],Tasks[[#This Row],[UID]]),_xlfn.MAXIFS(Tasks[_Row],Tasks[_Pred4UID],Tasks[[#This Row],[UID]])))</f>
        <v>0</v>
      </c>
      <c r="ET19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5" s="89" t="str">
        <f aca="false">IF(NOT(Tasks[[#This Row],[_IsLeaf]]=1),"",IF(N(Tasks[[#This Row],[_Days]])&lt;=0,Tasks[[#This Row],[_LeafLateFinish]],WORKDAY.INTL(Tasks[[#This Row],[_LeafLateFinish]],-(Tasks[[#This Row],[_Days]]-1),WorkWeek,Holidays)))</f>
        <v/>
      </c>
      <c r="EW19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5" s="88" t="b">
        <f aca="false">AND(Tasks[[#This Row],[_IsLeaf]]=1,Tasks[[#This Row],[_LeafProgress]]&lt;1,N(Tasks[[#This Row],[_LeafTotalSlack]])&lt;=CriticalSlackDays)</f>
        <v>0</v>
      </c>
      <c r="EY195" s="42" t="n">
        <f aca="false">IF(AND(Tasks[[#This Row],[_IsLeaf]]=1,Tasks[[#This Row],[_ConstraintCode]]=1,Tasks[[#This Row],[Mode]]&lt;&gt;"Manual",N(Tasks[[#This Row],[Actual Start]])=0),MAX(0,N(Tasks[[#This Row],[Free Slack]])),0)</f>
        <v>0</v>
      </c>
      <c r="EZ195" s="89" t="str">
        <f aca="false">IF(NOT(Tasks[[#This Row],[_IsLeaf]]=1),"",IF(Tasks[[#This Row],[_AlapShift]]=0,Tasks[[#This Row],[_LeafCalcStart]],WORKDAY.INTL(Tasks[[#This Row],[_LeafCalcStart]],Tasks[[#This Row],[_AlapShift]],WorkWeek,Holidays)))</f>
        <v/>
      </c>
      <c r="FA195" s="89" t="str">
        <f aca="false">IF(NOT(Tasks[[#This Row],[_IsLeaf]]=1),"",IF(Tasks[[#This Row],[_AlapShift]]=0,Tasks[[#This Row],[_LeafCalcFinish]],WORKDAY.INTL(Tasks[[#This Row],[_LeafCalcFinish]],Tasks[[#This Row],[_AlapShift]],WorkWeek,Holidays)))</f>
        <v/>
      </c>
      <c r="FB195" s="89" t="str">
        <f aca="false">IF(NOT(Tasks[[#This Row],[_IsLeaf]]=1),"",IF(Tasks[[#This Row],[_AlapShift]]=0,Tasks[[#This Row],[_LeafFcstStart]],WORKDAY.INTL(Tasks[[#This Row],[_LeafFcstStart]],Tasks[[#This Row],[_AlapShift]],WorkWeek,Holidays)))</f>
        <v/>
      </c>
      <c r="FC195" s="89" t="str">
        <f aca="false">IF(NOT(Tasks[[#This Row],[_IsLeaf]]=1),"",IF(Tasks[[#This Row],[_AlapShift]]=0,Tasks[[#This Row],[_LeafFcstFinish]],WORKDAY.INTL(Tasks[[#This Row],[_LeafFcstFinish]],Tasks[[#This Row],[_AlapShift]],WorkWeek,Holidays)))</f>
        <v/>
      </c>
      <c r="FD195" s="89" t="str">
        <f aca="false">IF(Tasks[[#This Row],[Task Name]]="","",IF(Tasks[[#This Row],[_IsSummary]],MIN(INDEX(Tasks[_ShownCalcStart],Tasks[[#This Row],[_Row]]+1):INDEX(Tasks[_ShownCalcStart],Tasks[[#This Row],[_Row]]+Tasks[[#This Row],[_Descendants]])),Tasks[[#This Row],[_ShownCalcStart]]))</f>
        <v/>
      </c>
      <c r="FE195" s="89" t="str">
        <f aca="false">IF(Tasks[[#This Row],[Task Name]]="","",IF(Tasks[[#This Row],[_IsSummary]],MAX(INDEX(Tasks[_ShownCalcFinish],Tasks[[#This Row],[_Row]]+1):INDEX(Tasks[_ShownCalcFinish],Tasks[[#This Row],[_Row]]+Tasks[[#This Row],[_Descendants]])),Tasks[[#This Row],[_ShownCalcFinish]]))</f>
        <v/>
      </c>
      <c r="FF19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5" s="42" t="n">
        <f aca="false">IF(AND(Tasks[[#This Row],[_IsLeaf]]=1,Tasks[[#This Row],[_LeafTotalWork]]&gt;0),NETWORKDAYS.INTL(ProjectStart,Tasks[[#This Row],[_ShownFcstStart]],WorkWeek,Holidays),0)</f>
        <v>0</v>
      </c>
      <c r="FS195" s="42" t="n">
        <f aca="false">IF(AND(Tasks[[#This Row],[_IsLeaf]]=1,Tasks[[#This Row],[_LeafTotalWork]]&gt;0),MAX(Tasks[[#This Row],[_StartWorkday]],NETWORKDAYS.INTL(ProjectStart,Tasks[[#This Row],[_ShownFcstFinish]],WorkWeek,Holidays)),0)</f>
        <v>0</v>
      </c>
      <c r="FT195" s="42" t="n">
        <f aca="false">IF(AND(Tasks[[#This Row],[_IsLeaf]]=1,Tasks[[#This Row],[_LeafTotalWork]]&gt;0),Tasks[[#This Row],[_LeafWork]]/(Tasks[[#This Row],[_FinishWorkday]]-Tasks[[#This Row],[_StartWorkday]]+1),0)</f>
        <v>0</v>
      </c>
      <c r="FU195" s="42" t="n">
        <f aca="false">Tasks[[#This Row],[_WorkPerWorkday]]*(Tasks[[#This Row],[_StartWorkday]]-1)</f>
        <v>-0</v>
      </c>
      <c r="FV195" s="42" t="n">
        <f aca="false">IF(Tasks[[#This Row],[_IsLeaf]]=1,MAX(N(Tasks[[#This Row],[_Days]]),0.1),0)</f>
        <v>0</v>
      </c>
      <c r="FW195" s="42" t="n">
        <f aca="false">Tasks[[#This Row],[_WeightDur]]*Tasks[[#This Row],[_LeafProgress]]</f>
        <v>0</v>
      </c>
      <c r="FX195" s="42" t="n">
        <f aca="false">Tasks[[#This Row],[_WeightDur]]*Tasks[[#This Row],[_PlannedPct]]</f>
        <v>0</v>
      </c>
      <c r="FY19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5" s="42" t="str">
        <f aca="false">IF(AND(Tasks[[#This Row],[_IsLeaf]]=1,N(Tasks[[#This Row],[_Days]])=0,Tasks[[#This Row],[_LeafProgress]]&lt;1),Tasks[[#This Row],[_ShownFcstFinish]]+Tasks[[#This Row],[_Row]]/100000,"")</f>
        <v/>
      </c>
      <c r="GA19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5" s="42" t="str">
        <f aca="false">IF(Tasks[[#This Row],[Task Name]]="","",LEFT(Tasks[[#This Row],[WBS]],FIND(".",Tasks[[#This Row],[WBS]]&amp;".")-1))</f>
        <v/>
      </c>
      <c r="GC195" s="42" t="str">
        <f aca="false">IF(AND(Tasks[[#This Row],[Task Name]]&lt;&gt;"",Tasks[[#This Row],[_Level]]=1),Tasks[[#This Row],[_Row]],"")</f>
        <v/>
      </c>
      <c r="GD195" s="42" t="str">
        <f aca="false">IF(AND(Tasks[[#This Row],[_IsLeaf]]=1,N(Tasks[[#This Row],[_Days]])=0),Tasks[[#This Row],[Planned Finish]]+Tasks[[#This Row],[_Row]]/100000,"")</f>
        <v/>
      </c>
      <c r="GE195" s="42" t="str">
        <f aca="false">IF(AND(Tasks[[#This Row],[_IsLeaf]]=1,Tasks[[#This Row],[_LeafProgress]]&lt;1,OR(N(Tasks[[#This Row],[Finish Var]])&gt;0,Tasks[[#This Row],[Status]]="Late Start")),MAX(0,Tasks[[#This Row],[Finish Var]])+1-Tasks[[#This Row],[_Row]]/1000000,"")</f>
        <v/>
      </c>
      <c r="GF195" s="42" t="str">
        <f aca="false">IF(AND(Tasks[[#This Row],[_IsLeaf]]=1,N(Tasks[[#This Row],[Actual Start]])=0,Tasks[[#This Row],[_ShownFcstStart]]&gt;=StatusDate,Tasks[[#This Row],[_ShownFcstStart]]&lt;=LookaheadEnd),Tasks[[#This Row],[_ShownFcstStart]]+Tasks[[#This Row],[_Row]]/100000,"")</f>
        <v/>
      </c>
      <c r="GG195" s="42" t="str">
        <f aca="false">IF(AND(Tasks[[#This Row],[_IsLeaf]]=1,Tasks[[#This Row],[_LeafProgress]]&lt;1,Tasks[[#This Row],[_ShownFcstFinish]]&gt;=StatusDate,Tasks[[#This Row],[_ShownFcstFinish]]&lt;=LookaheadEnd),Tasks[[#This Row],[_ShownFcstFinish]]+Tasks[[#This Row],[_Row]]/100000,"")</f>
        <v/>
      </c>
      <c r="GH195" s="42" t="str">
        <f aca="false">IF(Tasks[[#This Row],[_LeafCritical]],Tasks[[#This Row],[_ShownFcstStart]]+Tasks[[#This Row],[_Row]]/100000,"")</f>
        <v/>
      </c>
      <c r="GI195" s="42" t="n">
        <f aca="false">Tasks[[#This Row],[_LeafWork]]*Tasks[[#This Row],[_LeafProgress]]</f>
        <v>0</v>
      </c>
      <c r="GJ195" s="89" t="str">
        <f aca="false">IF(AND(Tasks[[#This Row],[_IsLeaf]]=1,Tasks[[#This Row],[_LeafProgress]]&gt;=1),IF(N(Tasks[[#This Row],[Actual Finish]])&gt;0,Tasks[[#This Row],[Actual Finish]],Tasks[[#This Row],[_ShownFcstFinish]]),"")</f>
        <v/>
      </c>
      <c r="GK195" s="42" t="n">
        <f aca="false">IF(Tasks[[#This Row],[_IsLeaf]]=1,N(Tasks[[#This Row],[Story Points]]),0)</f>
        <v>0</v>
      </c>
      <c r="GL195" s="42" t="str">
        <f aca="false">""</f>
        <v/>
      </c>
      <c r="GM195" s="88" t="b">
        <f aca="false">IF(Tasks[[#This Row],[Task Name]]="",FALSE(),AND(Tasks[[#This Row],[_IsLeaf]]=1,N(Tasks[[#This Row],[_Days]])=0))</f>
        <v>0</v>
      </c>
      <c r="GN195" s="89" t="n">
        <f aca="false">IF(Tasks[[#This Row],[Task Name]]="",0,IF(AND(Tasks[[#This Row],[_IsLeaf]]=1,NOT(Tasks[[#This Row],[_IsMilestone]]),N(Tasks[[#This Row],[Progress]])&gt;0),Tasks[[#This Row],[Start]],0))</f>
        <v>0</v>
      </c>
      <c r="GO195" s="89" t="n">
        <f aca="false">IF(Tasks[[#This Row],[_DoneFrom]]=0,0,IF(Tasks[[#This Row],[Progress]]&gt;=1,Tasks[[#This Row],[Finish]],MAX(Tasks[[#This Row],[_DoneFrom]],Tasks[[#This Row],[Start]]+ROUND((Tasks[[#This Row],[Finish]]-Tasks[[#This Row],[Start]]+1)*Tasks[[#This Row],[Progress]],0)-1)))</f>
        <v>0</v>
      </c>
      <c r="GP195" s="89" t="n">
        <f aca="false">IF(Tasks[[#This Row],[Task Name]]="",0,IF(OR(NOT(Tasks[[#This Row],[_IsLeaf]]=1),Tasks[[#This Row],[_IsMilestone]],N(Tasks[[#This Row],[Progress]])&gt;=1),0,IF(Tasks[[#This Row],[_DoneTo]]&gt;0,Tasks[[#This Row],[_DoneTo]]+1,Tasks[[#This Row],[Start]])))</f>
        <v>0</v>
      </c>
      <c r="GQ195" s="89" t="n">
        <f aca="false">IF(Tasks[[#This Row],[_RemFrom]]=0,0,Tasks[[#This Row],[Finish]])</f>
        <v>0</v>
      </c>
      <c r="GR195" s="88" t="b">
        <f aca="false">IF(Tasks[[#This Row],[Task Name]]="",FALSE(),OR(NOT(BaselineSet),N(Tasks[[#This Row],[Baseline Start]])&gt;0))</f>
        <v>0</v>
      </c>
      <c r="GS19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5" s="90" t="str">
        <f aca="false">IF(Tasks[[#This Row],[_IsLeaf]]=1,Tasks[[#This Row],[_Row]],"")</f>
        <v/>
      </c>
      <c r="GW195" s="90" t="str">
        <f aca="false">IFERROR(INDEX(Tasks[UID],SMALL(Tasks[_PickKey],Tasks[[#This Row],[_Row]]))&amp;" "&amp;INDEX(Tasks[Task Name],SMALL(Tasks[_PickKey],Tasks[[#This Row],[_Row]])),"")</f>
        <v/>
      </c>
      <c r="GX195" s="42" t="str">
        <f aca="false">IF(Tasks[[#This Row],[Task Name]]="","",IF(Tasks[[#This Row],[_IsSummary]],NETWORKDAYS.INTL(Tasks[[#This Row],[Start]],Tasks[[#This Row],[Finish]],WorkWeek,Holidays),N(Tasks[[#This Row],[_Days]])))</f>
        <v/>
      </c>
    </row>
    <row r="196" customFormat="false" ht="15" hidden="false" customHeight="false" outlineLevel="0" collapsed="false">
      <c r="A196" s="21" t="str">
        <f aca="false">IF(Tasks[[#This Row],[Task Name]]="","",COUNTA(Tasks[[#Headers],[Task Name]]:Tasks[[#This Row],[Task Name]])-1)</f>
        <v/>
      </c>
      <c r="B196" s="22" t="n">
        <v>204</v>
      </c>
      <c r="C196" s="22"/>
      <c r="D196" s="23"/>
      <c r="E196" s="22"/>
      <c r="F196" s="23"/>
      <c r="G196" s="22"/>
      <c r="H196" s="22"/>
      <c r="I196" s="23"/>
      <c r="J196" s="22"/>
      <c r="K196" s="22"/>
      <c r="L196" s="23"/>
      <c r="M196" s="22"/>
      <c r="N196" s="22"/>
      <c r="O196" s="23"/>
      <c r="P196" s="22"/>
      <c r="Q196" s="22"/>
      <c r="R196" s="23"/>
      <c r="S196" s="23"/>
      <c r="T196" s="83"/>
      <c r="U196" s="23"/>
      <c r="V196" s="83"/>
      <c r="W196" s="23"/>
      <c r="X196" s="83"/>
      <c r="Y196" s="23"/>
      <c r="Z196" s="83"/>
      <c r="AA196" s="23"/>
      <c r="AB196" s="23"/>
      <c r="AC196" s="7"/>
      <c r="AD196" s="7"/>
      <c r="AE196" s="62" t="str">
        <f aca="false">IF(Tasks[[#This Row],[Task Name]]="","",IF(Tasks[[#This Row],[_IsSummary]],MIN(INDEX(Tasks[_ShownFcstStart],Tasks[[#This Row],[_Row]]+1):INDEX(Tasks[_ShownFcstStart],Tasks[[#This Row],[_Row]]+Tasks[[#This Row],[_Descendants]])),Tasks[[#This Row],[_ShownFcstStart]]))</f>
        <v/>
      </c>
      <c r="AF196" s="62" t="str">
        <f aca="false">IF(Tasks[[#This Row],[Task Name]]="","",IF(Tasks[[#This Row],[_IsSummary]],MAX(INDEX(Tasks[_ShownFcstFinish],Tasks[[#This Row],[_Row]]+1):INDEX(Tasks[_ShownFcstFinish],Tasks[[#This Row],[_Row]]+Tasks[[#This Row],[_Descendants]])),Tasks[[#This Row],[_ShownFcstFinish]]))</f>
        <v/>
      </c>
      <c r="AG196" s="21" t="str">
        <f aca="false">""</f>
        <v/>
      </c>
      <c r="AH196" s="23"/>
      <c r="AI196"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6" s="7"/>
      <c r="AK196" s="22"/>
      <c r="AL196" s="23"/>
      <c r="AM196" s="7"/>
      <c r="AN196" s="46" t="str">
        <f aca="false">IF(Tasks[[#This Row],[Task Name]]="","",IF(Tasks[[#This Row],[Finish]]&gt;=Tasks[[#This Row],[Planned Finish]],NETWORKDAYS.INTL(Tasks[[#This Row],[Planned Finish]],Tasks[[#This Row],[Finish]],WorkWeek,Holidays)-1,1-NETWORKDAYS.INTL(Tasks[[#This Row],[Finish]],Tasks[[#This Row],[Planned Finish]],WorkWeek,Holidays)))</f>
        <v/>
      </c>
      <c r="AO196" s="21" t="str">
        <f aca="false">IF(Tasks[[#This Row],[Task Name]]="","",IF(Tasks[[#This Row],[Progress]]&gt;=1,"Complete",IF(OR(N(Tasks[[#This Row],[Actual Start]])&gt;0,Tasks[[#This Row],[Progress]]&gt;0),IF(Tasks[[#This Row],[Finish Var]]&gt;0,"Behind","In Progress"),IF(Tasks[[#This Row],[Planned Start]]&lt;StatusDate,"Late Start","Not Started"))))</f>
        <v/>
      </c>
      <c r="AP196" s="21" t="str">
        <f aca="false">IF(Tasks[[#This Row],[Task Name]]="","",IF(IF(Tasks[[#This Row],[_IsSummary]],COUNTIF(INDEX(Tasks[_LeafCritical],Tasks[[#This Row],[_Row]]+1):INDEX(Tasks[_LeafCritical],Tasks[[#This Row],[_Row]]+Tasks[[#This Row],[_Descendants]]),TRUE())&gt;0,Tasks[[#This Row],[_LeafCritical]]),"Yes",""))</f>
        <v/>
      </c>
      <c r="AQ196" s="62" t="str">
        <f aca="false">IF(Tasks[[#This Row],[Task Name]]="","",IF(N(Tasks[[#This Row],[Baseline Start]])&gt;0,Tasks[[#This Row],[Baseline Start]],Tasks[[#This Row],[_CalcStart]]))</f>
        <v/>
      </c>
      <c r="AR196" s="62" t="str">
        <f aca="false">IF(Tasks[[#This Row],[Task Name]]="","",IF(N(Tasks[[#This Row],[Baseline Finish]])&gt;0,Tasks[[#This Row],[Baseline Finish]],Tasks[[#This Row],[_CalcFinish]]))</f>
        <v/>
      </c>
      <c r="AS196" s="46" t="str">
        <f aca="false">IF(Tasks[[#This Row],[Task Name]]="","",IF(Tasks[[#This Row],[Start]]&gt;=Tasks[[#This Row],[Planned Start]],NETWORKDAYS.INTL(Tasks[[#This Row],[Planned Start]],Tasks[[#This Row],[Start]],WorkWeek,Holidays)-1,1-NETWORKDAYS.INTL(Tasks[[#This Row],[Start]],Tasks[[#This Row],[Planned Start]],WorkWeek,Holidays)))</f>
        <v/>
      </c>
      <c r="AT196" s="62" t="str">
        <f aca="false">IF(Tasks[[#This Row],[Task Name]]="","",IF(Tasks[[#This Row],[_IsSummary]],MIN(INDEX(Tasks[_LeafLateStart],Tasks[[#This Row],[_Row]]+1):INDEX(Tasks[_LeafLateStart],Tasks[[#This Row],[_Row]]+Tasks[[#This Row],[_Descendants]])),Tasks[[#This Row],[_LeafLateStart]]))</f>
        <v/>
      </c>
      <c r="AU196" s="62" t="str">
        <f aca="false">IF(Tasks[[#This Row],[Task Name]]="","",IF(Tasks[[#This Row],[_IsSummary]],MAX(INDEX(Tasks[_LeafLateFinish],Tasks[[#This Row],[_Row]]+1):INDEX(Tasks[_LeafLateFinish],Tasks[[#This Row],[_Row]]+Tasks[[#This Row],[_Descendants]])),Tasks[[#This Row],[_LeafLateFinish]]))</f>
        <v/>
      </c>
      <c r="AV196" s="46" t="str">
        <f aca="false">IF(Tasks[[#This Row],[Task Name]]="","",IF(Tasks[[#This Row],[_IsSummary]],MIN(INDEX(Tasks[_LeafTotalSlack],Tasks[[#This Row],[_Row]]+1):INDEX(Tasks[_LeafTotalSlack],Tasks[[#This Row],[_Row]]+Tasks[[#This Row],[_Descendants]])),Tasks[[#This Row],[_LeafTotalSlack]]))</f>
        <v/>
      </c>
      <c r="AW196"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4"/>
      <c r="BA196"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t="str">
        <f aca="false">IF(Tasks[[#This Row],[Task Name]]="","",IF(Tasks[[#This Row],[_Level]]&lt;=OutlineShowLevel,"Yes","No"))</f>
        <v/>
      </c>
      <c r="BE196" s="85" t="str">
        <f aca="false">IF(Tasks[[#This Row],[Task Name]]="","",IF(Tasks[[#This Row],[_IsSummary]],SUM(INDEX(Tasks[_LeafTotalWork],Tasks[[#This Row],[_Row]]+1):INDEX(Tasks[_LeafTotalWork],Tasks[[#This Row],[_Row]]+Tasks[[#This Row],[_Descendants]])),Tasks[[#This Row],[_LeafTotalWork]]))</f>
        <v/>
      </c>
      <c r="BF196" s="23"/>
      <c r="BG196"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t="str">
        <f aca="false">""</f>
        <v/>
      </c>
      <c r="BI196" s="86"/>
      <c r="BJ196" s="22"/>
      <c r="BK196" s="46" t="str">
        <f aca="false">IF(OR(Tasks[[#This Row],[Task Name]]="",Tasks[[#This Row],[Baseline Duration]]=""),"",Tasks[[#This Row],[_SpanDays]]-N(Tasks[[#This Row],[Baseline Duration]]))</f>
        <v/>
      </c>
      <c r="BL196" s="85" t="str">
        <f aca="false">IF(OR(Tasks[[#This Row],[Task Name]]="",Tasks[[#This Row],[Baseline Work]]=""),"",Tasks[[#This Row],[Work]]-N(Tasks[[#This Row],[Baseline Work]]))</f>
        <v/>
      </c>
      <c r="BM196" s="62" t="str">
        <f aca="false">IF(Tasks[[#This Row],[Task Name]]="","",IF(OR(TakeBaseline="Yes",N(Tasks[[#This Row],[Baseline Start]])=0),Tasks[[#This Row],[Start]],Tasks[[#This Row],[Baseline Start]]))</f>
        <v/>
      </c>
      <c r="BN196" s="62" t="str">
        <f aca="false">IF(Tasks[[#This Row],[Task Name]]="","",IF(OR(TakeBaseline="Yes",N(Tasks[[#This Row],[Baseline Finish]])=0),Tasks[[#This Row],[Finish]],Tasks[[#This Row],[Baseline Finish]]))</f>
        <v/>
      </c>
      <c r="BO196" s="21" t="str">
        <f aca="false">IF(Tasks[[#This Row],[Task Name]]="","",IF(OR(TakeBaseline="Yes",N(Tasks[[#This Row],[Baseline Duration]])=0),Tasks[[#This Row],[_SpanDays]],Tasks[[#This Row],[Baseline Duration]]))</f>
        <v/>
      </c>
      <c r="BP196" s="85" t="str">
        <f aca="false">IF(Tasks[[#This Row],[Task Name]]="","",IF(OR(TakeBaseline="Yes",N(Tasks[[#This Row],[Baseline Work]])=0),Tasks[[#This Row],[Work]],Tasks[[#This Row],[Baseline Work]]))</f>
        <v/>
      </c>
      <c r="BQ196" s="7"/>
      <c r="BR196" s="7"/>
      <c r="BS196" s="22"/>
      <c r="BT196" s="87"/>
      <c r="BU196" s="42" t="str">
        <f aca="false">IF(Tasks[[#This Row],[Task Name]]="","",MAX(1,N(Tasks[[#This Row],[Level]])))</f>
        <v/>
      </c>
      <c r="BV196" s="42" t="n">
        <f aca="false">ROW()-ROW(Tasks[[#Headers],[ID]])</f>
        <v>191</v>
      </c>
      <c r="BW196" s="42" t="n">
        <f aca="false">IF(OR(Tasks[[#This Row],[Task Name]]="",Tasks[[#This Row],[_Level]]&lt;=1),0,IFERROR(LOOKUP(2,1/(Tasks[[#Headers],[_Level]]:Tasks[[#This Row],[_Level]]=Tasks[[#This Row],[_Level]]-1),ROW(Tasks[[#Headers],[_Level]]:Tasks[[#This Row],[_Level]])),0))</f>
        <v>0</v>
      </c>
      <c r="BX196" s="42" t="n">
        <f aca="false">IFERROR(N(INDEX(Tasks[_Level],Tasks[[#This Row],[_Row]]+1)),0)</f>
        <v>0</v>
      </c>
      <c r="BY196" s="88" t="b">
        <f aca="false">AND(Tasks[[#This Row],[Task Name]]&lt;&gt;"",Tasks[[#This Row],[_NextLevel]]&gt;Tasks[[#This Row],[_Level]])</f>
        <v>0</v>
      </c>
      <c r="BZ196" s="42" t="n">
        <f aca="false">IF(Tasks[[#This Row],[_IsSummary]],COUNTIF(Tasks[WBS],Tasks[[#This Row],[WBS]]&amp;".*"),0)</f>
        <v>0</v>
      </c>
      <c r="CA196" s="42" t="n">
        <f aca="false">IF(AND(Tasks[[#This Row],[Task Name]]&lt;&gt;"",NOT(Tasks[[#This Row],[_IsSummary]])),1,0)</f>
        <v>0</v>
      </c>
      <c r="CB196" s="42" t="n">
        <f aca="false">IF(N(Tasks[[#This Row],[_Pred1UID]])=0,0,IFERROR(MATCH(Tasks[[#This Row],[_Pred1UID]],Tasks[UID],0),-1))</f>
        <v>0</v>
      </c>
      <c r="CC196" s="42" t="n">
        <f aca="false">IF(N(Tasks[[#This Row],[_Pred2UID]])=0,0,IFERROR(MATCH(Tasks[[#This Row],[_Pred2UID]],Tasks[UID],0),-1))</f>
        <v>0</v>
      </c>
      <c r="CD196" s="42" t="n">
        <f aca="false">IF(N(Tasks[[#This Row],[_Pred3UID]])=0,0,IFERROR(MATCH(Tasks[[#This Row],[_Pred3UID]],Tasks[UID],0),-1))</f>
        <v>0</v>
      </c>
      <c r="CE196" s="42" t="n">
        <f aca="false">IF(N(Tasks[[#This Row],[_Pred4UID]])=0,0,IFERROR(MATCH(Tasks[[#This Row],[_Pred4UID]],Tasks[UID],0),-1))</f>
        <v>0</v>
      </c>
      <c r="CF196"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6"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6" s="89" t="n">
        <f aca="false">IF(OR(Tasks[[#This Row],[_ConstraintCode]]=2,Tasks[[#This Row],[_ConstraintCode]]=3,Tasks[[#This Row],[_ConstraintCode]]=4,Tasks[[#This Row],[_ConstraintCode]]=6),Tasks[[#This Row],[_ConstraintStart]],0)</f>
        <v>0</v>
      </c>
      <c r="CI196" s="89" t="n">
        <f aca="false">IF(OR(Tasks[[#This Row],[_ConstraintCode]]=2,Tasks[[#This Row],[_ConstraintCode]]=3,Tasks[[#This Row],[_ConstraintCode]]=5,Tasks[[#This Row],[_ConstraintCode]]=7),Tasks[[#This Row],[_ConstraintStart]],2958465)</f>
        <v>2958465</v>
      </c>
      <c r="CJ196"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6" s="89" t="str">
        <f aca="false">IF(NOT(Tasks[[#This Row],[_IsLeaf]]=1),"",IF(N(Tasks[[#This Row],[_Days]])&lt;=0,Tasks[[#This Row],[_LeafCalcStart]],WORKDAY.INTL(Tasks[[#This Row],[_LeafCalcStart]],Tasks[[#This Row],[_Days]]-1,WorkWeek,Holidays)))</f>
        <v/>
      </c>
      <c r="CL196"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6"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6" s="42" t="str">
        <f aca="false">IF(Tasks[[#This Row],[_Predecessors]]="","",TRIM(MID(SUBSTITUTE(SUBSTITUTE(SUBSTITUTE(UPPER(Tasks[[#This Row],[_Predecessors]]),";",",")," ",""),",",REPT(" ",99)),1,99)))</f>
        <v/>
      </c>
      <c r="CO196" s="42" t="str">
        <f aca="false">IF(Tasks[[#This Row],[_Pred1Text]]="","",IFERROR(VALUE(LEFT(Tasks[[#This Row],[_Pred1Text]],MIN(FIND("F",Tasks[[#This Row],[_Pred1Text]]&amp;"F"),FIND("S",Tasks[[#This Row],[_Pred1Text]]&amp;"S"),FIND("+",Tasks[[#This Row],[_Pred1Text]]&amp;"+"),FIND("-",Tasks[[#This Row],[_Pred1Text]]&amp;"-"))-1)),""))</f>
        <v/>
      </c>
      <c r="CP196"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6"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6" s="42" t="str">
        <f aca="false">IF(Tasks[[#This Row],[_Pred1Text]]="","",TRIM(MID(SUBSTITUTE(SUBSTITUTE(SUBSTITUTE(UPPER(Tasks[[#This Row],[_Predecessors]]),";",",")," ",""),",",REPT(" ",99)),100,99)))</f>
        <v/>
      </c>
      <c r="CS196" s="42" t="str">
        <f aca="false">IF(Tasks[[#This Row],[_Pred2Text]]="","",IFERROR(VALUE(LEFT(Tasks[[#This Row],[_Pred2Text]],MIN(FIND("F",Tasks[[#This Row],[_Pred2Text]]&amp;"F"),FIND("S",Tasks[[#This Row],[_Pred2Text]]&amp;"S"),FIND("+",Tasks[[#This Row],[_Pred2Text]]&amp;"+"),FIND("-",Tasks[[#This Row],[_Pred2Text]]&amp;"-"))-1)),""))</f>
        <v/>
      </c>
      <c r="CT196"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6"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6" s="42" t="str">
        <f aca="false">IF(Tasks[[#This Row],[_Pred2Text]]="","",TRIM(MID(SUBSTITUTE(SUBSTITUTE(SUBSTITUTE(UPPER(Tasks[[#This Row],[_Predecessors]]),";",",")," ",""),",",REPT(" ",99)),199,99)))</f>
        <v/>
      </c>
      <c r="CW196" s="42" t="str">
        <f aca="false">IF(Tasks[[#This Row],[_Pred3Text]]="","",IFERROR(VALUE(LEFT(Tasks[[#This Row],[_Pred3Text]],MIN(FIND("F",Tasks[[#This Row],[_Pred3Text]]&amp;"F"),FIND("S",Tasks[[#This Row],[_Pred3Text]]&amp;"S"),FIND("+",Tasks[[#This Row],[_Pred3Text]]&amp;"+"),FIND("-",Tasks[[#This Row],[_Pred3Text]]&amp;"-"))-1)),""))</f>
        <v/>
      </c>
      <c r="CX196"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6"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6" s="42" t="str">
        <f aca="false">IF(Tasks[[#This Row],[_Pred3Text]]="","",TRIM(MID(SUBSTITUTE(SUBSTITUTE(SUBSTITUTE(UPPER(Tasks[[#This Row],[_Predecessors]]),";",",")," ",""),",",REPT(" ",99)),298,99)))</f>
        <v/>
      </c>
      <c r="DA196" s="42" t="str">
        <f aca="false">IF(Tasks[[#This Row],[_Pred4Text]]="","",IFERROR(VALUE(LEFT(Tasks[[#This Row],[_Pred4Text]],MIN(FIND("F",Tasks[[#This Row],[_Pred4Text]]&amp;"F"),FIND("S",Tasks[[#This Row],[_Pred4Text]]&amp;"S"),FIND("+",Tasks[[#This Row],[_Pred4Text]]&amp;"+"),FIND("-",Tasks[[#This Row],[_Pred4Text]]&amp;"-"))-1)),""))</f>
        <v/>
      </c>
      <c r="DB196"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6"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6" s="42" t="str">
        <f aca="false">IF(OR(Tasks[[#This Row],[Task Name]]="",Tasks[[#This Row],[_Resources]]=""),"",TRIM(MID(SUBSTITUTE(Tasks[[#This Row],[_Resources]],",",REPT(" ",99)),1,99)))</f>
        <v/>
      </c>
      <c r="DE196" s="42" t="str">
        <f aca="false">IF(Tasks[[#This Row],[_Res1Text]]="","",TRIM(MID(SUBSTITUTE(Tasks[[#This Row],[_Resources]],",",REPT(" ",99)),100,99)))</f>
        <v/>
      </c>
      <c r="DF196" s="42" t="str">
        <f aca="false">IF(Tasks[[#This Row],[_Res2Text]]="","",TRIM(MID(SUBSTITUTE(Tasks[[#This Row],[_Resources]],",",REPT(" ",99)),199,99)))</f>
        <v/>
      </c>
      <c r="DG196" s="42" t="str">
        <f aca="false">IF(Tasks[[#This Row],[_Res3Text]]="","",TRIM(MID(SUBSTITUTE(Tasks[[#This Row],[_Resources]],",",REPT(" ",99)),298,99)))</f>
        <v/>
      </c>
      <c r="DH196" s="42" t="n">
        <f aca="false">IF(Tasks[[#This Row],[_Res1Text]]="",0,IFERROR(MATCH(TRIM(LEFT(Tasks[[#This Row],[_Res1Text]],FIND("[",Tasks[[#This Row],[_Res1Text]]&amp;"[")-1)),res_Name,0),IFERROR(MATCH(TRIM(LEFT(Tasks[[#This Row],[_Res1Text]],FIND("[",Tasks[[#This Row],[_Res1Text]]&amp;"[")-1)),res_Initials,0),0)))</f>
        <v>0</v>
      </c>
      <c r="DI196" s="42" t="n">
        <f aca="false">IF(Tasks[[#This Row],[_Res2Text]]="",0,IFERROR(MATCH(TRIM(LEFT(Tasks[[#This Row],[_Res2Text]],FIND("[",Tasks[[#This Row],[_Res2Text]]&amp;"[")-1)),res_Name,0),IFERROR(MATCH(TRIM(LEFT(Tasks[[#This Row],[_Res2Text]],FIND("[",Tasks[[#This Row],[_Res2Text]]&amp;"[")-1)),res_Initials,0),0)))</f>
        <v>0</v>
      </c>
      <c r="DJ196" s="42" t="n">
        <f aca="false">IF(Tasks[[#This Row],[_Res3Text]]="",0,IFERROR(MATCH(TRIM(LEFT(Tasks[[#This Row],[_Res3Text]],FIND("[",Tasks[[#This Row],[_Res3Text]]&amp;"[")-1)),res_Name,0),IFERROR(MATCH(TRIM(LEFT(Tasks[[#This Row],[_Res3Text]],FIND("[",Tasks[[#This Row],[_Res3Text]]&amp;"[")-1)),res_Initials,0),0)))</f>
        <v>0</v>
      </c>
      <c r="DK196" s="42" t="n">
        <f aca="false">IF(Tasks[[#This Row],[_Res4Text]]="",0,IFERROR(MATCH(TRIM(LEFT(Tasks[[#This Row],[_Res4Text]],FIND("[",Tasks[[#This Row],[_Res4Text]]&amp;"[")-1)),res_Name,0),IFERROR(MATCH(TRIM(LEFT(Tasks[[#This Row],[_Res4Text]],FIND("[",Tasks[[#This Row],[_Res4Text]]&amp;"[")-1)),res_Initials,0),0)))</f>
        <v>0</v>
      </c>
      <c r="DL196" s="42" t="str">
        <f aca="false">IF(Tasks[[#This Row],[_Res1Text]]="","",IF(Tasks[[#This Row],[_Res1Row]]&gt;0,INDEX(res_Name,Tasks[[#This Row],[_Res1Row]]),TRIM(LEFT(Tasks[[#This Row],[_Res1Text]],FIND("[",Tasks[[#This Row],[_Res1Text]]&amp;"[")-1))))</f>
        <v/>
      </c>
      <c r="DM196"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6" s="42" t="n">
        <f aca="false">IF(NOT(Tasks[[#This Row],[_IsLeaf]]=1),0,(Tasks[[#This Row],[_Resource1]]&lt;&gt;"")+(Tasks[[#This Row],[_Res2]]&lt;&gt;"")+(Tasks[[#This Row],[_Res3]]&lt;&gt;"")+(Tasks[[#This Row],[_Res4]]&lt;&gt;""))</f>
        <v>0</v>
      </c>
      <c r="DO196" s="42" t="str">
        <f aca="false">IF(Tasks[[#This Row],[_Res2Text]]="","",IF(Tasks[[#This Row],[_Res2Row]]&gt;0,INDEX(res_Name,Tasks[[#This Row],[_Res2Row]]),TRIM(LEFT(Tasks[[#This Row],[_Res2Text]],FIND("[",Tasks[[#This Row],[_Res2Text]]&amp;"[")-1))))</f>
        <v/>
      </c>
      <c r="DP196"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6" s="42" t="n">
        <f aca="false">IF(OR(NOT(Tasks[[#This Row],[_IsLeaf]]=1),Tasks[[#This Row],[_Res2Row]]=0),0,N(Tasks[[#This Row],[_Days]])*HoursPerDay*IF(Tasks[[#This Row],[_Res2Units]]="",DefaultUnits,Tasks[[#This Row],[_Res2Units]]))</f>
        <v>0</v>
      </c>
      <c r="DR196" s="42" t="n">
        <f aca="false">IF(AND(AND(Tasks[[#This Row],[_IsLeaf]]=1,Tasks[[#This Row],[_LeafTotalWork]]&gt;0),Tasks[[#This Row],[_Res2Work]]&gt;0),Tasks[[#This Row],[_Res2Work]]/(Tasks[[#This Row],[_FinishWorkday]]-Tasks[[#This Row],[_StartWorkday]]+1),0)</f>
        <v>0</v>
      </c>
      <c r="DS196" s="42" t="n">
        <f aca="false">Tasks[[#This Row],[_Res2WorkPerWD]]*MAX(0,Tasks[[#This Row],[_StartWorkday]]-1)</f>
        <v>0</v>
      </c>
      <c r="DT196" s="42" t="n">
        <f aca="false">Tasks[[#This Row],[_Res2Work]]*Tasks[[#This Row],[_LeafProgress]]</f>
        <v>0</v>
      </c>
      <c r="DU196" s="42" t="str">
        <f aca="false">IF(Tasks[[#This Row],[_Res3Text]]="","",IF(Tasks[[#This Row],[_Res3Row]]&gt;0,INDEX(res_Name,Tasks[[#This Row],[_Res3Row]]),TRIM(LEFT(Tasks[[#This Row],[_Res3Text]],FIND("[",Tasks[[#This Row],[_Res3Text]]&amp;"[")-1))))</f>
        <v/>
      </c>
      <c r="DV196"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6" s="42" t="n">
        <f aca="false">IF(OR(NOT(Tasks[[#This Row],[_IsLeaf]]=1),Tasks[[#This Row],[_Res3Row]]=0),0,N(Tasks[[#This Row],[_Days]])*HoursPerDay*IF(Tasks[[#This Row],[_Res3Units]]="",DefaultUnits,Tasks[[#This Row],[_Res3Units]]))</f>
        <v>0</v>
      </c>
      <c r="DX196" s="42" t="n">
        <f aca="false">IF(AND(AND(Tasks[[#This Row],[_IsLeaf]]=1,Tasks[[#This Row],[_LeafTotalWork]]&gt;0),Tasks[[#This Row],[_Res3Work]]&gt;0),Tasks[[#This Row],[_Res3Work]]/(Tasks[[#This Row],[_FinishWorkday]]-Tasks[[#This Row],[_StartWorkday]]+1),0)</f>
        <v>0</v>
      </c>
      <c r="DY196" s="42" t="n">
        <f aca="false">Tasks[[#This Row],[_Res3WorkPerWD]]*MAX(0,Tasks[[#This Row],[_StartWorkday]]-1)</f>
        <v>0</v>
      </c>
      <c r="DZ196" s="42" t="n">
        <f aca="false">Tasks[[#This Row],[_Res3Work]]*Tasks[[#This Row],[_LeafProgress]]</f>
        <v>0</v>
      </c>
      <c r="EA196" s="42" t="str">
        <f aca="false">IF(Tasks[[#This Row],[_Res4Text]]="","",IF(Tasks[[#This Row],[_Res4Row]]&gt;0,INDEX(res_Name,Tasks[[#This Row],[_Res4Row]]),TRIM(LEFT(Tasks[[#This Row],[_Res4Text]],FIND("[",Tasks[[#This Row],[_Res4Text]]&amp;"[")-1))))</f>
        <v/>
      </c>
      <c r="EB196"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6" s="42" t="n">
        <f aca="false">IF(OR(NOT(Tasks[[#This Row],[_IsLeaf]]=1),Tasks[[#This Row],[_Res4Row]]=0),0,N(Tasks[[#This Row],[_Days]])*HoursPerDay*IF(Tasks[[#This Row],[_Res4Units]]="",DefaultUnits,Tasks[[#This Row],[_Res4Units]]))</f>
        <v>0</v>
      </c>
      <c r="ED196" s="42" t="n">
        <f aca="false">IF(AND(AND(Tasks[[#This Row],[_IsLeaf]]=1,Tasks[[#This Row],[_LeafTotalWork]]&gt;0),Tasks[[#This Row],[_Res4Work]]&gt;0),Tasks[[#This Row],[_Res4Work]]/(Tasks[[#This Row],[_FinishWorkday]]-Tasks[[#This Row],[_StartWorkday]]+1),0)</f>
        <v>0</v>
      </c>
      <c r="EE196" s="42" t="n">
        <f aca="false">Tasks[[#This Row],[_Res4WorkPerWD]]*MAX(0,Tasks[[#This Row],[_StartWorkday]]-1)</f>
        <v>0</v>
      </c>
      <c r="EF196" s="42" t="n">
        <f aca="false">Tasks[[#This Row],[_Res4Work]]*Tasks[[#This Row],[_LeafProgress]]</f>
        <v>0</v>
      </c>
      <c r="EG196" s="42" t="n">
        <f aca="false">IF(ISNUMBER(Tasks[[#This Row],[% Complete]]),Tasks[[#This Row],[% Complete]],IF(Tasks[[#This Row],[Stage]]="",0,IFERROR(INDEX(stg_Pct,MATCH(Tasks[[#This Row],[Stage]],stg_Name,0)),0)))</f>
        <v>0</v>
      </c>
      <c r="EH196" s="42" t="n">
        <f aca="false">IF(NOT(Tasks[[#This Row],[_IsLeaf]]=1),0,IF(N(Tasks[[#This Row],[Actual Finish]])&gt;0,1,MIN(1,Tasks[[#This Row],[_Pct]])))</f>
        <v>0</v>
      </c>
      <c r="EI196" s="42" t="n">
        <f aca="false">IF(OR(NOT(Tasks[[#This Row],[_IsLeaf]]=1),Tasks[[#This Row],[_Res1Row]]=0),0,N(Tasks[[#This Row],[_Days]])*HoursPerDay*IF(Tasks[[#This Row],[_Units1]]="",DefaultUnits,Tasks[[#This Row],[_Units1]]))</f>
        <v>0</v>
      </c>
      <c r="EJ196" s="42" t="n">
        <f aca="false">Tasks[[#This Row],[_LeafWork]]+Tasks[[#This Row],[_Res2Work]]+Tasks[[#This Row],[_Res3Work]]+Tasks[[#This Row],[_Res4Work]]</f>
        <v>0</v>
      </c>
      <c r="EK196"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6"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6"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6"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6"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6"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6"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6"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6" s="42" t="n">
        <f aca="false">IF(NOT(Tasks[[#This Row],[_IsLeaf]]=1),0,MAX(_xlfn.MAXIFS(Tasks[_Row],Tasks[_Pred1UID],Tasks[[#This Row],[UID]]),_xlfn.MAXIFS(Tasks[_Row],Tasks[_Pred2UID],Tasks[[#This Row],[UID]]),_xlfn.MAXIFS(Tasks[_Row],Tasks[_Pred3UID],Tasks[[#This Row],[UID]]),_xlfn.MAXIFS(Tasks[_Row],Tasks[_Pred4UID],Tasks[[#This Row],[UID]])))</f>
        <v>0</v>
      </c>
      <c r="ET196"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6"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6" s="89" t="str">
        <f aca="false">IF(NOT(Tasks[[#This Row],[_IsLeaf]]=1),"",IF(N(Tasks[[#This Row],[_Days]])&lt;=0,Tasks[[#This Row],[_LeafLateFinish]],WORKDAY.INTL(Tasks[[#This Row],[_LeafLateFinish]],-(Tasks[[#This Row],[_Days]]-1),WorkWeek,Holidays)))</f>
        <v/>
      </c>
      <c r="EW196"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6" s="88" t="b">
        <f aca="false">AND(Tasks[[#This Row],[_IsLeaf]]=1,Tasks[[#This Row],[_LeafProgress]]&lt;1,N(Tasks[[#This Row],[_LeafTotalSlack]])&lt;=CriticalSlackDays)</f>
        <v>0</v>
      </c>
      <c r="EY196" s="42" t="n">
        <f aca="false">IF(AND(Tasks[[#This Row],[_IsLeaf]]=1,Tasks[[#This Row],[_ConstraintCode]]=1,Tasks[[#This Row],[Mode]]&lt;&gt;"Manual",N(Tasks[[#This Row],[Actual Start]])=0),MAX(0,N(Tasks[[#This Row],[Free Slack]])),0)</f>
        <v>0</v>
      </c>
      <c r="EZ196" s="89" t="str">
        <f aca="false">IF(NOT(Tasks[[#This Row],[_IsLeaf]]=1),"",IF(Tasks[[#This Row],[_AlapShift]]=0,Tasks[[#This Row],[_LeafCalcStart]],WORKDAY.INTL(Tasks[[#This Row],[_LeafCalcStart]],Tasks[[#This Row],[_AlapShift]],WorkWeek,Holidays)))</f>
        <v/>
      </c>
      <c r="FA196" s="89" t="str">
        <f aca="false">IF(NOT(Tasks[[#This Row],[_IsLeaf]]=1),"",IF(Tasks[[#This Row],[_AlapShift]]=0,Tasks[[#This Row],[_LeafCalcFinish]],WORKDAY.INTL(Tasks[[#This Row],[_LeafCalcFinish]],Tasks[[#This Row],[_AlapShift]],WorkWeek,Holidays)))</f>
        <v/>
      </c>
      <c r="FB196" s="89" t="str">
        <f aca="false">IF(NOT(Tasks[[#This Row],[_IsLeaf]]=1),"",IF(Tasks[[#This Row],[_AlapShift]]=0,Tasks[[#This Row],[_LeafFcstStart]],WORKDAY.INTL(Tasks[[#This Row],[_LeafFcstStart]],Tasks[[#This Row],[_AlapShift]],WorkWeek,Holidays)))</f>
        <v/>
      </c>
      <c r="FC196" s="89" t="str">
        <f aca="false">IF(NOT(Tasks[[#This Row],[_IsLeaf]]=1),"",IF(Tasks[[#This Row],[_AlapShift]]=0,Tasks[[#This Row],[_LeafFcstFinish]],WORKDAY.INTL(Tasks[[#This Row],[_LeafFcstFinish]],Tasks[[#This Row],[_AlapShift]],WorkWeek,Holidays)))</f>
        <v/>
      </c>
      <c r="FD196" s="89" t="str">
        <f aca="false">IF(Tasks[[#This Row],[Task Name]]="","",IF(Tasks[[#This Row],[_IsSummary]],MIN(INDEX(Tasks[_ShownCalcStart],Tasks[[#This Row],[_Row]]+1):INDEX(Tasks[_ShownCalcStart],Tasks[[#This Row],[_Row]]+Tasks[[#This Row],[_Descendants]])),Tasks[[#This Row],[_ShownCalcStart]]))</f>
        <v/>
      </c>
      <c r="FE196" s="89" t="str">
        <f aca="false">IF(Tasks[[#This Row],[Task Name]]="","",IF(Tasks[[#This Row],[_IsSummary]],MAX(INDEX(Tasks[_ShownCalcFinish],Tasks[[#This Row],[_Row]]+1):INDEX(Tasks[_ShownCalcFinish],Tasks[[#This Row],[_Row]]+Tasks[[#This Row],[_Descendants]])),Tasks[[#This Row],[_ShownCalcFinish]]))</f>
        <v/>
      </c>
      <c r="FF196"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6"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6"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6"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6"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6"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6"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6"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6"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6"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6"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6"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6" s="42" t="n">
        <f aca="false">IF(AND(Tasks[[#This Row],[_IsLeaf]]=1,Tasks[[#This Row],[_LeafTotalWork]]&gt;0),NETWORKDAYS.INTL(ProjectStart,Tasks[[#This Row],[_ShownFcstStart]],WorkWeek,Holidays),0)</f>
        <v>0</v>
      </c>
      <c r="FS196" s="42" t="n">
        <f aca="false">IF(AND(Tasks[[#This Row],[_IsLeaf]]=1,Tasks[[#This Row],[_LeafTotalWork]]&gt;0),MAX(Tasks[[#This Row],[_StartWorkday]],NETWORKDAYS.INTL(ProjectStart,Tasks[[#This Row],[_ShownFcstFinish]],WorkWeek,Holidays)),0)</f>
        <v>0</v>
      </c>
      <c r="FT196" s="42" t="n">
        <f aca="false">IF(AND(Tasks[[#This Row],[_IsLeaf]]=1,Tasks[[#This Row],[_LeafTotalWork]]&gt;0),Tasks[[#This Row],[_LeafWork]]/(Tasks[[#This Row],[_FinishWorkday]]-Tasks[[#This Row],[_StartWorkday]]+1),0)</f>
        <v>0</v>
      </c>
      <c r="FU196" s="42" t="n">
        <f aca="false">Tasks[[#This Row],[_WorkPerWorkday]]*(Tasks[[#This Row],[_StartWorkday]]-1)</f>
        <v>-0</v>
      </c>
      <c r="FV196" s="42" t="n">
        <f aca="false">IF(Tasks[[#This Row],[_IsLeaf]]=1,MAX(N(Tasks[[#This Row],[_Days]]),0.1),0)</f>
        <v>0</v>
      </c>
      <c r="FW196" s="42" t="n">
        <f aca="false">Tasks[[#This Row],[_WeightDur]]*Tasks[[#This Row],[_LeafProgress]]</f>
        <v>0</v>
      </c>
      <c r="FX196" s="42" t="n">
        <f aca="false">Tasks[[#This Row],[_WeightDur]]*Tasks[[#This Row],[_PlannedPct]]</f>
        <v>0</v>
      </c>
      <c r="FY196"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6" s="42" t="str">
        <f aca="false">IF(AND(Tasks[[#This Row],[_IsLeaf]]=1,N(Tasks[[#This Row],[_Days]])=0,Tasks[[#This Row],[_LeafProgress]]&lt;1),Tasks[[#This Row],[_ShownFcstFinish]]+Tasks[[#This Row],[_Row]]/100000,"")</f>
        <v/>
      </c>
      <c r="GA196"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6" s="42" t="str">
        <f aca="false">IF(Tasks[[#This Row],[Task Name]]="","",LEFT(Tasks[[#This Row],[WBS]],FIND(".",Tasks[[#This Row],[WBS]]&amp;".")-1))</f>
        <v/>
      </c>
      <c r="GC196" s="42" t="str">
        <f aca="false">IF(AND(Tasks[[#This Row],[Task Name]]&lt;&gt;"",Tasks[[#This Row],[_Level]]=1),Tasks[[#This Row],[_Row]],"")</f>
        <v/>
      </c>
      <c r="GD196" s="42" t="str">
        <f aca="false">IF(AND(Tasks[[#This Row],[_IsLeaf]]=1,N(Tasks[[#This Row],[_Days]])=0),Tasks[[#This Row],[Planned Finish]]+Tasks[[#This Row],[_Row]]/100000,"")</f>
        <v/>
      </c>
      <c r="GE196" s="42" t="str">
        <f aca="false">IF(AND(Tasks[[#This Row],[_IsLeaf]]=1,Tasks[[#This Row],[_LeafProgress]]&lt;1,OR(N(Tasks[[#This Row],[Finish Var]])&gt;0,Tasks[[#This Row],[Status]]="Late Start")),MAX(0,Tasks[[#This Row],[Finish Var]])+1-Tasks[[#This Row],[_Row]]/1000000,"")</f>
        <v/>
      </c>
      <c r="GF196" s="42" t="str">
        <f aca="false">IF(AND(Tasks[[#This Row],[_IsLeaf]]=1,N(Tasks[[#This Row],[Actual Start]])=0,Tasks[[#This Row],[_ShownFcstStart]]&gt;=StatusDate,Tasks[[#This Row],[_ShownFcstStart]]&lt;=LookaheadEnd),Tasks[[#This Row],[_ShownFcstStart]]+Tasks[[#This Row],[_Row]]/100000,"")</f>
        <v/>
      </c>
      <c r="GG196" s="42" t="str">
        <f aca="false">IF(AND(Tasks[[#This Row],[_IsLeaf]]=1,Tasks[[#This Row],[_LeafProgress]]&lt;1,Tasks[[#This Row],[_ShownFcstFinish]]&gt;=StatusDate,Tasks[[#This Row],[_ShownFcstFinish]]&lt;=LookaheadEnd),Tasks[[#This Row],[_ShownFcstFinish]]+Tasks[[#This Row],[_Row]]/100000,"")</f>
        <v/>
      </c>
      <c r="GH196" s="42" t="str">
        <f aca="false">IF(Tasks[[#This Row],[_LeafCritical]],Tasks[[#This Row],[_ShownFcstStart]]+Tasks[[#This Row],[_Row]]/100000,"")</f>
        <v/>
      </c>
      <c r="GI196" s="42" t="n">
        <f aca="false">Tasks[[#This Row],[_LeafWork]]*Tasks[[#This Row],[_LeafProgress]]</f>
        <v>0</v>
      </c>
      <c r="GJ196" s="89" t="str">
        <f aca="false">IF(AND(Tasks[[#This Row],[_IsLeaf]]=1,Tasks[[#This Row],[_LeafProgress]]&gt;=1),IF(N(Tasks[[#This Row],[Actual Finish]])&gt;0,Tasks[[#This Row],[Actual Finish]],Tasks[[#This Row],[_ShownFcstFinish]]),"")</f>
        <v/>
      </c>
      <c r="GK196" s="42" t="n">
        <f aca="false">IF(Tasks[[#This Row],[_IsLeaf]]=1,N(Tasks[[#This Row],[Story Points]]),0)</f>
        <v>0</v>
      </c>
      <c r="GL196" s="42" t="str">
        <f aca="false">""</f>
        <v/>
      </c>
      <c r="GM196" s="88" t="b">
        <f aca="false">IF(Tasks[[#This Row],[Task Name]]="",FALSE(),AND(Tasks[[#This Row],[_IsLeaf]]=1,N(Tasks[[#This Row],[_Days]])=0))</f>
        <v>0</v>
      </c>
      <c r="GN196" s="89" t="n">
        <f aca="false">IF(Tasks[[#This Row],[Task Name]]="",0,IF(AND(Tasks[[#This Row],[_IsLeaf]]=1,NOT(Tasks[[#This Row],[_IsMilestone]]),N(Tasks[[#This Row],[Progress]])&gt;0),Tasks[[#This Row],[Start]],0))</f>
        <v>0</v>
      </c>
      <c r="GO196" s="89" t="n">
        <f aca="false">IF(Tasks[[#This Row],[_DoneFrom]]=0,0,IF(Tasks[[#This Row],[Progress]]&gt;=1,Tasks[[#This Row],[Finish]],MAX(Tasks[[#This Row],[_DoneFrom]],Tasks[[#This Row],[Start]]+ROUND((Tasks[[#This Row],[Finish]]-Tasks[[#This Row],[Start]]+1)*Tasks[[#This Row],[Progress]],0)-1)))</f>
        <v>0</v>
      </c>
      <c r="GP196" s="89" t="n">
        <f aca="false">IF(Tasks[[#This Row],[Task Name]]="",0,IF(OR(NOT(Tasks[[#This Row],[_IsLeaf]]=1),Tasks[[#This Row],[_IsMilestone]],N(Tasks[[#This Row],[Progress]])&gt;=1),0,IF(Tasks[[#This Row],[_DoneTo]]&gt;0,Tasks[[#This Row],[_DoneTo]]+1,Tasks[[#This Row],[Start]])))</f>
        <v>0</v>
      </c>
      <c r="GQ196" s="89" t="n">
        <f aca="false">IF(Tasks[[#This Row],[_RemFrom]]=0,0,Tasks[[#This Row],[Finish]])</f>
        <v>0</v>
      </c>
      <c r="GR196" s="88" t="b">
        <f aca="false">IF(Tasks[[#This Row],[Task Name]]="",FALSE(),OR(NOT(BaselineSet),N(Tasks[[#This Row],[Baseline Start]])&gt;0))</f>
        <v>0</v>
      </c>
      <c r="GS196"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6"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6"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6" s="90" t="str">
        <f aca="false">IF(Tasks[[#This Row],[_IsLeaf]]=1,Tasks[[#This Row],[_Row]],"")</f>
        <v/>
      </c>
      <c r="GW196" s="90" t="str">
        <f aca="false">IFERROR(INDEX(Tasks[UID],SMALL(Tasks[_PickKey],Tasks[[#This Row],[_Row]]))&amp;" "&amp;INDEX(Tasks[Task Name],SMALL(Tasks[_PickKey],Tasks[[#This Row],[_Row]])),"")</f>
        <v/>
      </c>
      <c r="GX196" s="42" t="str">
        <f aca="false">IF(Tasks[[#This Row],[Task Name]]="","",IF(Tasks[[#This Row],[_IsSummary]],NETWORKDAYS.INTL(Tasks[[#This Row],[Start]],Tasks[[#This Row],[Finish]],WorkWeek,Holidays),N(Tasks[[#This Row],[_Days]])))</f>
        <v/>
      </c>
    </row>
    <row r="197" customFormat="false" ht="15" hidden="false" customHeight="false" outlineLevel="0" collapsed="false">
      <c r="A197" s="21" t="str">
        <f aca="false">IF(Tasks[[#This Row],[Task Name]]="","",COUNTA(Tasks[[#Headers],[Task Name]]:Tasks[[#This Row],[Task Name]])-1)</f>
        <v/>
      </c>
      <c r="B197" s="22" t="n">
        <v>205</v>
      </c>
      <c r="C197" s="22"/>
      <c r="D197" s="23"/>
      <c r="E197" s="22"/>
      <c r="F197" s="23"/>
      <c r="G197" s="22"/>
      <c r="H197" s="22"/>
      <c r="I197" s="23"/>
      <c r="J197" s="22"/>
      <c r="K197" s="22"/>
      <c r="L197" s="23"/>
      <c r="M197" s="22"/>
      <c r="N197" s="22"/>
      <c r="O197" s="23"/>
      <c r="P197" s="22"/>
      <c r="Q197" s="22"/>
      <c r="R197" s="23"/>
      <c r="S197" s="23"/>
      <c r="T197" s="83"/>
      <c r="U197" s="23"/>
      <c r="V197" s="83"/>
      <c r="W197" s="23"/>
      <c r="X197" s="83"/>
      <c r="Y197" s="23"/>
      <c r="Z197" s="83"/>
      <c r="AA197" s="23"/>
      <c r="AB197" s="23"/>
      <c r="AC197" s="7"/>
      <c r="AD197" s="7"/>
      <c r="AE197" s="62" t="str">
        <f aca="false">IF(Tasks[[#This Row],[Task Name]]="","",IF(Tasks[[#This Row],[_IsSummary]],MIN(INDEX(Tasks[_ShownFcstStart],Tasks[[#This Row],[_Row]]+1):INDEX(Tasks[_ShownFcstStart],Tasks[[#This Row],[_Row]]+Tasks[[#This Row],[_Descendants]])),Tasks[[#This Row],[_ShownFcstStart]]))</f>
        <v/>
      </c>
      <c r="AF197" s="62" t="str">
        <f aca="false">IF(Tasks[[#This Row],[Task Name]]="","",IF(Tasks[[#This Row],[_IsSummary]],MAX(INDEX(Tasks[_ShownFcstFinish],Tasks[[#This Row],[_Row]]+1):INDEX(Tasks[_ShownFcstFinish],Tasks[[#This Row],[_Row]]+Tasks[[#This Row],[_Descendants]])),Tasks[[#This Row],[_ShownFcstFinish]]))</f>
        <v/>
      </c>
      <c r="AG197" s="21" t="str">
        <f aca="false">""</f>
        <v/>
      </c>
      <c r="AH197" s="23"/>
      <c r="AI197"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7" s="7"/>
      <c r="AK197" s="22"/>
      <c r="AL197" s="23"/>
      <c r="AM197" s="7"/>
      <c r="AN197" s="46" t="str">
        <f aca="false">IF(Tasks[[#This Row],[Task Name]]="","",IF(Tasks[[#This Row],[Finish]]&gt;=Tasks[[#This Row],[Planned Finish]],NETWORKDAYS.INTL(Tasks[[#This Row],[Planned Finish]],Tasks[[#This Row],[Finish]],WorkWeek,Holidays)-1,1-NETWORKDAYS.INTL(Tasks[[#This Row],[Finish]],Tasks[[#This Row],[Planned Finish]],WorkWeek,Holidays)))</f>
        <v/>
      </c>
      <c r="AO197" s="21" t="str">
        <f aca="false">IF(Tasks[[#This Row],[Task Name]]="","",IF(Tasks[[#This Row],[Progress]]&gt;=1,"Complete",IF(OR(N(Tasks[[#This Row],[Actual Start]])&gt;0,Tasks[[#This Row],[Progress]]&gt;0),IF(Tasks[[#This Row],[Finish Var]]&gt;0,"Behind","In Progress"),IF(Tasks[[#This Row],[Planned Start]]&lt;StatusDate,"Late Start","Not Started"))))</f>
        <v/>
      </c>
      <c r="AP197" s="21" t="str">
        <f aca="false">IF(Tasks[[#This Row],[Task Name]]="","",IF(IF(Tasks[[#This Row],[_IsSummary]],COUNTIF(INDEX(Tasks[_LeafCritical],Tasks[[#This Row],[_Row]]+1):INDEX(Tasks[_LeafCritical],Tasks[[#This Row],[_Row]]+Tasks[[#This Row],[_Descendants]]),TRUE())&gt;0,Tasks[[#This Row],[_LeafCritical]]),"Yes",""))</f>
        <v/>
      </c>
      <c r="AQ197" s="62" t="str">
        <f aca="false">IF(Tasks[[#This Row],[Task Name]]="","",IF(N(Tasks[[#This Row],[Baseline Start]])&gt;0,Tasks[[#This Row],[Baseline Start]],Tasks[[#This Row],[_CalcStart]]))</f>
        <v/>
      </c>
      <c r="AR197" s="62" t="str">
        <f aca="false">IF(Tasks[[#This Row],[Task Name]]="","",IF(N(Tasks[[#This Row],[Baseline Finish]])&gt;0,Tasks[[#This Row],[Baseline Finish]],Tasks[[#This Row],[_CalcFinish]]))</f>
        <v/>
      </c>
      <c r="AS197" s="46" t="str">
        <f aca="false">IF(Tasks[[#This Row],[Task Name]]="","",IF(Tasks[[#This Row],[Start]]&gt;=Tasks[[#This Row],[Planned Start]],NETWORKDAYS.INTL(Tasks[[#This Row],[Planned Start]],Tasks[[#This Row],[Start]],WorkWeek,Holidays)-1,1-NETWORKDAYS.INTL(Tasks[[#This Row],[Start]],Tasks[[#This Row],[Planned Start]],WorkWeek,Holidays)))</f>
        <v/>
      </c>
      <c r="AT197" s="62" t="str">
        <f aca="false">IF(Tasks[[#This Row],[Task Name]]="","",IF(Tasks[[#This Row],[_IsSummary]],MIN(INDEX(Tasks[_LeafLateStart],Tasks[[#This Row],[_Row]]+1):INDEX(Tasks[_LeafLateStart],Tasks[[#This Row],[_Row]]+Tasks[[#This Row],[_Descendants]])),Tasks[[#This Row],[_LeafLateStart]]))</f>
        <v/>
      </c>
      <c r="AU197" s="62" t="str">
        <f aca="false">IF(Tasks[[#This Row],[Task Name]]="","",IF(Tasks[[#This Row],[_IsSummary]],MAX(INDEX(Tasks[_LeafLateFinish],Tasks[[#This Row],[_Row]]+1):INDEX(Tasks[_LeafLateFinish],Tasks[[#This Row],[_Row]]+Tasks[[#This Row],[_Descendants]])),Tasks[[#This Row],[_LeafLateFinish]]))</f>
        <v/>
      </c>
      <c r="AV197" s="46" t="str">
        <f aca="false">IF(Tasks[[#This Row],[Task Name]]="","",IF(Tasks[[#This Row],[_IsSummary]],MIN(INDEX(Tasks[_LeafTotalSlack],Tasks[[#This Row],[_Row]]+1):INDEX(Tasks[_LeafTotalSlack],Tasks[[#This Row],[_Row]]+Tasks[[#This Row],[_Descendants]])),Tasks[[#This Row],[_LeafTotalSlack]]))</f>
        <v/>
      </c>
      <c r="AW197"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4"/>
      <c r="BA197"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t="str">
        <f aca="false">IF(Tasks[[#This Row],[Task Name]]="","",IF(Tasks[[#This Row],[_Level]]&lt;=OutlineShowLevel,"Yes","No"))</f>
        <v/>
      </c>
      <c r="BE197" s="85" t="str">
        <f aca="false">IF(Tasks[[#This Row],[Task Name]]="","",IF(Tasks[[#This Row],[_IsSummary]],SUM(INDEX(Tasks[_LeafTotalWork],Tasks[[#This Row],[_Row]]+1):INDEX(Tasks[_LeafTotalWork],Tasks[[#This Row],[_Row]]+Tasks[[#This Row],[_Descendants]])),Tasks[[#This Row],[_LeafTotalWork]]))</f>
        <v/>
      </c>
      <c r="BF197" s="23"/>
      <c r="BG197"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t="str">
        <f aca="false">""</f>
        <v/>
      </c>
      <c r="BI197" s="86"/>
      <c r="BJ197" s="22"/>
      <c r="BK197" s="46" t="str">
        <f aca="false">IF(OR(Tasks[[#This Row],[Task Name]]="",Tasks[[#This Row],[Baseline Duration]]=""),"",Tasks[[#This Row],[_SpanDays]]-N(Tasks[[#This Row],[Baseline Duration]]))</f>
        <v/>
      </c>
      <c r="BL197" s="85" t="str">
        <f aca="false">IF(OR(Tasks[[#This Row],[Task Name]]="",Tasks[[#This Row],[Baseline Work]]=""),"",Tasks[[#This Row],[Work]]-N(Tasks[[#This Row],[Baseline Work]]))</f>
        <v/>
      </c>
      <c r="BM197" s="62" t="str">
        <f aca="false">IF(Tasks[[#This Row],[Task Name]]="","",IF(OR(TakeBaseline="Yes",N(Tasks[[#This Row],[Baseline Start]])=0),Tasks[[#This Row],[Start]],Tasks[[#This Row],[Baseline Start]]))</f>
        <v/>
      </c>
      <c r="BN197" s="62" t="str">
        <f aca="false">IF(Tasks[[#This Row],[Task Name]]="","",IF(OR(TakeBaseline="Yes",N(Tasks[[#This Row],[Baseline Finish]])=0),Tasks[[#This Row],[Finish]],Tasks[[#This Row],[Baseline Finish]]))</f>
        <v/>
      </c>
      <c r="BO197" s="21" t="str">
        <f aca="false">IF(Tasks[[#This Row],[Task Name]]="","",IF(OR(TakeBaseline="Yes",N(Tasks[[#This Row],[Baseline Duration]])=0),Tasks[[#This Row],[_SpanDays]],Tasks[[#This Row],[Baseline Duration]]))</f>
        <v/>
      </c>
      <c r="BP197" s="85" t="str">
        <f aca="false">IF(Tasks[[#This Row],[Task Name]]="","",IF(OR(TakeBaseline="Yes",N(Tasks[[#This Row],[Baseline Work]])=0),Tasks[[#This Row],[Work]],Tasks[[#This Row],[Baseline Work]]))</f>
        <v/>
      </c>
      <c r="BQ197" s="7"/>
      <c r="BR197" s="7"/>
      <c r="BS197" s="22"/>
      <c r="BT197" s="87"/>
      <c r="BU197" s="42" t="str">
        <f aca="false">IF(Tasks[[#This Row],[Task Name]]="","",MAX(1,N(Tasks[[#This Row],[Level]])))</f>
        <v/>
      </c>
      <c r="BV197" s="42" t="n">
        <f aca="false">ROW()-ROW(Tasks[[#Headers],[ID]])</f>
        <v>192</v>
      </c>
      <c r="BW197" s="42" t="n">
        <f aca="false">IF(OR(Tasks[[#This Row],[Task Name]]="",Tasks[[#This Row],[_Level]]&lt;=1),0,IFERROR(LOOKUP(2,1/(Tasks[[#Headers],[_Level]]:Tasks[[#This Row],[_Level]]=Tasks[[#This Row],[_Level]]-1),ROW(Tasks[[#Headers],[_Level]]:Tasks[[#This Row],[_Level]])),0))</f>
        <v>0</v>
      </c>
      <c r="BX197" s="42" t="n">
        <f aca="false">IFERROR(N(INDEX(Tasks[_Level],Tasks[[#This Row],[_Row]]+1)),0)</f>
        <v>0</v>
      </c>
      <c r="BY197" s="88" t="b">
        <f aca="false">AND(Tasks[[#This Row],[Task Name]]&lt;&gt;"",Tasks[[#This Row],[_NextLevel]]&gt;Tasks[[#This Row],[_Level]])</f>
        <v>0</v>
      </c>
      <c r="BZ197" s="42" t="n">
        <f aca="false">IF(Tasks[[#This Row],[_IsSummary]],COUNTIF(Tasks[WBS],Tasks[[#This Row],[WBS]]&amp;".*"),0)</f>
        <v>0</v>
      </c>
      <c r="CA197" s="42" t="n">
        <f aca="false">IF(AND(Tasks[[#This Row],[Task Name]]&lt;&gt;"",NOT(Tasks[[#This Row],[_IsSummary]])),1,0)</f>
        <v>0</v>
      </c>
      <c r="CB197" s="42" t="n">
        <f aca="false">IF(N(Tasks[[#This Row],[_Pred1UID]])=0,0,IFERROR(MATCH(Tasks[[#This Row],[_Pred1UID]],Tasks[UID],0),-1))</f>
        <v>0</v>
      </c>
      <c r="CC197" s="42" t="n">
        <f aca="false">IF(N(Tasks[[#This Row],[_Pred2UID]])=0,0,IFERROR(MATCH(Tasks[[#This Row],[_Pred2UID]],Tasks[UID],0),-1))</f>
        <v>0</v>
      </c>
      <c r="CD197" s="42" t="n">
        <f aca="false">IF(N(Tasks[[#This Row],[_Pred3UID]])=0,0,IFERROR(MATCH(Tasks[[#This Row],[_Pred3UID]],Tasks[UID],0),-1))</f>
        <v>0</v>
      </c>
      <c r="CE197" s="42" t="n">
        <f aca="false">IF(N(Tasks[[#This Row],[_Pred4UID]])=0,0,IFERROR(MATCH(Tasks[[#This Row],[_Pred4UID]],Tasks[UID],0),-1))</f>
        <v>0</v>
      </c>
      <c r="CF197"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7"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7" s="89" t="n">
        <f aca="false">IF(OR(Tasks[[#This Row],[_ConstraintCode]]=2,Tasks[[#This Row],[_ConstraintCode]]=3,Tasks[[#This Row],[_ConstraintCode]]=4,Tasks[[#This Row],[_ConstraintCode]]=6),Tasks[[#This Row],[_ConstraintStart]],0)</f>
        <v>0</v>
      </c>
      <c r="CI197" s="89" t="n">
        <f aca="false">IF(OR(Tasks[[#This Row],[_ConstraintCode]]=2,Tasks[[#This Row],[_ConstraintCode]]=3,Tasks[[#This Row],[_ConstraintCode]]=5,Tasks[[#This Row],[_ConstraintCode]]=7),Tasks[[#This Row],[_ConstraintStart]],2958465)</f>
        <v>2958465</v>
      </c>
      <c r="CJ197"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7" s="89" t="str">
        <f aca="false">IF(NOT(Tasks[[#This Row],[_IsLeaf]]=1),"",IF(N(Tasks[[#This Row],[_Days]])&lt;=0,Tasks[[#This Row],[_LeafCalcStart]],WORKDAY.INTL(Tasks[[#This Row],[_LeafCalcStart]],Tasks[[#This Row],[_Days]]-1,WorkWeek,Holidays)))</f>
        <v/>
      </c>
      <c r="CL197"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7"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7" s="42" t="str">
        <f aca="false">IF(Tasks[[#This Row],[_Predecessors]]="","",TRIM(MID(SUBSTITUTE(SUBSTITUTE(SUBSTITUTE(UPPER(Tasks[[#This Row],[_Predecessors]]),";",",")," ",""),",",REPT(" ",99)),1,99)))</f>
        <v/>
      </c>
      <c r="CO197" s="42" t="str">
        <f aca="false">IF(Tasks[[#This Row],[_Pred1Text]]="","",IFERROR(VALUE(LEFT(Tasks[[#This Row],[_Pred1Text]],MIN(FIND("F",Tasks[[#This Row],[_Pred1Text]]&amp;"F"),FIND("S",Tasks[[#This Row],[_Pred1Text]]&amp;"S"),FIND("+",Tasks[[#This Row],[_Pred1Text]]&amp;"+"),FIND("-",Tasks[[#This Row],[_Pred1Text]]&amp;"-"))-1)),""))</f>
        <v/>
      </c>
      <c r="CP197"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7"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7" s="42" t="str">
        <f aca="false">IF(Tasks[[#This Row],[_Pred1Text]]="","",TRIM(MID(SUBSTITUTE(SUBSTITUTE(SUBSTITUTE(UPPER(Tasks[[#This Row],[_Predecessors]]),";",",")," ",""),",",REPT(" ",99)),100,99)))</f>
        <v/>
      </c>
      <c r="CS197" s="42" t="str">
        <f aca="false">IF(Tasks[[#This Row],[_Pred2Text]]="","",IFERROR(VALUE(LEFT(Tasks[[#This Row],[_Pred2Text]],MIN(FIND("F",Tasks[[#This Row],[_Pred2Text]]&amp;"F"),FIND("S",Tasks[[#This Row],[_Pred2Text]]&amp;"S"),FIND("+",Tasks[[#This Row],[_Pred2Text]]&amp;"+"),FIND("-",Tasks[[#This Row],[_Pred2Text]]&amp;"-"))-1)),""))</f>
        <v/>
      </c>
      <c r="CT197"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7"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7" s="42" t="str">
        <f aca="false">IF(Tasks[[#This Row],[_Pred2Text]]="","",TRIM(MID(SUBSTITUTE(SUBSTITUTE(SUBSTITUTE(UPPER(Tasks[[#This Row],[_Predecessors]]),";",",")," ",""),",",REPT(" ",99)),199,99)))</f>
        <v/>
      </c>
      <c r="CW197" s="42" t="str">
        <f aca="false">IF(Tasks[[#This Row],[_Pred3Text]]="","",IFERROR(VALUE(LEFT(Tasks[[#This Row],[_Pred3Text]],MIN(FIND("F",Tasks[[#This Row],[_Pred3Text]]&amp;"F"),FIND("S",Tasks[[#This Row],[_Pred3Text]]&amp;"S"),FIND("+",Tasks[[#This Row],[_Pred3Text]]&amp;"+"),FIND("-",Tasks[[#This Row],[_Pred3Text]]&amp;"-"))-1)),""))</f>
        <v/>
      </c>
      <c r="CX197"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7"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7" s="42" t="str">
        <f aca="false">IF(Tasks[[#This Row],[_Pred3Text]]="","",TRIM(MID(SUBSTITUTE(SUBSTITUTE(SUBSTITUTE(UPPER(Tasks[[#This Row],[_Predecessors]]),";",",")," ",""),",",REPT(" ",99)),298,99)))</f>
        <v/>
      </c>
      <c r="DA197" s="42" t="str">
        <f aca="false">IF(Tasks[[#This Row],[_Pred4Text]]="","",IFERROR(VALUE(LEFT(Tasks[[#This Row],[_Pred4Text]],MIN(FIND("F",Tasks[[#This Row],[_Pred4Text]]&amp;"F"),FIND("S",Tasks[[#This Row],[_Pred4Text]]&amp;"S"),FIND("+",Tasks[[#This Row],[_Pred4Text]]&amp;"+"),FIND("-",Tasks[[#This Row],[_Pred4Text]]&amp;"-"))-1)),""))</f>
        <v/>
      </c>
      <c r="DB197"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7"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7" s="42" t="str">
        <f aca="false">IF(OR(Tasks[[#This Row],[Task Name]]="",Tasks[[#This Row],[_Resources]]=""),"",TRIM(MID(SUBSTITUTE(Tasks[[#This Row],[_Resources]],",",REPT(" ",99)),1,99)))</f>
        <v/>
      </c>
      <c r="DE197" s="42" t="str">
        <f aca="false">IF(Tasks[[#This Row],[_Res1Text]]="","",TRIM(MID(SUBSTITUTE(Tasks[[#This Row],[_Resources]],",",REPT(" ",99)),100,99)))</f>
        <v/>
      </c>
      <c r="DF197" s="42" t="str">
        <f aca="false">IF(Tasks[[#This Row],[_Res2Text]]="","",TRIM(MID(SUBSTITUTE(Tasks[[#This Row],[_Resources]],",",REPT(" ",99)),199,99)))</f>
        <v/>
      </c>
      <c r="DG197" s="42" t="str">
        <f aca="false">IF(Tasks[[#This Row],[_Res3Text]]="","",TRIM(MID(SUBSTITUTE(Tasks[[#This Row],[_Resources]],",",REPT(" ",99)),298,99)))</f>
        <v/>
      </c>
      <c r="DH197" s="42" t="n">
        <f aca="false">IF(Tasks[[#This Row],[_Res1Text]]="",0,IFERROR(MATCH(TRIM(LEFT(Tasks[[#This Row],[_Res1Text]],FIND("[",Tasks[[#This Row],[_Res1Text]]&amp;"[")-1)),res_Name,0),IFERROR(MATCH(TRIM(LEFT(Tasks[[#This Row],[_Res1Text]],FIND("[",Tasks[[#This Row],[_Res1Text]]&amp;"[")-1)),res_Initials,0),0)))</f>
        <v>0</v>
      </c>
      <c r="DI197" s="42" t="n">
        <f aca="false">IF(Tasks[[#This Row],[_Res2Text]]="",0,IFERROR(MATCH(TRIM(LEFT(Tasks[[#This Row],[_Res2Text]],FIND("[",Tasks[[#This Row],[_Res2Text]]&amp;"[")-1)),res_Name,0),IFERROR(MATCH(TRIM(LEFT(Tasks[[#This Row],[_Res2Text]],FIND("[",Tasks[[#This Row],[_Res2Text]]&amp;"[")-1)),res_Initials,0),0)))</f>
        <v>0</v>
      </c>
      <c r="DJ197" s="42" t="n">
        <f aca="false">IF(Tasks[[#This Row],[_Res3Text]]="",0,IFERROR(MATCH(TRIM(LEFT(Tasks[[#This Row],[_Res3Text]],FIND("[",Tasks[[#This Row],[_Res3Text]]&amp;"[")-1)),res_Name,0),IFERROR(MATCH(TRIM(LEFT(Tasks[[#This Row],[_Res3Text]],FIND("[",Tasks[[#This Row],[_Res3Text]]&amp;"[")-1)),res_Initials,0),0)))</f>
        <v>0</v>
      </c>
      <c r="DK197" s="42" t="n">
        <f aca="false">IF(Tasks[[#This Row],[_Res4Text]]="",0,IFERROR(MATCH(TRIM(LEFT(Tasks[[#This Row],[_Res4Text]],FIND("[",Tasks[[#This Row],[_Res4Text]]&amp;"[")-1)),res_Name,0),IFERROR(MATCH(TRIM(LEFT(Tasks[[#This Row],[_Res4Text]],FIND("[",Tasks[[#This Row],[_Res4Text]]&amp;"[")-1)),res_Initials,0),0)))</f>
        <v>0</v>
      </c>
      <c r="DL197" s="42" t="str">
        <f aca="false">IF(Tasks[[#This Row],[_Res1Text]]="","",IF(Tasks[[#This Row],[_Res1Row]]&gt;0,INDEX(res_Name,Tasks[[#This Row],[_Res1Row]]),TRIM(LEFT(Tasks[[#This Row],[_Res1Text]],FIND("[",Tasks[[#This Row],[_Res1Text]]&amp;"[")-1))))</f>
        <v/>
      </c>
      <c r="DM197"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7" s="42" t="n">
        <f aca="false">IF(NOT(Tasks[[#This Row],[_IsLeaf]]=1),0,(Tasks[[#This Row],[_Resource1]]&lt;&gt;"")+(Tasks[[#This Row],[_Res2]]&lt;&gt;"")+(Tasks[[#This Row],[_Res3]]&lt;&gt;"")+(Tasks[[#This Row],[_Res4]]&lt;&gt;""))</f>
        <v>0</v>
      </c>
      <c r="DO197" s="42" t="str">
        <f aca="false">IF(Tasks[[#This Row],[_Res2Text]]="","",IF(Tasks[[#This Row],[_Res2Row]]&gt;0,INDEX(res_Name,Tasks[[#This Row],[_Res2Row]]),TRIM(LEFT(Tasks[[#This Row],[_Res2Text]],FIND("[",Tasks[[#This Row],[_Res2Text]]&amp;"[")-1))))</f>
        <v/>
      </c>
      <c r="DP197"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7" s="42" t="n">
        <f aca="false">IF(OR(NOT(Tasks[[#This Row],[_IsLeaf]]=1),Tasks[[#This Row],[_Res2Row]]=0),0,N(Tasks[[#This Row],[_Days]])*HoursPerDay*IF(Tasks[[#This Row],[_Res2Units]]="",DefaultUnits,Tasks[[#This Row],[_Res2Units]]))</f>
        <v>0</v>
      </c>
      <c r="DR197" s="42" t="n">
        <f aca="false">IF(AND(AND(Tasks[[#This Row],[_IsLeaf]]=1,Tasks[[#This Row],[_LeafTotalWork]]&gt;0),Tasks[[#This Row],[_Res2Work]]&gt;0),Tasks[[#This Row],[_Res2Work]]/(Tasks[[#This Row],[_FinishWorkday]]-Tasks[[#This Row],[_StartWorkday]]+1),0)</f>
        <v>0</v>
      </c>
      <c r="DS197" s="42" t="n">
        <f aca="false">Tasks[[#This Row],[_Res2WorkPerWD]]*MAX(0,Tasks[[#This Row],[_StartWorkday]]-1)</f>
        <v>0</v>
      </c>
      <c r="DT197" s="42" t="n">
        <f aca="false">Tasks[[#This Row],[_Res2Work]]*Tasks[[#This Row],[_LeafProgress]]</f>
        <v>0</v>
      </c>
      <c r="DU197" s="42" t="str">
        <f aca="false">IF(Tasks[[#This Row],[_Res3Text]]="","",IF(Tasks[[#This Row],[_Res3Row]]&gt;0,INDEX(res_Name,Tasks[[#This Row],[_Res3Row]]),TRIM(LEFT(Tasks[[#This Row],[_Res3Text]],FIND("[",Tasks[[#This Row],[_Res3Text]]&amp;"[")-1))))</f>
        <v/>
      </c>
      <c r="DV197"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7" s="42" t="n">
        <f aca="false">IF(OR(NOT(Tasks[[#This Row],[_IsLeaf]]=1),Tasks[[#This Row],[_Res3Row]]=0),0,N(Tasks[[#This Row],[_Days]])*HoursPerDay*IF(Tasks[[#This Row],[_Res3Units]]="",DefaultUnits,Tasks[[#This Row],[_Res3Units]]))</f>
        <v>0</v>
      </c>
      <c r="DX197" s="42" t="n">
        <f aca="false">IF(AND(AND(Tasks[[#This Row],[_IsLeaf]]=1,Tasks[[#This Row],[_LeafTotalWork]]&gt;0),Tasks[[#This Row],[_Res3Work]]&gt;0),Tasks[[#This Row],[_Res3Work]]/(Tasks[[#This Row],[_FinishWorkday]]-Tasks[[#This Row],[_StartWorkday]]+1),0)</f>
        <v>0</v>
      </c>
      <c r="DY197" s="42" t="n">
        <f aca="false">Tasks[[#This Row],[_Res3WorkPerWD]]*MAX(0,Tasks[[#This Row],[_StartWorkday]]-1)</f>
        <v>0</v>
      </c>
      <c r="DZ197" s="42" t="n">
        <f aca="false">Tasks[[#This Row],[_Res3Work]]*Tasks[[#This Row],[_LeafProgress]]</f>
        <v>0</v>
      </c>
      <c r="EA197" s="42" t="str">
        <f aca="false">IF(Tasks[[#This Row],[_Res4Text]]="","",IF(Tasks[[#This Row],[_Res4Row]]&gt;0,INDEX(res_Name,Tasks[[#This Row],[_Res4Row]]),TRIM(LEFT(Tasks[[#This Row],[_Res4Text]],FIND("[",Tasks[[#This Row],[_Res4Text]]&amp;"[")-1))))</f>
        <v/>
      </c>
      <c r="EB197"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7" s="42" t="n">
        <f aca="false">IF(OR(NOT(Tasks[[#This Row],[_IsLeaf]]=1),Tasks[[#This Row],[_Res4Row]]=0),0,N(Tasks[[#This Row],[_Days]])*HoursPerDay*IF(Tasks[[#This Row],[_Res4Units]]="",DefaultUnits,Tasks[[#This Row],[_Res4Units]]))</f>
        <v>0</v>
      </c>
      <c r="ED197" s="42" t="n">
        <f aca="false">IF(AND(AND(Tasks[[#This Row],[_IsLeaf]]=1,Tasks[[#This Row],[_LeafTotalWork]]&gt;0),Tasks[[#This Row],[_Res4Work]]&gt;0),Tasks[[#This Row],[_Res4Work]]/(Tasks[[#This Row],[_FinishWorkday]]-Tasks[[#This Row],[_StartWorkday]]+1),0)</f>
        <v>0</v>
      </c>
      <c r="EE197" s="42" t="n">
        <f aca="false">Tasks[[#This Row],[_Res4WorkPerWD]]*MAX(0,Tasks[[#This Row],[_StartWorkday]]-1)</f>
        <v>0</v>
      </c>
      <c r="EF197" s="42" t="n">
        <f aca="false">Tasks[[#This Row],[_Res4Work]]*Tasks[[#This Row],[_LeafProgress]]</f>
        <v>0</v>
      </c>
      <c r="EG197" s="42" t="n">
        <f aca="false">IF(ISNUMBER(Tasks[[#This Row],[% Complete]]),Tasks[[#This Row],[% Complete]],IF(Tasks[[#This Row],[Stage]]="",0,IFERROR(INDEX(stg_Pct,MATCH(Tasks[[#This Row],[Stage]],stg_Name,0)),0)))</f>
        <v>0</v>
      </c>
      <c r="EH197" s="42" t="n">
        <f aca="false">IF(NOT(Tasks[[#This Row],[_IsLeaf]]=1),0,IF(N(Tasks[[#This Row],[Actual Finish]])&gt;0,1,MIN(1,Tasks[[#This Row],[_Pct]])))</f>
        <v>0</v>
      </c>
      <c r="EI197" s="42" t="n">
        <f aca="false">IF(OR(NOT(Tasks[[#This Row],[_IsLeaf]]=1),Tasks[[#This Row],[_Res1Row]]=0),0,N(Tasks[[#This Row],[_Days]])*HoursPerDay*IF(Tasks[[#This Row],[_Units1]]="",DefaultUnits,Tasks[[#This Row],[_Units1]]))</f>
        <v>0</v>
      </c>
      <c r="EJ197" s="42" t="n">
        <f aca="false">Tasks[[#This Row],[_LeafWork]]+Tasks[[#This Row],[_Res2Work]]+Tasks[[#This Row],[_Res3Work]]+Tasks[[#This Row],[_Res4Work]]</f>
        <v>0</v>
      </c>
      <c r="EK197"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7"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7"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7"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7"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7"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7"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7"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7" s="42" t="n">
        <f aca="false">IF(NOT(Tasks[[#This Row],[_IsLeaf]]=1),0,MAX(_xlfn.MAXIFS(Tasks[_Row],Tasks[_Pred1UID],Tasks[[#This Row],[UID]]),_xlfn.MAXIFS(Tasks[_Row],Tasks[_Pred2UID],Tasks[[#This Row],[UID]]),_xlfn.MAXIFS(Tasks[_Row],Tasks[_Pred3UID],Tasks[[#This Row],[UID]]),_xlfn.MAXIFS(Tasks[_Row],Tasks[_Pred4UID],Tasks[[#This Row],[UID]])))</f>
        <v>0</v>
      </c>
      <c r="ET197"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7"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7" s="89" t="str">
        <f aca="false">IF(NOT(Tasks[[#This Row],[_IsLeaf]]=1),"",IF(N(Tasks[[#This Row],[_Days]])&lt;=0,Tasks[[#This Row],[_LeafLateFinish]],WORKDAY.INTL(Tasks[[#This Row],[_LeafLateFinish]],-(Tasks[[#This Row],[_Days]]-1),WorkWeek,Holidays)))</f>
        <v/>
      </c>
      <c r="EW197"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7" s="88" t="b">
        <f aca="false">AND(Tasks[[#This Row],[_IsLeaf]]=1,Tasks[[#This Row],[_LeafProgress]]&lt;1,N(Tasks[[#This Row],[_LeafTotalSlack]])&lt;=CriticalSlackDays)</f>
        <v>0</v>
      </c>
      <c r="EY197" s="42" t="n">
        <f aca="false">IF(AND(Tasks[[#This Row],[_IsLeaf]]=1,Tasks[[#This Row],[_ConstraintCode]]=1,Tasks[[#This Row],[Mode]]&lt;&gt;"Manual",N(Tasks[[#This Row],[Actual Start]])=0),MAX(0,N(Tasks[[#This Row],[Free Slack]])),0)</f>
        <v>0</v>
      </c>
      <c r="EZ197" s="89" t="str">
        <f aca="false">IF(NOT(Tasks[[#This Row],[_IsLeaf]]=1),"",IF(Tasks[[#This Row],[_AlapShift]]=0,Tasks[[#This Row],[_LeafCalcStart]],WORKDAY.INTL(Tasks[[#This Row],[_LeafCalcStart]],Tasks[[#This Row],[_AlapShift]],WorkWeek,Holidays)))</f>
        <v/>
      </c>
      <c r="FA197" s="89" t="str">
        <f aca="false">IF(NOT(Tasks[[#This Row],[_IsLeaf]]=1),"",IF(Tasks[[#This Row],[_AlapShift]]=0,Tasks[[#This Row],[_LeafCalcFinish]],WORKDAY.INTL(Tasks[[#This Row],[_LeafCalcFinish]],Tasks[[#This Row],[_AlapShift]],WorkWeek,Holidays)))</f>
        <v/>
      </c>
      <c r="FB197" s="89" t="str">
        <f aca="false">IF(NOT(Tasks[[#This Row],[_IsLeaf]]=1),"",IF(Tasks[[#This Row],[_AlapShift]]=0,Tasks[[#This Row],[_LeafFcstStart]],WORKDAY.INTL(Tasks[[#This Row],[_LeafFcstStart]],Tasks[[#This Row],[_AlapShift]],WorkWeek,Holidays)))</f>
        <v/>
      </c>
      <c r="FC197" s="89" t="str">
        <f aca="false">IF(NOT(Tasks[[#This Row],[_IsLeaf]]=1),"",IF(Tasks[[#This Row],[_AlapShift]]=0,Tasks[[#This Row],[_LeafFcstFinish]],WORKDAY.INTL(Tasks[[#This Row],[_LeafFcstFinish]],Tasks[[#This Row],[_AlapShift]],WorkWeek,Holidays)))</f>
        <v/>
      </c>
      <c r="FD197" s="89" t="str">
        <f aca="false">IF(Tasks[[#This Row],[Task Name]]="","",IF(Tasks[[#This Row],[_IsSummary]],MIN(INDEX(Tasks[_ShownCalcStart],Tasks[[#This Row],[_Row]]+1):INDEX(Tasks[_ShownCalcStart],Tasks[[#This Row],[_Row]]+Tasks[[#This Row],[_Descendants]])),Tasks[[#This Row],[_ShownCalcStart]]))</f>
        <v/>
      </c>
      <c r="FE197" s="89" t="str">
        <f aca="false">IF(Tasks[[#This Row],[Task Name]]="","",IF(Tasks[[#This Row],[_IsSummary]],MAX(INDEX(Tasks[_ShownCalcFinish],Tasks[[#This Row],[_Row]]+1):INDEX(Tasks[_ShownCalcFinish],Tasks[[#This Row],[_Row]]+Tasks[[#This Row],[_Descendants]])),Tasks[[#This Row],[_ShownCalcFinish]]))</f>
        <v/>
      </c>
      <c r="FF197"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7"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7"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7"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7"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7"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7"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7"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7"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7"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7"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7"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7" s="42" t="n">
        <f aca="false">IF(AND(Tasks[[#This Row],[_IsLeaf]]=1,Tasks[[#This Row],[_LeafTotalWork]]&gt;0),NETWORKDAYS.INTL(ProjectStart,Tasks[[#This Row],[_ShownFcstStart]],WorkWeek,Holidays),0)</f>
        <v>0</v>
      </c>
      <c r="FS197" s="42" t="n">
        <f aca="false">IF(AND(Tasks[[#This Row],[_IsLeaf]]=1,Tasks[[#This Row],[_LeafTotalWork]]&gt;0),MAX(Tasks[[#This Row],[_StartWorkday]],NETWORKDAYS.INTL(ProjectStart,Tasks[[#This Row],[_ShownFcstFinish]],WorkWeek,Holidays)),0)</f>
        <v>0</v>
      </c>
      <c r="FT197" s="42" t="n">
        <f aca="false">IF(AND(Tasks[[#This Row],[_IsLeaf]]=1,Tasks[[#This Row],[_LeafTotalWork]]&gt;0),Tasks[[#This Row],[_LeafWork]]/(Tasks[[#This Row],[_FinishWorkday]]-Tasks[[#This Row],[_StartWorkday]]+1),0)</f>
        <v>0</v>
      </c>
      <c r="FU197" s="42" t="n">
        <f aca="false">Tasks[[#This Row],[_WorkPerWorkday]]*(Tasks[[#This Row],[_StartWorkday]]-1)</f>
        <v>-0</v>
      </c>
      <c r="FV197" s="42" t="n">
        <f aca="false">IF(Tasks[[#This Row],[_IsLeaf]]=1,MAX(N(Tasks[[#This Row],[_Days]]),0.1),0)</f>
        <v>0</v>
      </c>
      <c r="FW197" s="42" t="n">
        <f aca="false">Tasks[[#This Row],[_WeightDur]]*Tasks[[#This Row],[_LeafProgress]]</f>
        <v>0</v>
      </c>
      <c r="FX197" s="42" t="n">
        <f aca="false">Tasks[[#This Row],[_WeightDur]]*Tasks[[#This Row],[_PlannedPct]]</f>
        <v>0</v>
      </c>
      <c r="FY197"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7" s="42" t="str">
        <f aca="false">IF(AND(Tasks[[#This Row],[_IsLeaf]]=1,N(Tasks[[#This Row],[_Days]])=0,Tasks[[#This Row],[_LeafProgress]]&lt;1),Tasks[[#This Row],[_ShownFcstFinish]]+Tasks[[#This Row],[_Row]]/100000,"")</f>
        <v/>
      </c>
      <c r="GA197"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7" s="42" t="str">
        <f aca="false">IF(Tasks[[#This Row],[Task Name]]="","",LEFT(Tasks[[#This Row],[WBS]],FIND(".",Tasks[[#This Row],[WBS]]&amp;".")-1))</f>
        <v/>
      </c>
      <c r="GC197" s="42" t="str">
        <f aca="false">IF(AND(Tasks[[#This Row],[Task Name]]&lt;&gt;"",Tasks[[#This Row],[_Level]]=1),Tasks[[#This Row],[_Row]],"")</f>
        <v/>
      </c>
      <c r="GD197" s="42" t="str">
        <f aca="false">IF(AND(Tasks[[#This Row],[_IsLeaf]]=1,N(Tasks[[#This Row],[_Days]])=0),Tasks[[#This Row],[Planned Finish]]+Tasks[[#This Row],[_Row]]/100000,"")</f>
        <v/>
      </c>
      <c r="GE197" s="42" t="str">
        <f aca="false">IF(AND(Tasks[[#This Row],[_IsLeaf]]=1,Tasks[[#This Row],[_LeafProgress]]&lt;1,OR(N(Tasks[[#This Row],[Finish Var]])&gt;0,Tasks[[#This Row],[Status]]="Late Start")),MAX(0,Tasks[[#This Row],[Finish Var]])+1-Tasks[[#This Row],[_Row]]/1000000,"")</f>
        <v/>
      </c>
      <c r="GF197" s="42" t="str">
        <f aca="false">IF(AND(Tasks[[#This Row],[_IsLeaf]]=1,N(Tasks[[#This Row],[Actual Start]])=0,Tasks[[#This Row],[_ShownFcstStart]]&gt;=StatusDate,Tasks[[#This Row],[_ShownFcstStart]]&lt;=LookaheadEnd),Tasks[[#This Row],[_ShownFcstStart]]+Tasks[[#This Row],[_Row]]/100000,"")</f>
        <v/>
      </c>
      <c r="GG197" s="42" t="str">
        <f aca="false">IF(AND(Tasks[[#This Row],[_IsLeaf]]=1,Tasks[[#This Row],[_LeafProgress]]&lt;1,Tasks[[#This Row],[_ShownFcstFinish]]&gt;=StatusDate,Tasks[[#This Row],[_ShownFcstFinish]]&lt;=LookaheadEnd),Tasks[[#This Row],[_ShownFcstFinish]]+Tasks[[#This Row],[_Row]]/100000,"")</f>
        <v/>
      </c>
      <c r="GH197" s="42" t="str">
        <f aca="false">IF(Tasks[[#This Row],[_LeafCritical]],Tasks[[#This Row],[_ShownFcstStart]]+Tasks[[#This Row],[_Row]]/100000,"")</f>
        <v/>
      </c>
      <c r="GI197" s="42" t="n">
        <f aca="false">Tasks[[#This Row],[_LeafWork]]*Tasks[[#This Row],[_LeafProgress]]</f>
        <v>0</v>
      </c>
      <c r="GJ197" s="89" t="str">
        <f aca="false">IF(AND(Tasks[[#This Row],[_IsLeaf]]=1,Tasks[[#This Row],[_LeafProgress]]&gt;=1),IF(N(Tasks[[#This Row],[Actual Finish]])&gt;0,Tasks[[#This Row],[Actual Finish]],Tasks[[#This Row],[_ShownFcstFinish]]),"")</f>
        <v/>
      </c>
      <c r="GK197" s="42" t="n">
        <f aca="false">IF(Tasks[[#This Row],[_IsLeaf]]=1,N(Tasks[[#This Row],[Story Points]]),0)</f>
        <v>0</v>
      </c>
      <c r="GL197" s="42" t="str">
        <f aca="false">""</f>
        <v/>
      </c>
      <c r="GM197" s="88" t="b">
        <f aca="false">IF(Tasks[[#This Row],[Task Name]]="",FALSE(),AND(Tasks[[#This Row],[_IsLeaf]]=1,N(Tasks[[#This Row],[_Days]])=0))</f>
        <v>0</v>
      </c>
      <c r="GN197" s="89" t="n">
        <f aca="false">IF(Tasks[[#This Row],[Task Name]]="",0,IF(AND(Tasks[[#This Row],[_IsLeaf]]=1,NOT(Tasks[[#This Row],[_IsMilestone]]),N(Tasks[[#This Row],[Progress]])&gt;0),Tasks[[#This Row],[Start]],0))</f>
        <v>0</v>
      </c>
      <c r="GO197" s="89" t="n">
        <f aca="false">IF(Tasks[[#This Row],[_DoneFrom]]=0,0,IF(Tasks[[#This Row],[Progress]]&gt;=1,Tasks[[#This Row],[Finish]],MAX(Tasks[[#This Row],[_DoneFrom]],Tasks[[#This Row],[Start]]+ROUND((Tasks[[#This Row],[Finish]]-Tasks[[#This Row],[Start]]+1)*Tasks[[#This Row],[Progress]],0)-1)))</f>
        <v>0</v>
      </c>
      <c r="GP197" s="89" t="n">
        <f aca="false">IF(Tasks[[#This Row],[Task Name]]="",0,IF(OR(NOT(Tasks[[#This Row],[_IsLeaf]]=1),Tasks[[#This Row],[_IsMilestone]],N(Tasks[[#This Row],[Progress]])&gt;=1),0,IF(Tasks[[#This Row],[_DoneTo]]&gt;0,Tasks[[#This Row],[_DoneTo]]+1,Tasks[[#This Row],[Start]])))</f>
        <v>0</v>
      </c>
      <c r="GQ197" s="89" t="n">
        <f aca="false">IF(Tasks[[#This Row],[_RemFrom]]=0,0,Tasks[[#This Row],[Finish]])</f>
        <v>0</v>
      </c>
      <c r="GR197" s="88" t="b">
        <f aca="false">IF(Tasks[[#This Row],[Task Name]]="",FALSE(),OR(NOT(BaselineSet),N(Tasks[[#This Row],[Baseline Start]])&gt;0))</f>
        <v>0</v>
      </c>
      <c r="GS197"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7"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7"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7" s="90" t="str">
        <f aca="false">IF(Tasks[[#This Row],[_IsLeaf]]=1,Tasks[[#This Row],[_Row]],"")</f>
        <v/>
      </c>
      <c r="GW197" s="90" t="str">
        <f aca="false">IFERROR(INDEX(Tasks[UID],SMALL(Tasks[_PickKey],Tasks[[#This Row],[_Row]]))&amp;" "&amp;INDEX(Tasks[Task Name],SMALL(Tasks[_PickKey],Tasks[[#This Row],[_Row]])),"")</f>
        <v/>
      </c>
      <c r="GX197" s="42" t="str">
        <f aca="false">IF(Tasks[[#This Row],[Task Name]]="","",IF(Tasks[[#This Row],[_IsSummary]],NETWORKDAYS.INTL(Tasks[[#This Row],[Start]],Tasks[[#This Row],[Finish]],WorkWeek,Holidays),N(Tasks[[#This Row],[_Days]])))</f>
        <v/>
      </c>
    </row>
    <row r="198" customFormat="false" ht="15" hidden="false" customHeight="false" outlineLevel="0" collapsed="false">
      <c r="A198" s="21" t="str">
        <f aca="false">IF(Tasks[[#This Row],[Task Name]]="","",COUNTA(Tasks[[#Headers],[Task Name]]:Tasks[[#This Row],[Task Name]])-1)</f>
        <v/>
      </c>
      <c r="B198" s="22" t="n">
        <v>206</v>
      </c>
      <c r="C198" s="22"/>
      <c r="D198" s="23"/>
      <c r="E198" s="22"/>
      <c r="F198" s="23"/>
      <c r="G198" s="22"/>
      <c r="H198" s="22"/>
      <c r="I198" s="23"/>
      <c r="J198" s="22"/>
      <c r="K198" s="22"/>
      <c r="L198" s="23"/>
      <c r="M198" s="22"/>
      <c r="N198" s="22"/>
      <c r="O198" s="23"/>
      <c r="P198" s="22"/>
      <c r="Q198" s="22"/>
      <c r="R198" s="23"/>
      <c r="S198" s="23"/>
      <c r="T198" s="83"/>
      <c r="U198" s="23"/>
      <c r="V198" s="83"/>
      <c r="W198" s="23"/>
      <c r="X198" s="83"/>
      <c r="Y198" s="23"/>
      <c r="Z198" s="83"/>
      <c r="AA198" s="23"/>
      <c r="AB198" s="23"/>
      <c r="AC198" s="7"/>
      <c r="AD198" s="7"/>
      <c r="AE198" s="62" t="str">
        <f aca="false">IF(Tasks[[#This Row],[Task Name]]="","",IF(Tasks[[#This Row],[_IsSummary]],MIN(INDEX(Tasks[_ShownFcstStart],Tasks[[#This Row],[_Row]]+1):INDEX(Tasks[_ShownFcstStart],Tasks[[#This Row],[_Row]]+Tasks[[#This Row],[_Descendants]])),Tasks[[#This Row],[_ShownFcstStart]]))</f>
        <v/>
      </c>
      <c r="AF198" s="62" t="str">
        <f aca="false">IF(Tasks[[#This Row],[Task Name]]="","",IF(Tasks[[#This Row],[_IsSummary]],MAX(INDEX(Tasks[_ShownFcstFinish],Tasks[[#This Row],[_Row]]+1):INDEX(Tasks[_ShownFcstFinish],Tasks[[#This Row],[_Row]]+Tasks[[#This Row],[_Descendants]])),Tasks[[#This Row],[_ShownFcstFinish]]))</f>
        <v/>
      </c>
      <c r="AG198" s="21" t="str">
        <f aca="false">""</f>
        <v/>
      </c>
      <c r="AH198" s="23"/>
      <c r="AI198"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8" s="7"/>
      <c r="AK198" s="22"/>
      <c r="AL198" s="23"/>
      <c r="AM198" s="7"/>
      <c r="AN198" s="46" t="str">
        <f aca="false">IF(Tasks[[#This Row],[Task Name]]="","",IF(Tasks[[#This Row],[Finish]]&gt;=Tasks[[#This Row],[Planned Finish]],NETWORKDAYS.INTL(Tasks[[#This Row],[Planned Finish]],Tasks[[#This Row],[Finish]],WorkWeek,Holidays)-1,1-NETWORKDAYS.INTL(Tasks[[#This Row],[Finish]],Tasks[[#This Row],[Planned Finish]],WorkWeek,Holidays)))</f>
        <v/>
      </c>
      <c r="AO198" s="21" t="str">
        <f aca="false">IF(Tasks[[#This Row],[Task Name]]="","",IF(Tasks[[#This Row],[Progress]]&gt;=1,"Complete",IF(OR(N(Tasks[[#This Row],[Actual Start]])&gt;0,Tasks[[#This Row],[Progress]]&gt;0),IF(Tasks[[#This Row],[Finish Var]]&gt;0,"Behind","In Progress"),IF(Tasks[[#This Row],[Planned Start]]&lt;StatusDate,"Late Start","Not Started"))))</f>
        <v/>
      </c>
      <c r="AP198" s="21" t="str">
        <f aca="false">IF(Tasks[[#This Row],[Task Name]]="","",IF(IF(Tasks[[#This Row],[_IsSummary]],COUNTIF(INDEX(Tasks[_LeafCritical],Tasks[[#This Row],[_Row]]+1):INDEX(Tasks[_LeafCritical],Tasks[[#This Row],[_Row]]+Tasks[[#This Row],[_Descendants]]),TRUE())&gt;0,Tasks[[#This Row],[_LeafCritical]]),"Yes",""))</f>
        <v/>
      </c>
      <c r="AQ198" s="62" t="str">
        <f aca="false">IF(Tasks[[#This Row],[Task Name]]="","",IF(N(Tasks[[#This Row],[Baseline Start]])&gt;0,Tasks[[#This Row],[Baseline Start]],Tasks[[#This Row],[_CalcStart]]))</f>
        <v/>
      </c>
      <c r="AR198" s="62" t="str">
        <f aca="false">IF(Tasks[[#This Row],[Task Name]]="","",IF(N(Tasks[[#This Row],[Baseline Finish]])&gt;0,Tasks[[#This Row],[Baseline Finish]],Tasks[[#This Row],[_CalcFinish]]))</f>
        <v/>
      </c>
      <c r="AS198" s="46" t="str">
        <f aca="false">IF(Tasks[[#This Row],[Task Name]]="","",IF(Tasks[[#This Row],[Start]]&gt;=Tasks[[#This Row],[Planned Start]],NETWORKDAYS.INTL(Tasks[[#This Row],[Planned Start]],Tasks[[#This Row],[Start]],WorkWeek,Holidays)-1,1-NETWORKDAYS.INTL(Tasks[[#This Row],[Start]],Tasks[[#This Row],[Planned Start]],WorkWeek,Holidays)))</f>
        <v/>
      </c>
      <c r="AT198" s="62" t="str">
        <f aca="false">IF(Tasks[[#This Row],[Task Name]]="","",IF(Tasks[[#This Row],[_IsSummary]],MIN(INDEX(Tasks[_LeafLateStart],Tasks[[#This Row],[_Row]]+1):INDEX(Tasks[_LeafLateStart],Tasks[[#This Row],[_Row]]+Tasks[[#This Row],[_Descendants]])),Tasks[[#This Row],[_LeafLateStart]]))</f>
        <v/>
      </c>
      <c r="AU198" s="62" t="str">
        <f aca="false">IF(Tasks[[#This Row],[Task Name]]="","",IF(Tasks[[#This Row],[_IsSummary]],MAX(INDEX(Tasks[_LeafLateFinish],Tasks[[#This Row],[_Row]]+1):INDEX(Tasks[_LeafLateFinish],Tasks[[#This Row],[_Row]]+Tasks[[#This Row],[_Descendants]])),Tasks[[#This Row],[_LeafLateFinish]]))</f>
        <v/>
      </c>
      <c r="AV198" s="46" t="str">
        <f aca="false">IF(Tasks[[#This Row],[Task Name]]="","",IF(Tasks[[#This Row],[_IsSummary]],MIN(INDEX(Tasks[_LeafTotalSlack],Tasks[[#This Row],[_Row]]+1):INDEX(Tasks[_LeafTotalSlack],Tasks[[#This Row],[_Row]]+Tasks[[#This Row],[_Descendants]])),Tasks[[#This Row],[_LeafTotalSlack]]))</f>
        <v/>
      </c>
      <c r="AW198"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4"/>
      <c r="BA198"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t="str">
        <f aca="false">IF(Tasks[[#This Row],[Task Name]]="","",IF(Tasks[[#This Row],[_Level]]&lt;=OutlineShowLevel,"Yes","No"))</f>
        <v/>
      </c>
      <c r="BE198" s="85" t="str">
        <f aca="false">IF(Tasks[[#This Row],[Task Name]]="","",IF(Tasks[[#This Row],[_IsSummary]],SUM(INDEX(Tasks[_LeafTotalWork],Tasks[[#This Row],[_Row]]+1):INDEX(Tasks[_LeafTotalWork],Tasks[[#This Row],[_Row]]+Tasks[[#This Row],[_Descendants]])),Tasks[[#This Row],[_LeafTotalWork]]))</f>
        <v/>
      </c>
      <c r="BF198" s="23"/>
      <c r="BG198"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t="str">
        <f aca="false">""</f>
        <v/>
      </c>
      <c r="BI198" s="86"/>
      <c r="BJ198" s="22"/>
      <c r="BK198" s="46" t="str">
        <f aca="false">IF(OR(Tasks[[#This Row],[Task Name]]="",Tasks[[#This Row],[Baseline Duration]]=""),"",Tasks[[#This Row],[_SpanDays]]-N(Tasks[[#This Row],[Baseline Duration]]))</f>
        <v/>
      </c>
      <c r="BL198" s="85" t="str">
        <f aca="false">IF(OR(Tasks[[#This Row],[Task Name]]="",Tasks[[#This Row],[Baseline Work]]=""),"",Tasks[[#This Row],[Work]]-N(Tasks[[#This Row],[Baseline Work]]))</f>
        <v/>
      </c>
      <c r="BM198" s="62" t="str">
        <f aca="false">IF(Tasks[[#This Row],[Task Name]]="","",IF(OR(TakeBaseline="Yes",N(Tasks[[#This Row],[Baseline Start]])=0),Tasks[[#This Row],[Start]],Tasks[[#This Row],[Baseline Start]]))</f>
        <v/>
      </c>
      <c r="BN198" s="62" t="str">
        <f aca="false">IF(Tasks[[#This Row],[Task Name]]="","",IF(OR(TakeBaseline="Yes",N(Tasks[[#This Row],[Baseline Finish]])=0),Tasks[[#This Row],[Finish]],Tasks[[#This Row],[Baseline Finish]]))</f>
        <v/>
      </c>
      <c r="BO198" s="21" t="str">
        <f aca="false">IF(Tasks[[#This Row],[Task Name]]="","",IF(OR(TakeBaseline="Yes",N(Tasks[[#This Row],[Baseline Duration]])=0),Tasks[[#This Row],[_SpanDays]],Tasks[[#This Row],[Baseline Duration]]))</f>
        <v/>
      </c>
      <c r="BP198" s="85" t="str">
        <f aca="false">IF(Tasks[[#This Row],[Task Name]]="","",IF(OR(TakeBaseline="Yes",N(Tasks[[#This Row],[Baseline Work]])=0),Tasks[[#This Row],[Work]],Tasks[[#This Row],[Baseline Work]]))</f>
        <v/>
      </c>
      <c r="BQ198" s="7"/>
      <c r="BR198" s="7"/>
      <c r="BS198" s="22"/>
      <c r="BT198" s="87"/>
      <c r="BU198" s="42" t="str">
        <f aca="false">IF(Tasks[[#This Row],[Task Name]]="","",MAX(1,N(Tasks[[#This Row],[Level]])))</f>
        <v/>
      </c>
      <c r="BV198" s="42" t="n">
        <f aca="false">ROW()-ROW(Tasks[[#Headers],[ID]])</f>
        <v>193</v>
      </c>
      <c r="BW198" s="42" t="n">
        <f aca="false">IF(OR(Tasks[[#This Row],[Task Name]]="",Tasks[[#This Row],[_Level]]&lt;=1),0,IFERROR(LOOKUP(2,1/(Tasks[[#Headers],[_Level]]:Tasks[[#This Row],[_Level]]=Tasks[[#This Row],[_Level]]-1),ROW(Tasks[[#Headers],[_Level]]:Tasks[[#This Row],[_Level]])),0))</f>
        <v>0</v>
      </c>
      <c r="BX198" s="42" t="n">
        <f aca="false">IFERROR(N(INDEX(Tasks[_Level],Tasks[[#This Row],[_Row]]+1)),0)</f>
        <v>0</v>
      </c>
      <c r="BY198" s="88" t="b">
        <f aca="false">AND(Tasks[[#This Row],[Task Name]]&lt;&gt;"",Tasks[[#This Row],[_NextLevel]]&gt;Tasks[[#This Row],[_Level]])</f>
        <v>0</v>
      </c>
      <c r="BZ198" s="42" t="n">
        <f aca="false">IF(Tasks[[#This Row],[_IsSummary]],COUNTIF(Tasks[WBS],Tasks[[#This Row],[WBS]]&amp;".*"),0)</f>
        <v>0</v>
      </c>
      <c r="CA198" s="42" t="n">
        <f aca="false">IF(AND(Tasks[[#This Row],[Task Name]]&lt;&gt;"",NOT(Tasks[[#This Row],[_IsSummary]])),1,0)</f>
        <v>0</v>
      </c>
      <c r="CB198" s="42" t="n">
        <f aca="false">IF(N(Tasks[[#This Row],[_Pred1UID]])=0,0,IFERROR(MATCH(Tasks[[#This Row],[_Pred1UID]],Tasks[UID],0),-1))</f>
        <v>0</v>
      </c>
      <c r="CC198" s="42" t="n">
        <f aca="false">IF(N(Tasks[[#This Row],[_Pred2UID]])=0,0,IFERROR(MATCH(Tasks[[#This Row],[_Pred2UID]],Tasks[UID],0),-1))</f>
        <v>0</v>
      </c>
      <c r="CD198" s="42" t="n">
        <f aca="false">IF(N(Tasks[[#This Row],[_Pred3UID]])=0,0,IFERROR(MATCH(Tasks[[#This Row],[_Pred3UID]],Tasks[UID],0),-1))</f>
        <v>0</v>
      </c>
      <c r="CE198" s="42" t="n">
        <f aca="false">IF(N(Tasks[[#This Row],[_Pred4UID]])=0,0,IFERROR(MATCH(Tasks[[#This Row],[_Pred4UID]],Tasks[UID],0),-1))</f>
        <v>0</v>
      </c>
      <c r="CF198"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8"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8" s="89" t="n">
        <f aca="false">IF(OR(Tasks[[#This Row],[_ConstraintCode]]=2,Tasks[[#This Row],[_ConstraintCode]]=3,Tasks[[#This Row],[_ConstraintCode]]=4,Tasks[[#This Row],[_ConstraintCode]]=6),Tasks[[#This Row],[_ConstraintStart]],0)</f>
        <v>0</v>
      </c>
      <c r="CI198" s="89" t="n">
        <f aca="false">IF(OR(Tasks[[#This Row],[_ConstraintCode]]=2,Tasks[[#This Row],[_ConstraintCode]]=3,Tasks[[#This Row],[_ConstraintCode]]=5,Tasks[[#This Row],[_ConstraintCode]]=7),Tasks[[#This Row],[_ConstraintStart]],2958465)</f>
        <v>2958465</v>
      </c>
      <c r="CJ198"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8" s="89" t="str">
        <f aca="false">IF(NOT(Tasks[[#This Row],[_IsLeaf]]=1),"",IF(N(Tasks[[#This Row],[_Days]])&lt;=0,Tasks[[#This Row],[_LeafCalcStart]],WORKDAY.INTL(Tasks[[#This Row],[_LeafCalcStart]],Tasks[[#This Row],[_Days]]-1,WorkWeek,Holidays)))</f>
        <v/>
      </c>
      <c r="CL198"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8"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8" s="42" t="str">
        <f aca="false">IF(Tasks[[#This Row],[_Predecessors]]="","",TRIM(MID(SUBSTITUTE(SUBSTITUTE(SUBSTITUTE(UPPER(Tasks[[#This Row],[_Predecessors]]),";",",")," ",""),",",REPT(" ",99)),1,99)))</f>
        <v/>
      </c>
      <c r="CO198" s="42" t="str">
        <f aca="false">IF(Tasks[[#This Row],[_Pred1Text]]="","",IFERROR(VALUE(LEFT(Tasks[[#This Row],[_Pred1Text]],MIN(FIND("F",Tasks[[#This Row],[_Pred1Text]]&amp;"F"),FIND("S",Tasks[[#This Row],[_Pred1Text]]&amp;"S"),FIND("+",Tasks[[#This Row],[_Pred1Text]]&amp;"+"),FIND("-",Tasks[[#This Row],[_Pred1Text]]&amp;"-"))-1)),""))</f>
        <v/>
      </c>
      <c r="CP198"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8"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8" s="42" t="str">
        <f aca="false">IF(Tasks[[#This Row],[_Pred1Text]]="","",TRIM(MID(SUBSTITUTE(SUBSTITUTE(SUBSTITUTE(UPPER(Tasks[[#This Row],[_Predecessors]]),";",",")," ",""),",",REPT(" ",99)),100,99)))</f>
        <v/>
      </c>
      <c r="CS198" s="42" t="str">
        <f aca="false">IF(Tasks[[#This Row],[_Pred2Text]]="","",IFERROR(VALUE(LEFT(Tasks[[#This Row],[_Pred2Text]],MIN(FIND("F",Tasks[[#This Row],[_Pred2Text]]&amp;"F"),FIND("S",Tasks[[#This Row],[_Pred2Text]]&amp;"S"),FIND("+",Tasks[[#This Row],[_Pred2Text]]&amp;"+"),FIND("-",Tasks[[#This Row],[_Pred2Text]]&amp;"-"))-1)),""))</f>
        <v/>
      </c>
      <c r="CT198"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8"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8" s="42" t="str">
        <f aca="false">IF(Tasks[[#This Row],[_Pred2Text]]="","",TRIM(MID(SUBSTITUTE(SUBSTITUTE(SUBSTITUTE(UPPER(Tasks[[#This Row],[_Predecessors]]),";",",")," ",""),",",REPT(" ",99)),199,99)))</f>
        <v/>
      </c>
      <c r="CW198" s="42" t="str">
        <f aca="false">IF(Tasks[[#This Row],[_Pred3Text]]="","",IFERROR(VALUE(LEFT(Tasks[[#This Row],[_Pred3Text]],MIN(FIND("F",Tasks[[#This Row],[_Pred3Text]]&amp;"F"),FIND("S",Tasks[[#This Row],[_Pred3Text]]&amp;"S"),FIND("+",Tasks[[#This Row],[_Pred3Text]]&amp;"+"),FIND("-",Tasks[[#This Row],[_Pred3Text]]&amp;"-"))-1)),""))</f>
        <v/>
      </c>
      <c r="CX198"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8"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8" s="42" t="str">
        <f aca="false">IF(Tasks[[#This Row],[_Pred3Text]]="","",TRIM(MID(SUBSTITUTE(SUBSTITUTE(SUBSTITUTE(UPPER(Tasks[[#This Row],[_Predecessors]]),";",",")," ",""),",",REPT(" ",99)),298,99)))</f>
        <v/>
      </c>
      <c r="DA198" s="42" t="str">
        <f aca="false">IF(Tasks[[#This Row],[_Pred4Text]]="","",IFERROR(VALUE(LEFT(Tasks[[#This Row],[_Pred4Text]],MIN(FIND("F",Tasks[[#This Row],[_Pred4Text]]&amp;"F"),FIND("S",Tasks[[#This Row],[_Pred4Text]]&amp;"S"),FIND("+",Tasks[[#This Row],[_Pred4Text]]&amp;"+"),FIND("-",Tasks[[#This Row],[_Pred4Text]]&amp;"-"))-1)),""))</f>
        <v/>
      </c>
      <c r="DB198"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8"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8" s="42" t="str">
        <f aca="false">IF(OR(Tasks[[#This Row],[Task Name]]="",Tasks[[#This Row],[_Resources]]=""),"",TRIM(MID(SUBSTITUTE(Tasks[[#This Row],[_Resources]],",",REPT(" ",99)),1,99)))</f>
        <v/>
      </c>
      <c r="DE198" s="42" t="str">
        <f aca="false">IF(Tasks[[#This Row],[_Res1Text]]="","",TRIM(MID(SUBSTITUTE(Tasks[[#This Row],[_Resources]],",",REPT(" ",99)),100,99)))</f>
        <v/>
      </c>
      <c r="DF198" s="42" t="str">
        <f aca="false">IF(Tasks[[#This Row],[_Res2Text]]="","",TRIM(MID(SUBSTITUTE(Tasks[[#This Row],[_Resources]],",",REPT(" ",99)),199,99)))</f>
        <v/>
      </c>
      <c r="DG198" s="42" t="str">
        <f aca="false">IF(Tasks[[#This Row],[_Res3Text]]="","",TRIM(MID(SUBSTITUTE(Tasks[[#This Row],[_Resources]],",",REPT(" ",99)),298,99)))</f>
        <v/>
      </c>
      <c r="DH198" s="42" t="n">
        <f aca="false">IF(Tasks[[#This Row],[_Res1Text]]="",0,IFERROR(MATCH(TRIM(LEFT(Tasks[[#This Row],[_Res1Text]],FIND("[",Tasks[[#This Row],[_Res1Text]]&amp;"[")-1)),res_Name,0),IFERROR(MATCH(TRIM(LEFT(Tasks[[#This Row],[_Res1Text]],FIND("[",Tasks[[#This Row],[_Res1Text]]&amp;"[")-1)),res_Initials,0),0)))</f>
        <v>0</v>
      </c>
      <c r="DI198" s="42" t="n">
        <f aca="false">IF(Tasks[[#This Row],[_Res2Text]]="",0,IFERROR(MATCH(TRIM(LEFT(Tasks[[#This Row],[_Res2Text]],FIND("[",Tasks[[#This Row],[_Res2Text]]&amp;"[")-1)),res_Name,0),IFERROR(MATCH(TRIM(LEFT(Tasks[[#This Row],[_Res2Text]],FIND("[",Tasks[[#This Row],[_Res2Text]]&amp;"[")-1)),res_Initials,0),0)))</f>
        <v>0</v>
      </c>
      <c r="DJ198" s="42" t="n">
        <f aca="false">IF(Tasks[[#This Row],[_Res3Text]]="",0,IFERROR(MATCH(TRIM(LEFT(Tasks[[#This Row],[_Res3Text]],FIND("[",Tasks[[#This Row],[_Res3Text]]&amp;"[")-1)),res_Name,0),IFERROR(MATCH(TRIM(LEFT(Tasks[[#This Row],[_Res3Text]],FIND("[",Tasks[[#This Row],[_Res3Text]]&amp;"[")-1)),res_Initials,0),0)))</f>
        <v>0</v>
      </c>
      <c r="DK198" s="42" t="n">
        <f aca="false">IF(Tasks[[#This Row],[_Res4Text]]="",0,IFERROR(MATCH(TRIM(LEFT(Tasks[[#This Row],[_Res4Text]],FIND("[",Tasks[[#This Row],[_Res4Text]]&amp;"[")-1)),res_Name,0),IFERROR(MATCH(TRIM(LEFT(Tasks[[#This Row],[_Res4Text]],FIND("[",Tasks[[#This Row],[_Res4Text]]&amp;"[")-1)),res_Initials,0),0)))</f>
        <v>0</v>
      </c>
      <c r="DL198" s="42" t="str">
        <f aca="false">IF(Tasks[[#This Row],[_Res1Text]]="","",IF(Tasks[[#This Row],[_Res1Row]]&gt;0,INDEX(res_Name,Tasks[[#This Row],[_Res1Row]]),TRIM(LEFT(Tasks[[#This Row],[_Res1Text]],FIND("[",Tasks[[#This Row],[_Res1Text]]&amp;"[")-1))))</f>
        <v/>
      </c>
      <c r="DM198"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8" s="42" t="n">
        <f aca="false">IF(NOT(Tasks[[#This Row],[_IsLeaf]]=1),0,(Tasks[[#This Row],[_Resource1]]&lt;&gt;"")+(Tasks[[#This Row],[_Res2]]&lt;&gt;"")+(Tasks[[#This Row],[_Res3]]&lt;&gt;"")+(Tasks[[#This Row],[_Res4]]&lt;&gt;""))</f>
        <v>0</v>
      </c>
      <c r="DO198" s="42" t="str">
        <f aca="false">IF(Tasks[[#This Row],[_Res2Text]]="","",IF(Tasks[[#This Row],[_Res2Row]]&gt;0,INDEX(res_Name,Tasks[[#This Row],[_Res2Row]]),TRIM(LEFT(Tasks[[#This Row],[_Res2Text]],FIND("[",Tasks[[#This Row],[_Res2Text]]&amp;"[")-1))))</f>
        <v/>
      </c>
      <c r="DP198"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8" s="42" t="n">
        <f aca="false">IF(OR(NOT(Tasks[[#This Row],[_IsLeaf]]=1),Tasks[[#This Row],[_Res2Row]]=0),0,N(Tasks[[#This Row],[_Days]])*HoursPerDay*IF(Tasks[[#This Row],[_Res2Units]]="",DefaultUnits,Tasks[[#This Row],[_Res2Units]]))</f>
        <v>0</v>
      </c>
      <c r="DR198" s="42" t="n">
        <f aca="false">IF(AND(AND(Tasks[[#This Row],[_IsLeaf]]=1,Tasks[[#This Row],[_LeafTotalWork]]&gt;0),Tasks[[#This Row],[_Res2Work]]&gt;0),Tasks[[#This Row],[_Res2Work]]/(Tasks[[#This Row],[_FinishWorkday]]-Tasks[[#This Row],[_StartWorkday]]+1),0)</f>
        <v>0</v>
      </c>
      <c r="DS198" s="42" t="n">
        <f aca="false">Tasks[[#This Row],[_Res2WorkPerWD]]*MAX(0,Tasks[[#This Row],[_StartWorkday]]-1)</f>
        <v>0</v>
      </c>
      <c r="DT198" s="42" t="n">
        <f aca="false">Tasks[[#This Row],[_Res2Work]]*Tasks[[#This Row],[_LeafProgress]]</f>
        <v>0</v>
      </c>
      <c r="DU198" s="42" t="str">
        <f aca="false">IF(Tasks[[#This Row],[_Res3Text]]="","",IF(Tasks[[#This Row],[_Res3Row]]&gt;0,INDEX(res_Name,Tasks[[#This Row],[_Res3Row]]),TRIM(LEFT(Tasks[[#This Row],[_Res3Text]],FIND("[",Tasks[[#This Row],[_Res3Text]]&amp;"[")-1))))</f>
        <v/>
      </c>
      <c r="DV198"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8" s="42" t="n">
        <f aca="false">IF(OR(NOT(Tasks[[#This Row],[_IsLeaf]]=1),Tasks[[#This Row],[_Res3Row]]=0),0,N(Tasks[[#This Row],[_Days]])*HoursPerDay*IF(Tasks[[#This Row],[_Res3Units]]="",DefaultUnits,Tasks[[#This Row],[_Res3Units]]))</f>
        <v>0</v>
      </c>
      <c r="DX198" s="42" t="n">
        <f aca="false">IF(AND(AND(Tasks[[#This Row],[_IsLeaf]]=1,Tasks[[#This Row],[_LeafTotalWork]]&gt;0),Tasks[[#This Row],[_Res3Work]]&gt;0),Tasks[[#This Row],[_Res3Work]]/(Tasks[[#This Row],[_FinishWorkday]]-Tasks[[#This Row],[_StartWorkday]]+1),0)</f>
        <v>0</v>
      </c>
      <c r="DY198" s="42" t="n">
        <f aca="false">Tasks[[#This Row],[_Res3WorkPerWD]]*MAX(0,Tasks[[#This Row],[_StartWorkday]]-1)</f>
        <v>0</v>
      </c>
      <c r="DZ198" s="42" t="n">
        <f aca="false">Tasks[[#This Row],[_Res3Work]]*Tasks[[#This Row],[_LeafProgress]]</f>
        <v>0</v>
      </c>
      <c r="EA198" s="42" t="str">
        <f aca="false">IF(Tasks[[#This Row],[_Res4Text]]="","",IF(Tasks[[#This Row],[_Res4Row]]&gt;0,INDEX(res_Name,Tasks[[#This Row],[_Res4Row]]),TRIM(LEFT(Tasks[[#This Row],[_Res4Text]],FIND("[",Tasks[[#This Row],[_Res4Text]]&amp;"[")-1))))</f>
        <v/>
      </c>
      <c r="EB198"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8" s="42" t="n">
        <f aca="false">IF(OR(NOT(Tasks[[#This Row],[_IsLeaf]]=1),Tasks[[#This Row],[_Res4Row]]=0),0,N(Tasks[[#This Row],[_Days]])*HoursPerDay*IF(Tasks[[#This Row],[_Res4Units]]="",DefaultUnits,Tasks[[#This Row],[_Res4Units]]))</f>
        <v>0</v>
      </c>
      <c r="ED198" s="42" t="n">
        <f aca="false">IF(AND(AND(Tasks[[#This Row],[_IsLeaf]]=1,Tasks[[#This Row],[_LeafTotalWork]]&gt;0),Tasks[[#This Row],[_Res4Work]]&gt;0),Tasks[[#This Row],[_Res4Work]]/(Tasks[[#This Row],[_FinishWorkday]]-Tasks[[#This Row],[_StartWorkday]]+1),0)</f>
        <v>0</v>
      </c>
      <c r="EE198" s="42" t="n">
        <f aca="false">Tasks[[#This Row],[_Res4WorkPerWD]]*MAX(0,Tasks[[#This Row],[_StartWorkday]]-1)</f>
        <v>0</v>
      </c>
      <c r="EF198" s="42" t="n">
        <f aca="false">Tasks[[#This Row],[_Res4Work]]*Tasks[[#This Row],[_LeafProgress]]</f>
        <v>0</v>
      </c>
      <c r="EG198" s="42" t="n">
        <f aca="false">IF(ISNUMBER(Tasks[[#This Row],[% Complete]]),Tasks[[#This Row],[% Complete]],IF(Tasks[[#This Row],[Stage]]="",0,IFERROR(INDEX(stg_Pct,MATCH(Tasks[[#This Row],[Stage]],stg_Name,0)),0)))</f>
        <v>0</v>
      </c>
      <c r="EH198" s="42" t="n">
        <f aca="false">IF(NOT(Tasks[[#This Row],[_IsLeaf]]=1),0,IF(N(Tasks[[#This Row],[Actual Finish]])&gt;0,1,MIN(1,Tasks[[#This Row],[_Pct]])))</f>
        <v>0</v>
      </c>
      <c r="EI198" s="42" t="n">
        <f aca="false">IF(OR(NOT(Tasks[[#This Row],[_IsLeaf]]=1),Tasks[[#This Row],[_Res1Row]]=0),0,N(Tasks[[#This Row],[_Days]])*HoursPerDay*IF(Tasks[[#This Row],[_Units1]]="",DefaultUnits,Tasks[[#This Row],[_Units1]]))</f>
        <v>0</v>
      </c>
      <c r="EJ198" s="42" t="n">
        <f aca="false">Tasks[[#This Row],[_LeafWork]]+Tasks[[#This Row],[_Res2Work]]+Tasks[[#This Row],[_Res3Work]]+Tasks[[#This Row],[_Res4Work]]</f>
        <v>0</v>
      </c>
      <c r="EK198"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8"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8"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8"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8"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8"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8"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8"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8" s="42" t="n">
        <f aca="false">IF(NOT(Tasks[[#This Row],[_IsLeaf]]=1),0,MAX(_xlfn.MAXIFS(Tasks[_Row],Tasks[_Pred1UID],Tasks[[#This Row],[UID]]),_xlfn.MAXIFS(Tasks[_Row],Tasks[_Pred2UID],Tasks[[#This Row],[UID]]),_xlfn.MAXIFS(Tasks[_Row],Tasks[_Pred3UID],Tasks[[#This Row],[UID]]),_xlfn.MAXIFS(Tasks[_Row],Tasks[_Pred4UID],Tasks[[#This Row],[UID]])))</f>
        <v>0</v>
      </c>
      <c r="ET198"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8"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8" s="89" t="str">
        <f aca="false">IF(NOT(Tasks[[#This Row],[_IsLeaf]]=1),"",IF(N(Tasks[[#This Row],[_Days]])&lt;=0,Tasks[[#This Row],[_LeafLateFinish]],WORKDAY.INTL(Tasks[[#This Row],[_LeafLateFinish]],-(Tasks[[#This Row],[_Days]]-1),WorkWeek,Holidays)))</f>
        <v/>
      </c>
      <c r="EW198"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8" s="88" t="b">
        <f aca="false">AND(Tasks[[#This Row],[_IsLeaf]]=1,Tasks[[#This Row],[_LeafProgress]]&lt;1,N(Tasks[[#This Row],[_LeafTotalSlack]])&lt;=CriticalSlackDays)</f>
        <v>0</v>
      </c>
      <c r="EY198" s="42" t="n">
        <f aca="false">IF(AND(Tasks[[#This Row],[_IsLeaf]]=1,Tasks[[#This Row],[_ConstraintCode]]=1,Tasks[[#This Row],[Mode]]&lt;&gt;"Manual",N(Tasks[[#This Row],[Actual Start]])=0),MAX(0,N(Tasks[[#This Row],[Free Slack]])),0)</f>
        <v>0</v>
      </c>
      <c r="EZ198" s="89" t="str">
        <f aca="false">IF(NOT(Tasks[[#This Row],[_IsLeaf]]=1),"",IF(Tasks[[#This Row],[_AlapShift]]=0,Tasks[[#This Row],[_LeafCalcStart]],WORKDAY.INTL(Tasks[[#This Row],[_LeafCalcStart]],Tasks[[#This Row],[_AlapShift]],WorkWeek,Holidays)))</f>
        <v/>
      </c>
      <c r="FA198" s="89" t="str">
        <f aca="false">IF(NOT(Tasks[[#This Row],[_IsLeaf]]=1),"",IF(Tasks[[#This Row],[_AlapShift]]=0,Tasks[[#This Row],[_LeafCalcFinish]],WORKDAY.INTL(Tasks[[#This Row],[_LeafCalcFinish]],Tasks[[#This Row],[_AlapShift]],WorkWeek,Holidays)))</f>
        <v/>
      </c>
      <c r="FB198" s="89" t="str">
        <f aca="false">IF(NOT(Tasks[[#This Row],[_IsLeaf]]=1),"",IF(Tasks[[#This Row],[_AlapShift]]=0,Tasks[[#This Row],[_LeafFcstStart]],WORKDAY.INTL(Tasks[[#This Row],[_LeafFcstStart]],Tasks[[#This Row],[_AlapShift]],WorkWeek,Holidays)))</f>
        <v/>
      </c>
      <c r="FC198" s="89" t="str">
        <f aca="false">IF(NOT(Tasks[[#This Row],[_IsLeaf]]=1),"",IF(Tasks[[#This Row],[_AlapShift]]=0,Tasks[[#This Row],[_LeafFcstFinish]],WORKDAY.INTL(Tasks[[#This Row],[_LeafFcstFinish]],Tasks[[#This Row],[_AlapShift]],WorkWeek,Holidays)))</f>
        <v/>
      </c>
      <c r="FD198" s="89" t="str">
        <f aca="false">IF(Tasks[[#This Row],[Task Name]]="","",IF(Tasks[[#This Row],[_IsSummary]],MIN(INDEX(Tasks[_ShownCalcStart],Tasks[[#This Row],[_Row]]+1):INDEX(Tasks[_ShownCalcStart],Tasks[[#This Row],[_Row]]+Tasks[[#This Row],[_Descendants]])),Tasks[[#This Row],[_ShownCalcStart]]))</f>
        <v/>
      </c>
      <c r="FE198" s="89" t="str">
        <f aca="false">IF(Tasks[[#This Row],[Task Name]]="","",IF(Tasks[[#This Row],[_IsSummary]],MAX(INDEX(Tasks[_ShownCalcFinish],Tasks[[#This Row],[_Row]]+1):INDEX(Tasks[_ShownCalcFinish],Tasks[[#This Row],[_Row]]+Tasks[[#This Row],[_Descendants]])),Tasks[[#This Row],[_ShownCalcFinish]]))</f>
        <v/>
      </c>
      <c r="FF198"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8"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8"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8"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8"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8"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8"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8"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8"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8"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8"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8"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8" s="42" t="n">
        <f aca="false">IF(AND(Tasks[[#This Row],[_IsLeaf]]=1,Tasks[[#This Row],[_LeafTotalWork]]&gt;0),NETWORKDAYS.INTL(ProjectStart,Tasks[[#This Row],[_ShownFcstStart]],WorkWeek,Holidays),0)</f>
        <v>0</v>
      </c>
      <c r="FS198" s="42" t="n">
        <f aca="false">IF(AND(Tasks[[#This Row],[_IsLeaf]]=1,Tasks[[#This Row],[_LeafTotalWork]]&gt;0),MAX(Tasks[[#This Row],[_StartWorkday]],NETWORKDAYS.INTL(ProjectStart,Tasks[[#This Row],[_ShownFcstFinish]],WorkWeek,Holidays)),0)</f>
        <v>0</v>
      </c>
      <c r="FT198" s="42" t="n">
        <f aca="false">IF(AND(Tasks[[#This Row],[_IsLeaf]]=1,Tasks[[#This Row],[_LeafTotalWork]]&gt;0),Tasks[[#This Row],[_LeafWork]]/(Tasks[[#This Row],[_FinishWorkday]]-Tasks[[#This Row],[_StartWorkday]]+1),0)</f>
        <v>0</v>
      </c>
      <c r="FU198" s="42" t="n">
        <f aca="false">Tasks[[#This Row],[_WorkPerWorkday]]*(Tasks[[#This Row],[_StartWorkday]]-1)</f>
        <v>-0</v>
      </c>
      <c r="FV198" s="42" t="n">
        <f aca="false">IF(Tasks[[#This Row],[_IsLeaf]]=1,MAX(N(Tasks[[#This Row],[_Days]]),0.1),0)</f>
        <v>0</v>
      </c>
      <c r="FW198" s="42" t="n">
        <f aca="false">Tasks[[#This Row],[_WeightDur]]*Tasks[[#This Row],[_LeafProgress]]</f>
        <v>0</v>
      </c>
      <c r="FX198" s="42" t="n">
        <f aca="false">Tasks[[#This Row],[_WeightDur]]*Tasks[[#This Row],[_PlannedPct]]</f>
        <v>0</v>
      </c>
      <c r="FY198"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8" s="42" t="str">
        <f aca="false">IF(AND(Tasks[[#This Row],[_IsLeaf]]=1,N(Tasks[[#This Row],[_Days]])=0,Tasks[[#This Row],[_LeafProgress]]&lt;1),Tasks[[#This Row],[_ShownFcstFinish]]+Tasks[[#This Row],[_Row]]/100000,"")</f>
        <v/>
      </c>
      <c r="GA198"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8" s="42" t="str">
        <f aca="false">IF(Tasks[[#This Row],[Task Name]]="","",LEFT(Tasks[[#This Row],[WBS]],FIND(".",Tasks[[#This Row],[WBS]]&amp;".")-1))</f>
        <v/>
      </c>
      <c r="GC198" s="42" t="str">
        <f aca="false">IF(AND(Tasks[[#This Row],[Task Name]]&lt;&gt;"",Tasks[[#This Row],[_Level]]=1),Tasks[[#This Row],[_Row]],"")</f>
        <v/>
      </c>
      <c r="GD198" s="42" t="str">
        <f aca="false">IF(AND(Tasks[[#This Row],[_IsLeaf]]=1,N(Tasks[[#This Row],[_Days]])=0),Tasks[[#This Row],[Planned Finish]]+Tasks[[#This Row],[_Row]]/100000,"")</f>
        <v/>
      </c>
      <c r="GE198" s="42" t="str">
        <f aca="false">IF(AND(Tasks[[#This Row],[_IsLeaf]]=1,Tasks[[#This Row],[_LeafProgress]]&lt;1,OR(N(Tasks[[#This Row],[Finish Var]])&gt;0,Tasks[[#This Row],[Status]]="Late Start")),MAX(0,Tasks[[#This Row],[Finish Var]])+1-Tasks[[#This Row],[_Row]]/1000000,"")</f>
        <v/>
      </c>
      <c r="GF198" s="42" t="str">
        <f aca="false">IF(AND(Tasks[[#This Row],[_IsLeaf]]=1,N(Tasks[[#This Row],[Actual Start]])=0,Tasks[[#This Row],[_ShownFcstStart]]&gt;=StatusDate,Tasks[[#This Row],[_ShownFcstStart]]&lt;=LookaheadEnd),Tasks[[#This Row],[_ShownFcstStart]]+Tasks[[#This Row],[_Row]]/100000,"")</f>
        <v/>
      </c>
      <c r="GG198" s="42" t="str">
        <f aca="false">IF(AND(Tasks[[#This Row],[_IsLeaf]]=1,Tasks[[#This Row],[_LeafProgress]]&lt;1,Tasks[[#This Row],[_ShownFcstFinish]]&gt;=StatusDate,Tasks[[#This Row],[_ShownFcstFinish]]&lt;=LookaheadEnd),Tasks[[#This Row],[_ShownFcstFinish]]+Tasks[[#This Row],[_Row]]/100000,"")</f>
        <v/>
      </c>
      <c r="GH198" s="42" t="str">
        <f aca="false">IF(Tasks[[#This Row],[_LeafCritical]],Tasks[[#This Row],[_ShownFcstStart]]+Tasks[[#This Row],[_Row]]/100000,"")</f>
        <v/>
      </c>
      <c r="GI198" s="42" t="n">
        <f aca="false">Tasks[[#This Row],[_LeafWork]]*Tasks[[#This Row],[_LeafProgress]]</f>
        <v>0</v>
      </c>
      <c r="GJ198" s="89" t="str">
        <f aca="false">IF(AND(Tasks[[#This Row],[_IsLeaf]]=1,Tasks[[#This Row],[_LeafProgress]]&gt;=1),IF(N(Tasks[[#This Row],[Actual Finish]])&gt;0,Tasks[[#This Row],[Actual Finish]],Tasks[[#This Row],[_ShownFcstFinish]]),"")</f>
        <v/>
      </c>
      <c r="GK198" s="42" t="n">
        <f aca="false">IF(Tasks[[#This Row],[_IsLeaf]]=1,N(Tasks[[#This Row],[Story Points]]),0)</f>
        <v>0</v>
      </c>
      <c r="GL198" s="42" t="str">
        <f aca="false">""</f>
        <v/>
      </c>
      <c r="GM198" s="88" t="b">
        <f aca="false">IF(Tasks[[#This Row],[Task Name]]="",FALSE(),AND(Tasks[[#This Row],[_IsLeaf]]=1,N(Tasks[[#This Row],[_Days]])=0))</f>
        <v>0</v>
      </c>
      <c r="GN198" s="89" t="n">
        <f aca="false">IF(Tasks[[#This Row],[Task Name]]="",0,IF(AND(Tasks[[#This Row],[_IsLeaf]]=1,NOT(Tasks[[#This Row],[_IsMilestone]]),N(Tasks[[#This Row],[Progress]])&gt;0),Tasks[[#This Row],[Start]],0))</f>
        <v>0</v>
      </c>
      <c r="GO198" s="89" t="n">
        <f aca="false">IF(Tasks[[#This Row],[_DoneFrom]]=0,0,IF(Tasks[[#This Row],[Progress]]&gt;=1,Tasks[[#This Row],[Finish]],MAX(Tasks[[#This Row],[_DoneFrom]],Tasks[[#This Row],[Start]]+ROUND((Tasks[[#This Row],[Finish]]-Tasks[[#This Row],[Start]]+1)*Tasks[[#This Row],[Progress]],0)-1)))</f>
        <v>0</v>
      </c>
      <c r="GP198" s="89" t="n">
        <f aca="false">IF(Tasks[[#This Row],[Task Name]]="",0,IF(OR(NOT(Tasks[[#This Row],[_IsLeaf]]=1),Tasks[[#This Row],[_IsMilestone]],N(Tasks[[#This Row],[Progress]])&gt;=1),0,IF(Tasks[[#This Row],[_DoneTo]]&gt;0,Tasks[[#This Row],[_DoneTo]]+1,Tasks[[#This Row],[Start]])))</f>
        <v>0</v>
      </c>
      <c r="GQ198" s="89" t="n">
        <f aca="false">IF(Tasks[[#This Row],[_RemFrom]]=0,0,Tasks[[#This Row],[Finish]])</f>
        <v>0</v>
      </c>
      <c r="GR198" s="88" t="b">
        <f aca="false">IF(Tasks[[#This Row],[Task Name]]="",FALSE(),OR(NOT(BaselineSet),N(Tasks[[#This Row],[Baseline Start]])&gt;0))</f>
        <v>0</v>
      </c>
      <c r="GS198"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8"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8"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8" s="90" t="str">
        <f aca="false">IF(Tasks[[#This Row],[_IsLeaf]]=1,Tasks[[#This Row],[_Row]],"")</f>
        <v/>
      </c>
      <c r="GW198" s="90" t="str">
        <f aca="false">IFERROR(INDEX(Tasks[UID],SMALL(Tasks[_PickKey],Tasks[[#This Row],[_Row]]))&amp;" "&amp;INDEX(Tasks[Task Name],SMALL(Tasks[_PickKey],Tasks[[#This Row],[_Row]])),"")</f>
        <v/>
      </c>
      <c r="GX198" s="42" t="str">
        <f aca="false">IF(Tasks[[#This Row],[Task Name]]="","",IF(Tasks[[#This Row],[_IsSummary]],NETWORKDAYS.INTL(Tasks[[#This Row],[Start]],Tasks[[#This Row],[Finish]],WorkWeek,Holidays),N(Tasks[[#This Row],[_Days]])))</f>
        <v/>
      </c>
    </row>
    <row r="199" customFormat="false" ht="15" hidden="false" customHeight="false" outlineLevel="0" collapsed="false">
      <c r="A199" s="21" t="str">
        <f aca="false">IF(Tasks[[#This Row],[Task Name]]="","",COUNTA(Tasks[[#Headers],[Task Name]]:Tasks[[#This Row],[Task Name]])-1)</f>
        <v/>
      </c>
      <c r="B199" s="22" t="n">
        <v>207</v>
      </c>
      <c r="C199" s="22"/>
      <c r="D199" s="23"/>
      <c r="E199" s="22"/>
      <c r="F199" s="23"/>
      <c r="G199" s="22"/>
      <c r="H199" s="22"/>
      <c r="I199" s="23"/>
      <c r="J199" s="22"/>
      <c r="K199" s="22"/>
      <c r="L199" s="23"/>
      <c r="M199" s="22"/>
      <c r="N199" s="22"/>
      <c r="O199" s="23"/>
      <c r="P199" s="22"/>
      <c r="Q199" s="22"/>
      <c r="R199" s="23"/>
      <c r="S199" s="23"/>
      <c r="T199" s="83"/>
      <c r="U199" s="23"/>
      <c r="V199" s="83"/>
      <c r="W199" s="23"/>
      <c r="X199" s="83"/>
      <c r="Y199" s="23"/>
      <c r="Z199" s="83"/>
      <c r="AA199" s="23"/>
      <c r="AB199" s="23"/>
      <c r="AC199" s="7"/>
      <c r="AD199" s="7"/>
      <c r="AE199" s="62" t="str">
        <f aca="false">IF(Tasks[[#This Row],[Task Name]]="","",IF(Tasks[[#This Row],[_IsSummary]],MIN(INDEX(Tasks[_ShownFcstStart],Tasks[[#This Row],[_Row]]+1):INDEX(Tasks[_ShownFcstStart],Tasks[[#This Row],[_Row]]+Tasks[[#This Row],[_Descendants]])),Tasks[[#This Row],[_ShownFcstStart]]))</f>
        <v/>
      </c>
      <c r="AF199" s="62" t="str">
        <f aca="false">IF(Tasks[[#This Row],[Task Name]]="","",IF(Tasks[[#This Row],[_IsSummary]],MAX(INDEX(Tasks[_ShownFcstFinish],Tasks[[#This Row],[_Row]]+1):INDEX(Tasks[_ShownFcstFinish],Tasks[[#This Row],[_Row]]+Tasks[[#This Row],[_Descendants]])),Tasks[[#This Row],[_ShownFcstFinish]]))</f>
        <v/>
      </c>
      <c r="AG199" s="21" t="str">
        <f aca="false">""</f>
        <v/>
      </c>
      <c r="AH199" s="23"/>
      <c r="AI199"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199" s="7"/>
      <c r="AK199" s="22"/>
      <c r="AL199" s="23"/>
      <c r="AM199" s="7"/>
      <c r="AN199" s="46" t="str">
        <f aca="false">IF(Tasks[[#This Row],[Task Name]]="","",IF(Tasks[[#This Row],[Finish]]&gt;=Tasks[[#This Row],[Planned Finish]],NETWORKDAYS.INTL(Tasks[[#This Row],[Planned Finish]],Tasks[[#This Row],[Finish]],WorkWeek,Holidays)-1,1-NETWORKDAYS.INTL(Tasks[[#This Row],[Finish]],Tasks[[#This Row],[Planned Finish]],WorkWeek,Holidays)))</f>
        <v/>
      </c>
      <c r="AO199" s="21" t="str">
        <f aca="false">IF(Tasks[[#This Row],[Task Name]]="","",IF(Tasks[[#This Row],[Progress]]&gt;=1,"Complete",IF(OR(N(Tasks[[#This Row],[Actual Start]])&gt;0,Tasks[[#This Row],[Progress]]&gt;0),IF(Tasks[[#This Row],[Finish Var]]&gt;0,"Behind","In Progress"),IF(Tasks[[#This Row],[Planned Start]]&lt;StatusDate,"Late Start","Not Started"))))</f>
        <v/>
      </c>
      <c r="AP199" s="21" t="str">
        <f aca="false">IF(Tasks[[#This Row],[Task Name]]="","",IF(IF(Tasks[[#This Row],[_IsSummary]],COUNTIF(INDEX(Tasks[_LeafCritical],Tasks[[#This Row],[_Row]]+1):INDEX(Tasks[_LeafCritical],Tasks[[#This Row],[_Row]]+Tasks[[#This Row],[_Descendants]]),TRUE())&gt;0,Tasks[[#This Row],[_LeafCritical]]),"Yes",""))</f>
        <v/>
      </c>
      <c r="AQ199" s="62" t="str">
        <f aca="false">IF(Tasks[[#This Row],[Task Name]]="","",IF(N(Tasks[[#This Row],[Baseline Start]])&gt;0,Tasks[[#This Row],[Baseline Start]],Tasks[[#This Row],[_CalcStart]]))</f>
        <v/>
      </c>
      <c r="AR199" s="62" t="str">
        <f aca="false">IF(Tasks[[#This Row],[Task Name]]="","",IF(N(Tasks[[#This Row],[Baseline Finish]])&gt;0,Tasks[[#This Row],[Baseline Finish]],Tasks[[#This Row],[_CalcFinish]]))</f>
        <v/>
      </c>
      <c r="AS199" s="46" t="str">
        <f aca="false">IF(Tasks[[#This Row],[Task Name]]="","",IF(Tasks[[#This Row],[Start]]&gt;=Tasks[[#This Row],[Planned Start]],NETWORKDAYS.INTL(Tasks[[#This Row],[Planned Start]],Tasks[[#This Row],[Start]],WorkWeek,Holidays)-1,1-NETWORKDAYS.INTL(Tasks[[#This Row],[Start]],Tasks[[#This Row],[Planned Start]],WorkWeek,Holidays)))</f>
        <v/>
      </c>
      <c r="AT199" s="62" t="str">
        <f aca="false">IF(Tasks[[#This Row],[Task Name]]="","",IF(Tasks[[#This Row],[_IsSummary]],MIN(INDEX(Tasks[_LeafLateStart],Tasks[[#This Row],[_Row]]+1):INDEX(Tasks[_LeafLateStart],Tasks[[#This Row],[_Row]]+Tasks[[#This Row],[_Descendants]])),Tasks[[#This Row],[_LeafLateStart]]))</f>
        <v/>
      </c>
      <c r="AU199" s="62" t="str">
        <f aca="false">IF(Tasks[[#This Row],[Task Name]]="","",IF(Tasks[[#This Row],[_IsSummary]],MAX(INDEX(Tasks[_LeafLateFinish],Tasks[[#This Row],[_Row]]+1):INDEX(Tasks[_LeafLateFinish],Tasks[[#This Row],[_Row]]+Tasks[[#This Row],[_Descendants]])),Tasks[[#This Row],[_LeafLateFinish]]))</f>
        <v/>
      </c>
      <c r="AV199" s="46" t="str">
        <f aca="false">IF(Tasks[[#This Row],[Task Name]]="","",IF(Tasks[[#This Row],[_IsSummary]],MIN(INDEX(Tasks[_LeafTotalSlack],Tasks[[#This Row],[_Row]]+1):INDEX(Tasks[_LeafTotalSlack],Tasks[[#This Row],[_Row]]+Tasks[[#This Row],[_Descendants]])),Tasks[[#This Row],[_LeafTotalSlack]]))</f>
        <v/>
      </c>
      <c r="AW199"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4"/>
      <c r="BA199"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t="str">
        <f aca="false">IF(Tasks[[#This Row],[Task Name]]="","",IF(Tasks[[#This Row],[_Level]]&lt;=OutlineShowLevel,"Yes","No"))</f>
        <v/>
      </c>
      <c r="BE199" s="85" t="str">
        <f aca="false">IF(Tasks[[#This Row],[Task Name]]="","",IF(Tasks[[#This Row],[_IsSummary]],SUM(INDEX(Tasks[_LeafTotalWork],Tasks[[#This Row],[_Row]]+1):INDEX(Tasks[_LeafTotalWork],Tasks[[#This Row],[_Row]]+Tasks[[#This Row],[_Descendants]])),Tasks[[#This Row],[_LeafTotalWork]]))</f>
        <v/>
      </c>
      <c r="BF199" s="23"/>
      <c r="BG199"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t="str">
        <f aca="false">""</f>
        <v/>
      </c>
      <c r="BI199" s="86"/>
      <c r="BJ199" s="22"/>
      <c r="BK199" s="46" t="str">
        <f aca="false">IF(OR(Tasks[[#This Row],[Task Name]]="",Tasks[[#This Row],[Baseline Duration]]=""),"",Tasks[[#This Row],[_SpanDays]]-N(Tasks[[#This Row],[Baseline Duration]]))</f>
        <v/>
      </c>
      <c r="BL199" s="85" t="str">
        <f aca="false">IF(OR(Tasks[[#This Row],[Task Name]]="",Tasks[[#This Row],[Baseline Work]]=""),"",Tasks[[#This Row],[Work]]-N(Tasks[[#This Row],[Baseline Work]]))</f>
        <v/>
      </c>
      <c r="BM199" s="62" t="str">
        <f aca="false">IF(Tasks[[#This Row],[Task Name]]="","",IF(OR(TakeBaseline="Yes",N(Tasks[[#This Row],[Baseline Start]])=0),Tasks[[#This Row],[Start]],Tasks[[#This Row],[Baseline Start]]))</f>
        <v/>
      </c>
      <c r="BN199" s="62" t="str">
        <f aca="false">IF(Tasks[[#This Row],[Task Name]]="","",IF(OR(TakeBaseline="Yes",N(Tasks[[#This Row],[Baseline Finish]])=0),Tasks[[#This Row],[Finish]],Tasks[[#This Row],[Baseline Finish]]))</f>
        <v/>
      </c>
      <c r="BO199" s="21" t="str">
        <f aca="false">IF(Tasks[[#This Row],[Task Name]]="","",IF(OR(TakeBaseline="Yes",N(Tasks[[#This Row],[Baseline Duration]])=0),Tasks[[#This Row],[_SpanDays]],Tasks[[#This Row],[Baseline Duration]]))</f>
        <v/>
      </c>
      <c r="BP199" s="85" t="str">
        <f aca="false">IF(Tasks[[#This Row],[Task Name]]="","",IF(OR(TakeBaseline="Yes",N(Tasks[[#This Row],[Baseline Work]])=0),Tasks[[#This Row],[Work]],Tasks[[#This Row],[Baseline Work]]))</f>
        <v/>
      </c>
      <c r="BQ199" s="7"/>
      <c r="BR199" s="7"/>
      <c r="BS199" s="22"/>
      <c r="BT199" s="87"/>
      <c r="BU199" s="42" t="str">
        <f aca="false">IF(Tasks[[#This Row],[Task Name]]="","",MAX(1,N(Tasks[[#This Row],[Level]])))</f>
        <v/>
      </c>
      <c r="BV199" s="42" t="n">
        <f aca="false">ROW()-ROW(Tasks[[#Headers],[ID]])</f>
        <v>194</v>
      </c>
      <c r="BW199" s="42" t="n">
        <f aca="false">IF(OR(Tasks[[#This Row],[Task Name]]="",Tasks[[#This Row],[_Level]]&lt;=1),0,IFERROR(LOOKUP(2,1/(Tasks[[#Headers],[_Level]]:Tasks[[#This Row],[_Level]]=Tasks[[#This Row],[_Level]]-1),ROW(Tasks[[#Headers],[_Level]]:Tasks[[#This Row],[_Level]])),0))</f>
        <v>0</v>
      </c>
      <c r="BX199" s="42" t="n">
        <f aca="false">IFERROR(N(INDEX(Tasks[_Level],Tasks[[#This Row],[_Row]]+1)),0)</f>
        <v>0</v>
      </c>
      <c r="BY199" s="88" t="b">
        <f aca="false">AND(Tasks[[#This Row],[Task Name]]&lt;&gt;"",Tasks[[#This Row],[_NextLevel]]&gt;Tasks[[#This Row],[_Level]])</f>
        <v>0</v>
      </c>
      <c r="BZ199" s="42" t="n">
        <f aca="false">IF(Tasks[[#This Row],[_IsSummary]],COUNTIF(Tasks[WBS],Tasks[[#This Row],[WBS]]&amp;".*"),0)</f>
        <v>0</v>
      </c>
      <c r="CA199" s="42" t="n">
        <f aca="false">IF(AND(Tasks[[#This Row],[Task Name]]&lt;&gt;"",NOT(Tasks[[#This Row],[_IsSummary]])),1,0)</f>
        <v>0</v>
      </c>
      <c r="CB199" s="42" t="n">
        <f aca="false">IF(N(Tasks[[#This Row],[_Pred1UID]])=0,0,IFERROR(MATCH(Tasks[[#This Row],[_Pred1UID]],Tasks[UID],0),-1))</f>
        <v>0</v>
      </c>
      <c r="CC199" s="42" t="n">
        <f aca="false">IF(N(Tasks[[#This Row],[_Pred2UID]])=0,0,IFERROR(MATCH(Tasks[[#This Row],[_Pred2UID]],Tasks[UID],0),-1))</f>
        <v>0</v>
      </c>
      <c r="CD199" s="42" t="n">
        <f aca="false">IF(N(Tasks[[#This Row],[_Pred3UID]])=0,0,IFERROR(MATCH(Tasks[[#This Row],[_Pred3UID]],Tasks[UID],0),-1))</f>
        <v>0</v>
      </c>
      <c r="CE199" s="42" t="n">
        <f aca="false">IF(N(Tasks[[#This Row],[_Pred4UID]])=0,0,IFERROR(MATCH(Tasks[[#This Row],[_Pred4UID]],Tasks[UID],0),-1))</f>
        <v>0</v>
      </c>
      <c r="CF199"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199"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199" s="89" t="n">
        <f aca="false">IF(OR(Tasks[[#This Row],[_ConstraintCode]]=2,Tasks[[#This Row],[_ConstraintCode]]=3,Tasks[[#This Row],[_ConstraintCode]]=4,Tasks[[#This Row],[_ConstraintCode]]=6),Tasks[[#This Row],[_ConstraintStart]],0)</f>
        <v>0</v>
      </c>
      <c r="CI199" s="89" t="n">
        <f aca="false">IF(OR(Tasks[[#This Row],[_ConstraintCode]]=2,Tasks[[#This Row],[_ConstraintCode]]=3,Tasks[[#This Row],[_ConstraintCode]]=5,Tasks[[#This Row],[_ConstraintCode]]=7),Tasks[[#This Row],[_ConstraintStart]],2958465)</f>
        <v>2958465</v>
      </c>
      <c r="CJ199"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199" s="89" t="str">
        <f aca="false">IF(NOT(Tasks[[#This Row],[_IsLeaf]]=1),"",IF(N(Tasks[[#This Row],[_Days]])&lt;=0,Tasks[[#This Row],[_LeafCalcStart]],WORKDAY.INTL(Tasks[[#This Row],[_LeafCalcStart]],Tasks[[#This Row],[_Days]]-1,WorkWeek,Holidays)))</f>
        <v/>
      </c>
      <c r="CL199"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199"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199" s="42" t="str">
        <f aca="false">IF(Tasks[[#This Row],[_Predecessors]]="","",TRIM(MID(SUBSTITUTE(SUBSTITUTE(SUBSTITUTE(UPPER(Tasks[[#This Row],[_Predecessors]]),";",",")," ",""),",",REPT(" ",99)),1,99)))</f>
        <v/>
      </c>
      <c r="CO199" s="42" t="str">
        <f aca="false">IF(Tasks[[#This Row],[_Pred1Text]]="","",IFERROR(VALUE(LEFT(Tasks[[#This Row],[_Pred1Text]],MIN(FIND("F",Tasks[[#This Row],[_Pred1Text]]&amp;"F"),FIND("S",Tasks[[#This Row],[_Pred1Text]]&amp;"S"),FIND("+",Tasks[[#This Row],[_Pred1Text]]&amp;"+"),FIND("-",Tasks[[#This Row],[_Pred1Text]]&amp;"-"))-1)),""))</f>
        <v/>
      </c>
      <c r="CP199"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199"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199" s="42" t="str">
        <f aca="false">IF(Tasks[[#This Row],[_Pred1Text]]="","",TRIM(MID(SUBSTITUTE(SUBSTITUTE(SUBSTITUTE(UPPER(Tasks[[#This Row],[_Predecessors]]),";",",")," ",""),",",REPT(" ",99)),100,99)))</f>
        <v/>
      </c>
      <c r="CS199" s="42" t="str">
        <f aca="false">IF(Tasks[[#This Row],[_Pred2Text]]="","",IFERROR(VALUE(LEFT(Tasks[[#This Row],[_Pred2Text]],MIN(FIND("F",Tasks[[#This Row],[_Pred2Text]]&amp;"F"),FIND("S",Tasks[[#This Row],[_Pred2Text]]&amp;"S"),FIND("+",Tasks[[#This Row],[_Pred2Text]]&amp;"+"),FIND("-",Tasks[[#This Row],[_Pred2Text]]&amp;"-"))-1)),""))</f>
        <v/>
      </c>
      <c r="CT199"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199"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199" s="42" t="str">
        <f aca="false">IF(Tasks[[#This Row],[_Pred2Text]]="","",TRIM(MID(SUBSTITUTE(SUBSTITUTE(SUBSTITUTE(UPPER(Tasks[[#This Row],[_Predecessors]]),";",",")," ",""),",",REPT(" ",99)),199,99)))</f>
        <v/>
      </c>
      <c r="CW199" s="42" t="str">
        <f aca="false">IF(Tasks[[#This Row],[_Pred3Text]]="","",IFERROR(VALUE(LEFT(Tasks[[#This Row],[_Pred3Text]],MIN(FIND("F",Tasks[[#This Row],[_Pred3Text]]&amp;"F"),FIND("S",Tasks[[#This Row],[_Pred3Text]]&amp;"S"),FIND("+",Tasks[[#This Row],[_Pred3Text]]&amp;"+"),FIND("-",Tasks[[#This Row],[_Pred3Text]]&amp;"-"))-1)),""))</f>
        <v/>
      </c>
      <c r="CX199"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199"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199" s="42" t="str">
        <f aca="false">IF(Tasks[[#This Row],[_Pred3Text]]="","",TRIM(MID(SUBSTITUTE(SUBSTITUTE(SUBSTITUTE(UPPER(Tasks[[#This Row],[_Predecessors]]),";",",")," ",""),",",REPT(" ",99)),298,99)))</f>
        <v/>
      </c>
      <c r="DA199" s="42" t="str">
        <f aca="false">IF(Tasks[[#This Row],[_Pred4Text]]="","",IFERROR(VALUE(LEFT(Tasks[[#This Row],[_Pred4Text]],MIN(FIND("F",Tasks[[#This Row],[_Pred4Text]]&amp;"F"),FIND("S",Tasks[[#This Row],[_Pred4Text]]&amp;"S"),FIND("+",Tasks[[#This Row],[_Pred4Text]]&amp;"+"),FIND("-",Tasks[[#This Row],[_Pred4Text]]&amp;"-"))-1)),""))</f>
        <v/>
      </c>
      <c r="DB199"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199"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199" s="42" t="str">
        <f aca="false">IF(OR(Tasks[[#This Row],[Task Name]]="",Tasks[[#This Row],[_Resources]]=""),"",TRIM(MID(SUBSTITUTE(Tasks[[#This Row],[_Resources]],",",REPT(" ",99)),1,99)))</f>
        <v/>
      </c>
      <c r="DE199" s="42" t="str">
        <f aca="false">IF(Tasks[[#This Row],[_Res1Text]]="","",TRIM(MID(SUBSTITUTE(Tasks[[#This Row],[_Resources]],",",REPT(" ",99)),100,99)))</f>
        <v/>
      </c>
      <c r="DF199" s="42" t="str">
        <f aca="false">IF(Tasks[[#This Row],[_Res2Text]]="","",TRIM(MID(SUBSTITUTE(Tasks[[#This Row],[_Resources]],",",REPT(" ",99)),199,99)))</f>
        <v/>
      </c>
      <c r="DG199" s="42" t="str">
        <f aca="false">IF(Tasks[[#This Row],[_Res3Text]]="","",TRIM(MID(SUBSTITUTE(Tasks[[#This Row],[_Resources]],",",REPT(" ",99)),298,99)))</f>
        <v/>
      </c>
      <c r="DH199" s="42" t="n">
        <f aca="false">IF(Tasks[[#This Row],[_Res1Text]]="",0,IFERROR(MATCH(TRIM(LEFT(Tasks[[#This Row],[_Res1Text]],FIND("[",Tasks[[#This Row],[_Res1Text]]&amp;"[")-1)),res_Name,0),IFERROR(MATCH(TRIM(LEFT(Tasks[[#This Row],[_Res1Text]],FIND("[",Tasks[[#This Row],[_Res1Text]]&amp;"[")-1)),res_Initials,0),0)))</f>
        <v>0</v>
      </c>
      <c r="DI199" s="42" t="n">
        <f aca="false">IF(Tasks[[#This Row],[_Res2Text]]="",0,IFERROR(MATCH(TRIM(LEFT(Tasks[[#This Row],[_Res2Text]],FIND("[",Tasks[[#This Row],[_Res2Text]]&amp;"[")-1)),res_Name,0),IFERROR(MATCH(TRIM(LEFT(Tasks[[#This Row],[_Res2Text]],FIND("[",Tasks[[#This Row],[_Res2Text]]&amp;"[")-1)),res_Initials,0),0)))</f>
        <v>0</v>
      </c>
      <c r="DJ199" s="42" t="n">
        <f aca="false">IF(Tasks[[#This Row],[_Res3Text]]="",0,IFERROR(MATCH(TRIM(LEFT(Tasks[[#This Row],[_Res3Text]],FIND("[",Tasks[[#This Row],[_Res3Text]]&amp;"[")-1)),res_Name,0),IFERROR(MATCH(TRIM(LEFT(Tasks[[#This Row],[_Res3Text]],FIND("[",Tasks[[#This Row],[_Res3Text]]&amp;"[")-1)),res_Initials,0),0)))</f>
        <v>0</v>
      </c>
      <c r="DK199" s="42" t="n">
        <f aca="false">IF(Tasks[[#This Row],[_Res4Text]]="",0,IFERROR(MATCH(TRIM(LEFT(Tasks[[#This Row],[_Res4Text]],FIND("[",Tasks[[#This Row],[_Res4Text]]&amp;"[")-1)),res_Name,0),IFERROR(MATCH(TRIM(LEFT(Tasks[[#This Row],[_Res4Text]],FIND("[",Tasks[[#This Row],[_Res4Text]]&amp;"[")-1)),res_Initials,0),0)))</f>
        <v>0</v>
      </c>
      <c r="DL199" s="42" t="str">
        <f aca="false">IF(Tasks[[#This Row],[_Res1Text]]="","",IF(Tasks[[#This Row],[_Res1Row]]&gt;0,INDEX(res_Name,Tasks[[#This Row],[_Res1Row]]),TRIM(LEFT(Tasks[[#This Row],[_Res1Text]],FIND("[",Tasks[[#This Row],[_Res1Text]]&amp;"[")-1))))</f>
        <v/>
      </c>
      <c r="DM199"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199" s="42" t="n">
        <f aca="false">IF(NOT(Tasks[[#This Row],[_IsLeaf]]=1),0,(Tasks[[#This Row],[_Resource1]]&lt;&gt;"")+(Tasks[[#This Row],[_Res2]]&lt;&gt;"")+(Tasks[[#This Row],[_Res3]]&lt;&gt;"")+(Tasks[[#This Row],[_Res4]]&lt;&gt;""))</f>
        <v>0</v>
      </c>
      <c r="DO199" s="42" t="str">
        <f aca="false">IF(Tasks[[#This Row],[_Res2Text]]="","",IF(Tasks[[#This Row],[_Res2Row]]&gt;0,INDEX(res_Name,Tasks[[#This Row],[_Res2Row]]),TRIM(LEFT(Tasks[[#This Row],[_Res2Text]],FIND("[",Tasks[[#This Row],[_Res2Text]]&amp;"[")-1))))</f>
        <v/>
      </c>
      <c r="DP199"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199" s="42" t="n">
        <f aca="false">IF(OR(NOT(Tasks[[#This Row],[_IsLeaf]]=1),Tasks[[#This Row],[_Res2Row]]=0),0,N(Tasks[[#This Row],[_Days]])*HoursPerDay*IF(Tasks[[#This Row],[_Res2Units]]="",DefaultUnits,Tasks[[#This Row],[_Res2Units]]))</f>
        <v>0</v>
      </c>
      <c r="DR199" s="42" t="n">
        <f aca="false">IF(AND(AND(Tasks[[#This Row],[_IsLeaf]]=1,Tasks[[#This Row],[_LeafTotalWork]]&gt;0),Tasks[[#This Row],[_Res2Work]]&gt;0),Tasks[[#This Row],[_Res2Work]]/(Tasks[[#This Row],[_FinishWorkday]]-Tasks[[#This Row],[_StartWorkday]]+1),0)</f>
        <v>0</v>
      </c>
      <c r="DS199" s="42" t="n">
        <f aca="false">Tasks[[#This Row],[_Res2WorkPerWD]]*MAX(0,Tasks[[#This Row],[_StartWorkday]]-1)</f>
        <v>0</v>
      </c>
      <c r="DT199" s="42" t="n">
        <f aca="false">Tasks[[#This Row],[_Res2Work]]*Tasks[[#This Row],[_LeafProgress]]</f>
        <v>0</v>
      </c>
      <c r="DU199" s="42" t="str">
        <f aca="false">IF(Tasks[[#This Row],[_Res3Text]]="","",IF(Tasks[[#This Row],[_Res3Row]]&gt;0,INDEX(res_Name,Tasks[[#This Row],[_Res3Row]]),TRIM(LEFT(Tasks[[#This Row],[_Res3Text]],FIND("[",Tasks[[#This Row],[_Res3Text]]&amp;"[")-1))))</f>
        <v/>
      </c>
      <c r="DV199"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199" s="42" t="n">
        <f aca="false">IF(OR(NOT(Tasks[[#This Row],[_IsLeaf]]=1),Tasks[[#This Row],[_Res3Row]]=0),0,N(Tasks[[#This Row],[_Days]])*HoursPerDay*IF(Tasks[[#This Row],[_Res3Units]]="",DefaultUnits,Tasks[[#This Row],[_Res3Units]]))</f>
        <v>0</v>
      </c>
      <c r="DX199" s="42" t="n">
        <f aca="false">IF(AND(AND(Tasks[[#This Row],[_IsLeaf]]=1,Tasks[[#This Row],[_LeafTotalWork]]&gt;0),Tasks[[#This Row],[_Res3Work]]&gt;0),Tasks[[#This Row],[_Res3Work]]/(Tasks[[#This Row],[_FinishWorkday]]-Tasks[[#This Row],[_StartWorkday]]+1),0)</f>
        <v>0</v>
      </c>
      <c r="DY199" s="42" t="n">
        <f aca="false">Tasks[[#This Row],[_Res3WorkPerWD]]*MAX(0,Tasks[[#This Row],[_StartWorkday]]-1)</f>
        <v>0</v>
      </c>
      <c r="DZ199" s="42" t="n">
        <f aca="false">Tasks[[#This Row],[_Res3Work]]*Tasks[[#This Row],[_LeafProgress]]</f>
        <v>0</v>
      </c>
      <c r="EA199" s="42" t="str">
        <f aca="false">IF(Tasks[[#This Row],[_Res4Text]]="","",IF(Tasks[[#This Row],[_Res4Row]]&gt;0,INDEX(res_Name,Tasks[[#This Row],[_Res4Row]]),TRIM(LEFT(Tasks[[#This Row],[_Res4Text]],FIND("[",Tasks[[#This Row],[_Res4Text]]&amp;"[")-1))))</f>
        <v/>
      </c>
      <c r="EB199"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199" s="42" t="n">
        <f aca="false">IF(OR(NOT(Tasks[[#This Row],[_IsLeaf]]=1),Tasks[[#This Row],[_Res4Row]]=0),0,N(Tasks[[#This Row],[_Days]])*HoursPerDay*IF(Tasks[[#This Row],[_Res4Units]]="",DefaultUnits,Tasks[[#This Row],[_Res4Units]]))</f>
        <v>0</v>
      </c>
      <c r="ED199" s="42" t="n">
        <f aca="false">IF(AND(AND(Tasks[[#This Row],[_IsLeaf]]=1,Tasks[[#This Row],[_LeafTotalWork]]&gt;0),Tasks[[#This Row],[_Res4Work]]&gt;0),Tasks[[#This Row],[_Res4Work]]/(Tasks[[#This Row],[_FinishWorkday]]-Tasks[[#This Row],[_StartWorkday]]+1),0)</f>
        <v>0</v>
      </c>
      <c r="EE199" s="42" t="n">
        <f aca="false">Tasks[[#This Row],[_Res4WorkPerWD]]*MAX(0,Tasks[[#This Row],[_StartWorkday]]-1)</f>
        <v>0</v>
      </c>
      <c r="EF199" s="42" t="n">
        <f aca="false">Tasks[[#This Row],[_Res4Work]]*Tasks[[#This Row],[_LeafProgress]]</f>
        <v>0</v>
      </c>
      <c r="EG199" s="42" t="n">
        <f aca="false">IF(ISNUMBER(Tasks[[#This Row],[% Complete]]),Tasks[[#This Row],[% Complete]],IF(Tasks[[#This Row],[Stage]]="",0,IFERROR(INDEX(stg_Pct,MATCH(Tasks[[#This Row],[Stage]],stg_Name,0)),0)))</f>
        <v>0</v>
      </c>
      <c r="EH199" s="42" t="n">
        <f aca="false">IF(NOT(Tasks[[#This Row],[_IsLeaf]]=1),0,IF(N(Tasks[[#This Row],[Actual Finish]])&gt;0,1,MIN(1,Tasks[[#This Row],[_Pct]])))</f>
        <v>0</v>
      </c>
      <c r="EI199" s="42" t="n">
        <f aca="false">IF(OR(NOT(Tasks[[#This Row],[_IsLeaf]]=1),Tasks[[#This Row],[_Res1Row]]=0),0,N(Tasks[[#This Row],[_Days]])*HoursPerDay*IF(Tasks[[#This Row],[_Units1]]="",DefaultUnits,Tasks[[#This Row],[_Units1]]))</f>
        <v>0</v>
      </c>
      <c r="EJ199" s="42" t="n">
        <f aca="false">Tasks[[#This Row],[_LeafWork]]+Tasks[[#This Row],[_Res2Work]]+Tasks[[#This Row],[_Res3Work]]+Tasks[[#This Row],[_Res4Work]]</f>
        <v>0</v>
      </c>
      <c r="EK199"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199"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199"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199"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199"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199"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199"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199"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199" s="42" t="n">
        <f aca="false">IF(NOT(Tasks[[#This Row],[_IsLeaf]]=1),0,MAX(_xlfn.MAXIFS(Tasks[_Row],Tasks[_Pred1UID],Tasks[[#This Row],[UID]]),_xlfn.MAXIFS(Tasks[_Row],Tasks[_Pred2UID],Tasks[[#This Row],[UID]]),_xlfn.MAXIFS(Tasks[_Row],Tasks[_Pred3UID],Tasks[[#This Row],[UID]]),_xlfn.MAXIFS(Tasks[_Row],Tasks[_Pred4UID],Tasks[[#This Row],[UID]])))</f>
        <v>0</v>
      </c>
      <c r="ET199"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199"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199" s="89" t="str">
        <f aca="false">IF(NOT(Tasks[[#This Row],[_IsLeaf]]=1),"",IF(N(Tasks[[#This Row],[_Days]])&lt;=0,Tasks[[#This Row],[_LeafLateFinish]],WORKDAY.INTL(Tasks[[#This Row],[_LeafLateFinish]],-(Tasks[[#This Row],[_Days]]-1),WorkWeek,Holidays)))</f>
        <v/>
      </c>
      <c r="EW199"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199" s="88" t="b">
        <f aca="false">AND(Tasks[[#This Row],[_IsLeaf]]=1,Tasks[[#This Row],[_LeafProgress]]&lt;1,N(Tasks[[#This Row],[_LeafTotalSlack]])&lt;=CriticalSlackDays)</f>
        <v>0</v>
      </c>
      <c r="EY199" s="42" t="n">
        <f aca="false">IF(AND(Tasks[[#This Row],[_IsLeaf]]=1,Tasks[[#This Row],[_ConstraintCode]]=1,Tasks[[#This Row],[Mode]]&lt;&gt;"Manual",N(Tasks[[#This Row],[Actual Start]])=0),MAX(0,N(Tasks[[#This Row],[Free Slack]])),0)</f>
        <v>0</v>
      </c>
      <c r="EZ199" s="89" t="str">
        <f aca="false">IF(NOT(Tasks[[#This Row],[_IsLeaf]]=1),"",IF(Tasks[[#This Row],[_AlapShift]]=0,Tasks[[#This Row],[_LeafCalcStart]],WORKDAY.INTL(Tasks[[#This Row],[_LeafCalcStart]],Tasks[[#This Row],[_AlapShift]],WorkWeek,Holidays)))</f>
        <v/>
      </c>
      <c r="FA199" s="89" t="str">
        <f aca="false">IF(NOT(Tasks[[#This Row],[_IsLeaf]]=1),"",IF(Tasks[[#This Row],[_AlapShift]]=0,Tasks[[#This Row],[_LeafCalcFinish]],WORKDAY.INTL(Tasks[[#This Row],[_LeafCalcFinish]],Tasks[[#This Row],[_AlapShift]],WorkWeek,Holidays)))</f>
        <v/>
      </c>
      <c r="FB199" s="89" t="str">
        <f aca="false">IF(NOT(Tasks[[#This Row],[_IsLeaf]]=1),"",IF(Tasks[[#This Row],[_AlapShift]]=0,Tasks[[#This Row],[_LeafFcstStart]],WORKDAY.INTL(Tasks[[#This Row],[_LeafFcstStart]],Tasks[[#This Row],[_AlapShift]],WorkWeek,Holidays)))</f>
        <v/>
      </c>
      <c r="FC199" s="89" t="str">
        <f aca="false">IF(NOT(Tasks[[#This Row],[_IsLeaf]]=1),"",IF(Tasks[[#This Row],[_AlapShift]]=0,Tasks[[#This Row],[_LeafFcstFinish]],WORKDAY.INTL(Tasks[[#This Row],[_LeafFcstFinish]],Tasks[[#This Row],[_AlapShift]],WorkWeek,Holidays)))</f>
        <v/>
      </c>
      <c r="FD199" s="89" t="str">
        <f aca="false">IF(Tasks[[#This Row],[Task Name]]="","",IF(Tasks[[#This Row],[_IsSummary]],MIN(INDEX(Tasks[_ShownCalcStart],Tasks[[#This Row],[_Row]]+1):INDEX(Tasks[_ShownCalcStart],Tasks[[#This Row],[_Row]]+Tasks[[#This Row],[_Descendants]])),Tasks[[#This Row],[_ShownCalcStart]]))</f>
        <v/>
      </c>
      <c r="FE199" s="89" t="str">
        <f aca="false">IF(Tasks[[#This Row],[Task Name]]="","",IF(Tasks[[#This Row],[_IsSummary]],MAX(INDEX(Tasks[_ShownCalcFinish],Tasks[[#This Row],[_Row]]+1):INDEX(Tasks[_ShownCalcFinish],Tasks[[#This Row],[_Row]]+Tasks[[#This Row],[_Descendants]])),Tasks[[#This Row],[_ShownCalcFinish]]))</f>
        <v/>
      </c>
      <c r="FF199"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199"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199"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199"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199"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199"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199"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199"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199"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199"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199"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199"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199" s="42" t="n">
        <f aca="false">IF(AND(Tasks[[#This Row],[_IsLeaf]]=1,Tasks[[#This Row],[_LeafTotalWork]]&gt;0),NETWORKDAYS.INTL(ProjectStart,Tasks[[#This Row],[_ShownFcstStart]],WorkWeek,Holidays),0)</f>
        <v>0</v>
      </c>
      <c r="FS199" s="42" t="n">
        <f aca="false">IF(AND(Tasks[[#This Row],[_IsLeaf]]=1,Tasks[[#This Row],[_LeafTotalWork]]&gt;0),MAX(Tasks[[#This Row],[_StartWorkday]],NETWORKDAYS.INTL(ProjectStart,Tasks[[#This Row],[_ShownFcstFinish]],WorkWeek,Holidays)),0)</f>
        <v>0</v>
      </c>
      <c r="FT199" s="42" t="n">
        <f aca="false">IF(AND(Tasks[[#This Row],[_IsLeaf]]=1,Tasks[[#This Row],[_LeafTotalWork]]&gt;0),Tasks[[#This Row],[_LeafWork]]/(Tasks[[#This Row],[_FinishWorkday]]-Tasks[[#This Row],[_StartWorkday]]+1),0)</f>
        <v>0</v>
      </c>
      <c r="FU199" s="42" t="n">
        <f aca="false">Tasks[[#This Row],[_WorkPerWorkday]]*(Tasks[[#This Row],[_StartWorkday]]-1)</f>
        <v>-0</v>
      </c>
      <c r="FV199" s="42" t="n">
        <f aca="false">IF(Tasks[[#This Row],[_IsLeaf]]=1,MAX(N(Tasks[[#This Row],[_Days]]),0.1),0)</f>
        <v>0</v>
      </c>
      <c r="FW199" s="42" t="n">
        <f aca="false">Tasks[[#This Row],[_WeightDur]]*Tasks[[#This Row],[_LeafProgress]]</f>
        <v>0</v>
      </c>
      <c r="FX199" s="42" t="n">
        <f aca="false">Tasks[[#This Row],[_WeightDur]]*Tasks[[#This Row],[_PlannedPct]]</f>
        <v>0</v>
      </c>
      <c r="FY199"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199" s="42" t="str">
        <f aca="false">IF(AND(Tasks[[#This Row],[_IsLeaf]]=1,N(Tasks[[#This Row],[_Days]])=0,Tasks[[#This Row],[_LeafProgress]]&lt;1),Tasks[[#This Row],[_ShownFcstFinish]]+Tasks[[#This Row],[_Row]]/100000,"")</f>
        <v/>
      </c>
      <c r="GA199"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199" s="42" t="str">
        <f aca="false">IF(Tasks[[#This Row],[Task Name]]="","",LEFT(Tasks[[#This Row],[WBS]],FIND(".",Tasks[[#This Row],[WBS]]&amp;".")-1))</f>
        <v/>
      </c>
      <c r="GC199" s="42" t="str">
        <f aca="false">IF(AND(Tasks[[#This Row],[Task Name]]&lt;&gt;"",Tasks[[#This Row],[_Level]]=1),Tasks[[#This Row],[_Row]],"")</f>
        <v/>
      </c>
      <c r="GD199" s="42" t="str">
        <f aca="false">IF(AND(Tasks[[#This Row],[_IsLeaf]]=1,N(Tasks[[#This Row],[_Days]])=0),Tasks[[#This Row],[Planned Finish]]+Tasks[[#This Row],[_Row]]/100000,"")</f>
        <v/>
      </c>
      <c r="GE199" s="42" t="str">
        <f aca="false">IF(AND(Tasks[[#This Row],[_IsLeaf]]=1,Tasks[[#This Row],[_LeafProgress]]&lt;1,OR(N(Tasks[[#This Row],[Finish Var]])&gt;0,Tasks[[#This Row],[Status]]="Late Start")),MAX(0,Tasks[[#This Row],[Finish Var]])+1-Tasks[[#This Row],[_Row]]/1000000,"")</f>
        <v/>
      </c>
      <c r="GF199" s="42" t="str">
        <f aca="false">IF(AND(Tasks[[#This Row],[_IsLeaf]]=1,N(Tasks[[#This Row],[Actual Start]])=0,Tasks[[#This Row],[_ShownFcstStart]]&gt;=StatusDate,Tasks[[#This Row],[_ShownFcstStart]]&lt;=LookaheadEnd),Tasks[[#This Row],[_ShownFcstStart]]+Tasks[[#This Row],[_Row]]/100000,"")</f>
        <v/>
      </c>
      <c r="GG199" s="42" t="str">
        <f aca="false">IF(AND(Tasks[[#This Row],[_IsLeaf]]=1,Tasks[[#This Row],[_LeafProgress]]&lt;1,Tasks[[#This Row],[_ShownFcstFinish]]&gt;=StatusDate,Tasks[[#This Row],[_ShownFcstFinish]]&lt;=LookaheadEnd),Tasks[[#This Row],[_ShownFcstFinish]]+Tasks[[#This Row],[_Row]]/100000,"")</f>
        <v/>
      </c>
      <c r="GH199" s="42" t="str">
        <f aca="false">IF(Tasks[[#This Row],[_LeafCritical]],Tasks[[#This Row],[_ShownFcstStart]]+Tasks[[#This Row],[_Row]]/100000,"")</f>
        <v/>
      </c>
      <c r="GI199" s="42" t="n">
        <f aca="false">Tasks[[#This Row],[_LeafWork]]*Tasks[[#This Row],[_LeafProgress]]</f>
        <v>0</v>
      </c>
      <c r="GJ199" s="89" t="str">
        <f aca="false">IF(AND(Tasks[[#This Row],[_IsLeaf]]=1,Tasks[[#This Row],[_LeafProgress]]&gt;=1),IF(N(Tasks[[#This Row],[Actual Finish]])&gt;0,Tasks[[#This Row],[Actual Finish]],Tasks[[#This Row],[_ShownFcstFinish]]),"")</f>
        <v/>
      </c>
      <c r="GK199" s="42" t="n">
        <f aca="false">IF(Tasks[[#This Row],[_IsLeaf]]=1,N(Tasks[[#This Row],[Story Points]]),0)</f>
        <v>0</v>
      </c>
      <c r="GL199" s="42" t="str">
        <f aca="false">""</f>
        <v/>
      </c>
      <c r="GM199" s="88" t="b">
        <f aca="false">IF(Tasks[[#This Row],[Task Name]]="",FALSE(),AND(Tasks[[#This Row],[_IsLeaf]]=1,N(Tasks[[#This Row],[_Days]])=0))</f>
        <v>0</v>
      </c>
      <c r="GN199" s="89" t="n">
        <f aca="false">IF(Tasks[[#This Row],[Task Name]]="",0,IF(AND(Tasks[[#This Row],[_IsLeaf]]=1,NOT(Tasks[[#This Row],[_IsMilestone]]),N(Tasks[[#This Row],[Progress]])&gt;0),Tasks[[#This Row],[Start]],0))</f>
        <v>0</v>
      </c>
      <c r="GO199" s="89" t="n">
        <f aca="false">IF(Tasks[[#This Row],[_DoneFrom]]=0,0,IF(Tasks[[#This Row],[Progress]]&gt;=1,Tasks[[#This Row],[Finish]],MAX(Tasks[[#This Row],[_DoneFrom]],Tasks[[#This Row],[Start]]+ROUND((Tasks[[#This Row],[Finish]]-Tasks[[#This Row],[Start]]+1)*Tasks[[#This Row],[Progress]],0)-1)))</f>
        <v>0</v>
      </c>
      <c r="GP199" s="89" t="n">
        <f aca="false">IF(Tasks[[#This Row],[Task Name]]="",0,IF(OR(NOT(Tasks[[#This Row],[_IsLeaf]]=1),Tasks[[#This Row],[_IsMilestone]],N(Tasks[[#This Row],[Progress]])&gt;=1),0,IF(Tasks[[#This Row],[_DoneTo]]&gt;0,Tasks[[#This Row],[_DoneTo]]+1,Tasks[[#This Row],[Start]])))</f>
        <v>0</v>
      </c>
      <c r="GQ199" s="89" t="n">
        <f aca="false">IF(Tasks[[#This Row],[_RemFrom]]=0,0,Tasks[[#This Row],[Finish]])</f>
        <v>0</v>
      </c>
      <c r="GR199" s="88" t="b">
        <f aca="false">IF(Tasks[[#This Row],[Task Name]]="",FALSE(),OR(NOT(BaselineSet),N(Tasks[[#This Row],[Baseline Start]])&gt;0))</f>
        <v>0</v>
      </c>
      <c r="GS199"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199"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199"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199" s="90" t="str">
        <f aca="false">IF(Tasks[[#This Row],[_IsLeaf]]=1,Tasks[[#This Row],[_Row]],"")</f>
        <v/>
      </c>
      <c r="GW199" s="90" t="str">
        <f aca="false">IFERROR(INDEX(Tasks[UID],SMALL(Tasks[_PickKey],Tasks[[#This Row],[_Row]]))&amp;" "&amp;INDEX(Tasks[Task Name],SMALL(Tasks[_PickKey],Tasks[[#This Row],[_Row]])),"")</f>
        <v/>
      </c>
      <c r="GX199" s="42" t="str">
        <f aca="false">IF(Tasks[[#This Row],[Task Name]]="","",IF(Tasks[[#This Row],[_IsSummary]],NETWORKDAYS.INTL(Tasks[[#This Row],[Start]],Tasks[[#This Row],[Finish]],WorkWeek,Holidays),N(Tasks[[#This Row],[_Days]])))</f>
        <v/>
      </c>
    </row>
    <row r="200" customFormat="false" ht="15" hidden="false" customHeight="false" outlineLevel="0" collapsed="false">
      <c r="A200" s="21" t="str">
        <f aca="false">IF(Tasks[[#This Row],[Task Name]]="","",COUNTA(Tasks[[#Headers],[Task Name]]:Tasks[[#This Row],[Task Name]])-1)</f>
        <v/>
      </c>
      <c r="B200" s="22" t="n">
        <v>208</v>
      </c>
      <c r="C200" s="22"/>
      <c r="D200" s="23"/>
      <c r="E200" s="22"/>
      <c r="F200" s="23"/>
      <c r="G200" s="22"/>
      <c r="H200" s="22"/>
      <c r="I200" s="23"/>
      <c r="J200" s="22"/>
      <c r="K200" s="22"/>
      <c r="L200" s="23"/>
      <c r="M200" s="22"/>
      <c r="N200" s="22"/>
      <c r="O200" s="23"/>
      <c r="P200" s="22"/>
      <c r="Q200" s="22"/>
      <c r="R200" s="23"/>
      <c r="S200" s="23"/>
      <c r="T200" s="83"/>
      <c r="U200" s="23"/>
      <c r="V200" s="83"/>
      <c r="W200" s="23"/>
      <c r="X200" s="83"/>
      <c r="Y200" s="23"/>
      <c r="Z200" s="83"/>
      <c r="AA200" s="23"/>
      <c r="AB200" s="23"/>
      <c r="AC200" s="7"/>
      <c r="AD200" s="7"/>
      <c r="AE200" s="62" t="str">
        <f aca="false">IF(Tasks[[#This Row],[Task Name]]="","",IF(Tasks[[#This Row],[_IsSummary]],MIN(INDEX(Tasks[_ShownFcstStart],Tasks[[#This Row],[_Row]]+1):INDEX(Tasks[_ShownFcstStart],Tasks[[#This Row],[_Row]]+Tasks[[#This Row],[_Descendants]])),Tasks[[#This Row],[_ShownFcstStart]]))</f>
        <v/>
      </c>
      <c r="AF200" s="62" t="str">
        <f aca="false">IF(Tasks[[#This Row],[Task Name]]="","",IF(Tasks[[#This Row],[_IsSummary]],MAX(INDEX(Tasks[_ShownFcstFinish],Tasks[[#This Row],[_Row]]+1):INDEX(Tasks[_ShownFcstFinish],Tasks[[#This Row],[_Row]]+Tasks[[#This Row],[_Descendants]])),Tasks[[#This Row],[_ShownFcstFinish]]))</f>
        <v/>
      </c>
      <c r="AG200" s="21" t="str">
        <f aca="false">""</f>
        <v/>
      </c>
      <c r="AH200" s="23"/>
      <c r="AI200"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0" s="7"/>
      <c r="AK200" s="22"/>
      <c r="AL200" s="23"/>
      <c r="AM200" s="7"/>
      <c r="AN200" s="46" t="str">
        <f aca="false">IF(Tasks[[#This Row],[Task Name]]="","",IF(Tasks[[#This Row],[Finish]]&gt;=Tasks[[#This Row],[Planned Finish]],NETWORKDAYS.INTL(Tasks[[#This Row],[Planned Finish]],Tasks[[#This Row],[Finish]],WorkWeek,Holidays)-1,1-NETWORKDAYS.INTL(Tasks[[#This Row],[Finish]],Tasks[[#This Row],[Planned Finish]],WorkWeek,Holidays)))</f>
        <v/>
      </c>
      <c r="AO200" s="21" t="str">
        <f aca="false">IF(Tasks[[#This Row],[Task Name]]="","",IF(Tasks[[#This Row],[Progress]]&gt;=1,"Complete",IF(OR(N(Tasks[[#This Row],[Actual Start]])&gt;0,Tasks[[#This Row],[Progress]]&gt;0),IF(Tasks[[#This Row],[Finish Var]]&gt;0,"Behind","In Progress"),IF(Tasks[[#This Row],[Planned Start]]&lt;StatusDate,"Late Start","Not Started"))))</f>
        <v/>
      </c>
      <c r="AP200" s="21" t="str">
        <f aca="false">IF(Tasks[[#This Row],[Task Name]]="","",IF(IF(Tasks[[#This Row],[_IsSummary]],COUNTIF(INDEX(Tasks[_LeafCritical],Tasks[[#This Row],[_Row]]+1):INDEX(Tasks[_LeafCritical],Tasks[[#This Row],[_Row]]+Tasks[[#This Row],[_Descendants]]),TRUE())&gt;0,Tasks[[#This Row],[_LeafCritical]]),"Yes",""))</f>
        <v/>
      </c>
      <c r="AQ200" s="62" t="str">
        <f aca="false">IF(Tasks[[#This Row],[Task Name]]="","",IF(N(Tasks[[#This Row],[Baseline Start]])&gt;0,Tasks[[#This Row],[Baseline Start]],Tasks[[#This Row],[_CalcStart]]))</f>
        <v/>
      </c>
      <c r="AR200" s="62" t="str">
        <f aca="false">IF(Tasks[[#This Row],[Task Name]]="","",IF(N(Tasks[[#This Row],[Baseline Finish]])&gt;0,Tasks[[#This Row],[Baseline Finish]],Tasks[[#This Row],[_CalcFinish]]))</f>
        <v/>
      </c>
      <c r="AS200" s="46" t="str">
        <f aca="false">IF(Tasks[[#This Row],[Task Name]]="","",IF(Tasks[[#This Row],[Start]]&gt;=Tasks[[#This Row],[Planned Start]],NETWORKDAYS.INTL(Tasks[[#This Row],[Planned Start]],Tasks[[#This Row],[Start]],WorkWeek,Holidays)-1,1-NETWORKDAYS.INTL(Tasks[[#This Row],[Start]],Tasks[[#This Row],[Planned Start]],WorkWeek,Holidays)))</f>
        <v/>
      </c>
      <c r="AT200" s="62" t="str">
        <f aca="false">IF(Tasks[[#This Row],[Task Name]]="","",IF(Tasks[[#This Row],[_IsSummary]],MIN(INDEX(Tasks[_LeafLateStart],Tasks[[#This Row],[_Row]]+1):INDEX(Tasks[_LeafLateStart],Tasks[[#This Row],[_Row]]+Tasks[[#This Row],[_Descendants]])),Tasks[[#This Row],[_LeafLateStart]]))</f>
        <v/>
      </c>
      <c r="AU200" s="62" t="str">
        <f aca="false">IF(Tasks[[#This Row],[Task Name]]="","",IF(Tasks[[#This Row],[_IsSummary]],MAX(INDEX(Tasks[_LeafLateFinish],Tasks[[#This Row],[_Row]]+1):INDEX(Tasks[_LeafLateFinish],Tasks[[#This Row],[_Row]]+Tasks[[#This Row],[_Descendants]])),Tasks[[#This Row],[_LeafLateFinish]]))</f>
        <v/>
      </c>
      <c r="AV200" s="46" t="str">
        <f aca="false">IF(Tasks[[#This Row],[Task Name]]="","",IF(Tasks[[#This Row],[_IsSummary]],MIN(INDEX(Tasks[_LeafTotalSlack],Tasks[[#This Row],[_Row]]+1):INDEX(Tasks[_LeafTotalSlack],Tasks[[#This Row],[_Row]]+Tasks[[#This Row],[_Descendants]])),Tasks[[#This Row],[_LeafTotalSlack]]))</f>
        <v/>
      </c>
      <c r="AW200"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4"/>
      <c r="BA200"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t="str">
        <f aca="false">IF(Tasks[[#This Row],[Task Name]]="","",IF(Tasks[[#This Row],[_Level]]&lt;=OutlineShowLevel,"Yes","No"))</f>
        <v/>
      </c>
      <c r="BE200" s="85" t="str">
        <f aca="false">IF(Tasks[[#This Row],[Task Name]]="","",IF(Tasks[[#This Row],[_IsSummary]],SUM(INDEX(Tasks[_LeafTotalWork],Tasks[[#This Row],[_Row]]+1):INDEX(Tasks[_LeafTotalWork],Tasks[[#This Row],[_Row]]+Tasks[[#This Row],[_Descendants]])),Tasks[[#This Row],[_LeafTotalWork]]))</f>
        <v/>
      </c>
      <c r="BF200" s="23"/>
      <c r="BG200"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t="str">
        <f aca="false">""</f>
        <v/>
      </c>
      <c r="BI200" s="86"/>
      <c r="BJ200" s="22"/>
      <c r="BK200" s="46" t="str">
        <f aca="false">IF(OR(Tasks[[#This Row],[Task Name]]="",Tasks[[#This Row],[Baseline Duration]]=""),"",Tasks[[#This Row],[_SpanDays]]-N(Tasks[[#This Row],[Baseline Duration]]))</f>
        <v/>
      </c>
      <c r="BL200" s="85" t="str">
        <f aca="false">IF(OR(Tasks[[#This Row],[Task Name]]="",Tasks[[#This Row],[Baseline Work]]=""),"",Tasks[[#This Row],[Work]]-N(Tasks[[#This Row],[Baseline Work]]))</f>
        <v/>
      </c>
      <c r="BM200" s="62" t="str">
        <f aca="false">IF(Tasks[[#This Row],[Task Name]]="","",IF(OR(TakeBaseline="Yes",N(Tasks[[#This Row],[Baseline Start]])=0),Tasks[[#This Row],[Start]],Tasks[[#This Row],[Baseline Start]]))</f>
        <v/>
      </c>
      <c r="BN200" s="62" t="str">
        <f aca="false">IF(Tasks[[#This Row],[Task Name]]="","",IF(OR(TakeBaseline="Yes",N(Tasks[[#This Row],[Baseline Finish]])=0),Tasks[[#This Row],[Finish]],Tasks[[#This Row],[Baseline Finish]]))</f>
        <v/>
      </c>
      <c r="BO200" s="21" t="str">
        <f aca="false">IF(Tasks[[#This Row],[Task Name]]="","",IF(OR(TakeBaseline="Yes",N(Tasks[[#This Row],[Baseline Duration]])=0),Tasks[[#This Row],[_SpanDays]],Tasks[[#This Row],[Baseline Duration]]))</f>
        <v/>
      </c>
      <c r="BP200" s="85" t="str">
        <f aca="false">IF(Tasks[[#This Row],[Task Name]]="","",IF(OR(TakeBaseline="Yes",N(Tasks[[#This Row],[Baseline Work]])=0),Tasks[[#This Row],[Work]],Tasks[[#This Row],[Baseline Work]]))</f>
        <v/>
      </c>
      <c r="BQ200" s="7"/>
      <c r="BR200" s="7"/>
      <c r="BS200" s="22"/>
      <c r="BT200" s="87"/>
      <c r="BU200" s="42" t="str">
        <f aca="false">IF(Tasks[[#This Row],[Task Name]]="","",MAX(1,N(Tasks[[#This Row],[Level]])))</f>
        <v/>
      </c>
      <c r="BV200" s="42" t="n">
        <f aca="false">ROW()-ROW(Tasks[[#Headers],[ID]])</f>
        <v>195</v>
      </c>
      <c r="BW200" s="42" t="n">
        <f aca="false">IF(OR(Tasks[[#This Row],[Task Name]]="",Tasks[[#This Row],[_Level]]&lt;=1),0,IFERROR(LOOKUP(2,1/(Tasks[[#Headers],[_Level]]:Tasks[[#This Row],[_Level]]=Tasks[[#This Row],[_Level]]-1),ROW(Tasks[[#Headers],[_Level]]:Tasks[[#This Row],[_Level]])),0))</f>
        <v>0</v>
      </c>
      <c r="BX200" s="42" t="n">
        <f aca="false">IFERROR(N(INDEX(Tasks[_Level],Tasks[[#This Row],[_Row]]+1)),0)</f>
        <v>0</v>
      </c>
      <c r="BY200" s="88" t="b">
        <f aca="false">AND(Tasks[[#This Row],[Task Name]]&lt;&gt;"",Tasks[[#This Row],[_NextLevel]]&gt;Tasks[[#This Row],[_Level]])</f>
        <v>0</v>
      </c>
      <c r="BZ200" s="42" t="n">
        <f aca="false">IF(Tasks[[#This Row],[_IsSummary]],COUNTIF(Tasks[WBS],Tasks[[#This Row],[WBS]]&amp;".*"),0)</f>
        <v>0</v>
      </c>
      <c r="CA200" s="42" t="n">
        <f aca="false">IF(AND(Tasks[[#This Row],[Task Name]]&lt;&gt;"",NOT(Tasks[[#This Row],[_IsSummary]])),1,0)</f>
        <v>0</v>
      </c>
      <c r="CB200" s="42" t="n">
        <f aca="false">IF(N(Tasks[[#This Row],[_Pred1UID]])=0,0,IFERROR(MATCH(Tasks[[#This Row],[_Pred1UID]],Tasks[UID],0),-1))</f>
        <v>0</v>
      </c>
      <c r="CC200" s="42" t="n">
        <f aca="false">IF(N(Tasks[[#This Row],[_Pred2UID]])=0,0,IFERROR(MATCH(Tasks[[#This Row],[_Pred2UID]],Tasks[UID],0),-1))</f>
        <v>0</v>
      </c>
      <c r="CD200" s="42" t="n">
        <f aca="false">IF(N(Tasks[[#This Row],[_Pred3UID]])=0,0,IFERROR(MATCH(Tasks[[#This Row],[_Pred3UID]],Tasks[UID],0),-1))</f>
        <v>0</v>
      </c>
      <c r="CE200" s="42" t="n">
        <f aca="false">IF(N(Tasks[[#This Row],[_Pred4UID]])=0,0,IFERROR(MATCH(Tasks[[#This Row],[_Pred4UID]],Tasks[UID],0),-1))</f>
        <v>0</v>
      </c>
      <c r="CF200"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0"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0" s="89" t="n">
        <f aca="false">IF(OR(Tasks[[#This Row],[_ConstraintCode]]=2,Tasks[[#This Row],[_ConstraintCode]]=3,Tasks[[#This Row],[_ConstraintCode]]=4,Tasks[[#This Row],[_ConstraintCode]]=6),Tasks[[#This Row],[_ConstraintStart]],0)</f>
        <v>0</v>
      </c>
      <c r="CI200" s="89" t="n">
        <f aca="false">IF(OR(Tasks[[#This Row],[_ConstraintCode]]=2,Tasks[[#This Row],[_ConstraintCode]]=3,Tasks[[#This Row],[_ConstraintCode]]=5,Tasks[[#This Row],[_ConstraintCode]]=7),Tasks[[#This Row],[_ConstraintStart]],2958465)</f>
        <v>2958465</v>
      </c>
      <c r="CJ200"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0" s="89" t="str">
        <f aca="false">IF(NOT(Tasks[[#This Row],[_IsLeaf]]=1),"",IF(N(Tasks[[#This Row],[_Days]])&lt;=0,Tasks[[#This Row],[_LeafCalcStart]],WORKDAY.INTL(Tasks[[#This Row],[_LeafCalcStart]],Tasks[[#This Row],[_Days]]-1,WorkWeek,Holidays)))</f>
        <v/>
      </c>
      <c r="CL200"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0"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0" s="42" t="str">
        <f aca="false">IF(Tasks[[#This Row],[_Predecessors]]="","",TRIM(MID(SUBSTITUTE(SUBSTITUTE(SUBSTITUTE(UPPER(Tasks[[#This Row],[_Predecessors]]),";",",")," ",""),",",REPT(" ",99)),1,99)))</f>
        <v/>
      </c>
      <c r="CO200" s="42" t="str">
        <f aca="false">IF(Tasks[[#This Row],[_Pred1Text]]="","",IFERROR(VALUE(LEFT(Tasks[[#This Row],[_Pred1Text]],MIN(FIND("F",Tasks[[#This Row],[_Pred1Text]]&amp;"F"),FIND("S",Tasks[[#This Row],[_Pred1Text]]&amp;"S"),FIND("+",Tasks[[#This Row],[_Pred1Text]]&amp;"+"),FIND("-",Tasks[[#This Row],[_Pred1Text]]&amp;"-"))-1)),""))</f>
        <v/>
      </c>
      <c r="CP200"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0"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0" s="42" t="str">
        <f aca="false">IF(Tasks[[#This Row],[_Pred1Text]]="","",TRIM(MID(SUBSTITUTE(SUBSTITUTE(SUBSTITUTE(UPPER(Tasks[[#This Row],[_Predecessors]]),";",",")," ",""),",",REPT(" ",99)),100,99)))</f>
        <v/>
      </c>
      <c r="CS200" s="42" t="str">
        <f aca="false">IF(Tasks[[#This Row],[_Pred2Text]]="","",IFERROR(VALUE(LEFT(Tasks[[#This Row],[_Pred2Text]],MIN(FIND("F",Tasks[[#This Row],[_Pred2Text]]&amp;"F"),FIND("S",Tasks[[#This Row],[_Pred2Text]]&amp;"S"),FIND("+",Tasks[[#This Row],[_Pred2Text]]&amp;"+"),FIND("-",Tasks[[#This Row],[_Pred2Text]]&amp;"-"))-1)),""))</f>
        <v/>
      </c>
      <c r="CT200"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0"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0" s="42" t="str">
        <f aca="false">IF(Tasks[[#This Row],[_Pred2Text]]="","",TRIM(MID(SUBSTITUTE(SUBSTITUTE(SUBSTITUTE(UPPER(Tasks[[#This Row],[_Predecessors]]),";",",")," ",""),",",REPT(" ",99)),199,99)))</f>
        <v/>
      </c>
      <c r="CW200" s="42" t="str">
        <f aca="false">IF(Tasks[[#This Row],[_Pred3Text]]="","",IFERROR(VALUE(LEFT(Tasks[[#This Row],[_Pred3Text]],MIN(FIND("F",Tasks[[#This Row],[_Pred3Text]]&amp;"F"),FIND("S",Tasks[[#This Row],[_Pred3Text]]&amp;"S"),FIND("+",Tasks[[#This Row],[_Pred3Text]]&amp;"+"),FIND("-",Tasks[[#This Row],[_Pred3Text]]&amp;"-"))-1)),""))</f>
        <v/>
      </c>
      <c r="CX200"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0"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0" s="42" t="str">
        <f aca="false">IF(Tasks[[#This Row],[_Pred3Text]]="","",TRIM(MID(SUBSTITUTE(SUBSTITUTE(SUBSTITUTE(UPPER(Tasks[[#This Row],[_Predecessors]]),";",",")," ",""),",",REPT(" ",99)),298,99)))</f>
        <v/>
      </c>
      <c r="DA200" s="42" t="str">
        <f aca="false">IF(Tasks[[#This Row],[_Pred4Text]]="","",IFERROR(VALUE(LEFT(Tasks[[#This Row],[_Pred4Text]],MIN(FIND("F",Tasks[[#This Row],[_Pred4Text]]&amp;"F"),FIND("S",Tasks[[#This Row],[_Pred4Text]]&amp;"S"),FIND("+",Tasks[[#This Row],[_Pred4Text]]&amp;"+"),FIND("-",Tasks[[#This Row],[_Pred4Text]]&amp;"-"))-1)),""))</f>
        <v/>
      </c>
      <c r="DB200"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0"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0" s="42" t="str">
        <f aca="false">IF(OR(Tasks[[#This Row],[Task Name]]="",Tasks[[#This Row],[_Resources]]=""),"",TRIM(MID(SUBSTITUTE(Tasks[[#This Row],[_Resources]],",",REPT(" ",99)),1,99)))</f>
        <v/>
      </c>
      <c r="DE200" s="42" t="str">
        <f aca="false">IF(Tasks[[#This Row],[_Res1Text]]="","",TRIM(MID(SUBSTITUTE(Tasks[[#This Row],[_Resources]],",",REPT(" ",99)),100,99)))</f>
        <v/>
      </c>
      <c r="DF200" s="42" t="str">
        <f aca="false">IF(Tasks[[#This Row],[_Res2Text]]="","",TRIM(MID(SUBSTITUTE(Tasks[[#This Row],[_Resources]],",",REPT(" ",99)),199,99)))</f>
        <v/>
      </c>
      <c r="DG200" s="42" t="str">
        <f aca="false">IF(Tasks[[#This Row],[_Res3Text]]="","",TRIM(MID(SUBSTITUTE(Tasks[[#This Row],[_Resources]],",",REPT(" ",99)),298,99)))</f>
        <v/>
      </c>
      <c r="DH200" s="42" t="n">
        <f aca="false">IF(Tasks[[#This Row],[_Res1Text]]="",0,IFERROR(MATCH(TRIM(LEFT(Tasks[[#This Row],[_Res1Text]],FIND("[",Tasks[[#This Row],[_Res1Text]]&amp;"[")-1)),res_Name,0),IFERROR(MATCH(TRIM(LEFT(Tasks[[#This Row],[_Res1Text]],FIND("[",Tasks[[#This Row],[_Res1Text]]&amp;"[")-1)),res_Initials,0),0)))</f>
        <v>0</v>
      </c>
      <c r="DI200" s="42" t="n">
        <f aca="false">IF(Tasks[[#This Row],[_Res2Text]]="",0,IFERROR(MATCH(TRIM(LEFT(Tasks[[#This Row],[_Res2Text]],FIND("[",Tasks[[#This Row],[_Res2Text]]&amp;"[")-1)),res_Name,0),IFERROR(MATCH(TRIM(LEFT(Tasks[[#This Row],[_Res2Text]],FIND("[",Tasks[[#This Row],[_Res2Text]]&amp;"[")-1)),res_Initials,0),0)))</f>
        <v>0</v>
      </c>
      <c r="DJ200" s="42" t="n">
        <f aca="false">IF(Tasks[[#This Row],[_Res3Text]]="",0,IFERROR(MATCH(TRIM(LEFT(Tasks[[#This Row],[_Res3Text]],FIND("[",Tasks[[#This Row],[_Res3Text]]&amp;"[")-1)),res_Name,0),IFERROR(MATCH(TRIM(LEFT(Tasks[[#This Row],[_Res3Text]],FIND("[",Tasks[[#This Row],[_Res3Text]]&amp;"[")-1)),res_Initials,0),0)))</f>
        <v>0</v>
      </c>
      <c r="DK200" s="42" t="n">
        <f aca="false">IF(Tasks[[#This Row],[_Res4Text]]="",0,IFERROR(MATCH(TRIM(LEFT(Tasks[[#This Row],[_Res4Text]],FIND("[",Tasks[[#This Row],[_Res4Text]]&amp;"[")-1)),res_Name,0),IFERROR(MATCH(TRIM(LEFT(Tasks[[#This Row],[_Res4Text]],FIND("[",Tasks[[#This Row],[_Res4Text]]&amp;"[")-1)),res_Initials,0),0)))</f>
        <v>0</v>
      </c>
      <c r="DL200" s="42" t="str">
        <f aca="false">IF(Tasks[[#This Row],[_Res1Text]]="","",IF(Tasks[[#This Row],[_Res1Row]]&gt;0,INDEX(res_Name,Tasks[[#This Row],[_Res1Row]]),TRIM(LEFT(Tasks[[#This Row],[_Res1Text]],FIND("[",Tasks[[#This Row],[_Res1Text]]&amp;"[")-1))))</f>
        <v/>
      </c>
      <c r="DM200"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0" s="42" t="n">
        <f aca="false">IF(NOT(Tasks[[#This Row],[_IsLeaf]]=1),0,(Tasks[[#This Row],[_Resource1]]&lt;&gt;"")+(Tasks[[#This Row],[_Res2]]&lt;&gt;"")+(Tasks[[#This Row],[_Res3]]&lt;&gt;"")+(Tasks[[#This Row],[_Res4]]&lt;&gt;""))</f>
        <v>0</v>
      </c>
      <c r="DO200" s="42" t="str">
        <f aca="false">IF(Tasks[[#This Row],[_Res2Text]]="","",IF(Tasks[[#This Row],[_Res2Row]]&gt;0,INDEX(res_Name,Tasks[[#This Row],[_Res2Row]]),TRIM(LEFT(Tasks[[#This Row],[_Res2Text]],FIND("[",Tasks[[#This Row],[_Res2Text]]&amp;"[")-1))))</f>
        <v/>
      </c>
      <c r="DP200"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0" s="42" t="n">
        <f aca="false">IF(OR(NOT(Tasks[[#This Row],[_IsLeaf]]=1),Tasks[[#This Row],[_Res2Row]]=0),0,N(Tasks[[#This Row],[_Days]])*HoursPerDay*IF(Tasks[[#This Row],[_Res2Units]]="",DefaultUnits,Tasks[[#This Row],[_Res2Units]]))</f>
        <v>0</v>
      </c>
      <c r="DR200" s="42" t="n">
        <f aca="false">IF(AND(AND(Tasks[[#This Row],[_IsLeaf]]=1,Tasks[[#This Row],[_LeafTotalWork]]&gt;0),Tasks[[#This Row],[_Res2Work]]&gt;0),Tasks[[#This Row],[_Res2Work]]/(Tasks[[#This Row],[_FinishWorkday]]-Tasks[[#This Row],[_StartWorkday]]+1),0)</f>
        <v>0</v>
      </c>
      <c r="DS200" s="42" t="n">
        <f aca="false">Tasks[[#This Row],[_Res2WorkPerWD]]*MAX(0,Tasks[[#This Row],[_StartWorkday]]-1)</f>
        <v>0</v>
      </c>
      <c r="DT200" s="42" t="n">
        <f aca="false">Tasks[[#This Row],[_Res2Work]]*Tasks[[#This Row],[_LeafProgress]]</f>
        <v>0</v>
      </c>
      <c r="DU200" s="42" t="str">
        <f aca="false">IF(Tasks[[#This Row],[_Res3Text]]="","",IF(Tasks[[#This Row],[_Res3Row]]&gt;0,INDEX(res_Name,Tasks[[#This Row],[_Res3Row]]),TRIM(LEFT(Tasks[[#This Row],[_Res3Text]],FIND("[",Tasks[[#This Row],[_Res3Text]]&amp;"[")-1))))</f>
        <v/>
      </c>
      <c r="DV200"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0" s="42" t="n">
        <f aca="false">IF(OR(NOT(Tasks[[#This Row],[_IsLeaf]]=1),Tasks[[#This Row],[_Res3Row]]=0),0,N(Tasks[[#This Row],[_Days]])*HoursPerDay*IF(Tasks[[#This Row],[_Res3Units]]="",DefaultUnits,Tasks[[#This Row],[_Res3Units]]))</f>
        <v>0</v>
      </c>
      <c r="DX200" s="42" t="n">
        <f aca="false">IF(AND(AND(Tasks[[#This Row],[_IsLeaf]]=1,Tasks[[#This Row],[_LeafTotalWork]]&gt;0),Tasks[[#This Row],[_Res3Work]]&gt;0),Tasks[[#This Row],[_Res3Work]]/(Tasks[[#This Row],[_FinishWorkday]]-Tasks[[#This Row],[_StartWorkday]]+1),0)</f>
        <v>0</v>
      </c>
      <c r="DY200" s="42" t="n">
        <f aca="false">Tasks[[#This Row],[_Res3WorkPerWD]]*MAX(0,Tasks[[#This Row],[_StartWorkday]]-1)</f>
        <v>0</v>
      </c>
      <c r="DZ200" s="42" t="n">
        <f aca="false">Tasks[[#This Row],[_Res3Work]]*Tasks[[#This Row],[_LeafProgress]]</f>
        <v>0</v>
      </c>
      <c r="EA200" s="42" t="str">
        <f aca="false">IF(Tasks[[#This Row],[_Res4Text]]="","",IF(Tasks[[#This Row],[_Res4Row]]&gt;0,INDEX(res_Name,Tasks[[#This Row],[_Res4Row]]),TRIM(LEFT(Tasks[[#This Row],[_Res4Text]],FIND("[",Tasks[[#This Row],[_Res4Text]]&amp;"[")-1))))</f>
        <v/>
      </c>
      <c r="EB200"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0" s="42" t="n">
        <f aca="false">IF(OR(NOT(Tasks[[#This Row],[_IsLeaf]]=1),Tasks[[#This Row],[_Res4Row]]=0),0,N(Tasks[[#This Row],[_Days]])*HoursPerDay*IF(Tasks[[#This Row],[_Res4Units]]="",DefaultUnits,Tasks[[#This Row],[_Res4Units]]))</f>
        <v>0</v>
      </c>
      <c r="ED200" s="42" t="n">
        <f aca="false">IF(AND(AND(Tasks[[#This Row],[_IsLeaf]]=1,Tasks[[#This Row],[_LeafTotalWork]]&gt;0),Tasks[[#This Row],[_Res4Work]]&gt;0),Tasks[[#This Row],[_Res4Work]]/(Tasks[[#This Row],[_FinishWorkday]]-Tasks[[#This Row],[_StartWorkday]]+1),0)</f>
        <v>0</v>
      </c>
      <c r="EE200" s="42" t="n">
        <f aca="false">Tasks[[#This Row],[_Res4WorkPerWD]]*MAX(0,Tasks[[#This Row],[_StartWorkday]]-1)</f>
        <v>0</v>
      </c>
      <c r="EF200" s="42" t="n">
        <f aca="false">Tasks[[#This Row],[_Res4Work]]*Tasks[[#This Row],[_LeafProgress]]</f>
        <v>0</v>
      </c>
      <c r="EG200" s="42" t="n">
        <f aca="false">IF(ISNUMBER(Tasks[[#This Row],[% Complete]]),Tasks[[#This Row],[% Complete]],IF(Tasks[[#This Row],[Stage]]="",0,IFERROR(INDEX(stg_Pct,MATCH(Tasks[[#This Row],[Stage]],stg_Name,0)),0)))</f>
        <v>0</v>
      </c>
      <c r="EH200" s="42" t="n">
        <f aca="false">IF(NOT(Tasks[[#This Row],[_IsLeaf]]=1),0,IF(N(Tasks[[#This Row],[Actual Finish]])&gt;0,1,MIN(1,Tasks[[#This Row],[_Pct]])))</f>
        <v>0</v>
      </c>
      <c r="EI200" s="42" t="n">
        <f aca="false">IF(OR(NOT(Tasks[[#This Row],[_IsLeaf]]=1),Tasks[[#This Row],[_Res1Row]]=0),0,N(Tasks[[#This Row],[_Days]])*HoursPerDay*IF(Tasks[[#This Row],[_Units1]]="",DefaultUnits,Tasks[[#This Row],[_Units1]]))</f>
        <v>0</v>
      </c>
      <c r="EJ200" s="42" t="n">
        <f aca="false">Tasks[[#This Row],[_LeafWork]]+Tasks[[#This Row],[_Res2Work]]+Tasks[[#This Row],[_Res3Work]]+Tasks[[#This Row],[_Res4Work]]</f>
        <v>0</v>
      </c>
      <c r="EK200"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0"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0"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0"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0"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0"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0"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0"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0" s="42" t="n">
        <f aca="false">IF(NOT(Tasks[[#This Row],[_IsLeaf]]=1),0,MAX(_xlfn.MAXIFS(Tasks[_Row],Tasks[_Pred1UID],Tasks[[#This Row],[UID]]),_xlfn.MAXIFS(Tasks[_Row],Tasks[_Pred2UID],Tasks[[#This Row],[UID]]),_xlfn.MAXIFS(Tasks[_Row],Tasks[_Pred3UID],Tasks[[#This Row],[UID]]),_xlfn.MAXIFS(Tasks[_Row],Tasks[_Pred4UID],Tasks[[#This Row],[UID]])))</f>
        <v>0</v>
      </c>
      <c r="ET200"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0"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0" s="89" t="str">
        <f aca="false">IF(NOT(Tasks[[#This Row],[_IsLeaf]]=1),"",IF(N(Tasks[[#This Row],[_Days]])&lt;=0,Tasks[[#This Row],[_LeafLateFinish]],WORKDAY.INTL(Tasks[[#This Row],[_LeafLateFinish]],-(Tasks[[#This Row],[_Days]]-1),WorkWeek,Holidays)))</f>
        <v/>
      </c>
      <c r="EW200"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0" s="88" t="b">
        <f aca="false">AND(Tasks[[#This Row],[_IsLeaf]]=1,Tasks[[#This Row],[_LeafProgress]]&lt;1,N(Tasks[[#This Row],[_LeafTotalSlack]])&lt;=CriticalSlackDays)</f>
        <v>0</v>
      </c>
      <c r="EY200" s="42" t="n">
        <f aca="false">IF(AND(Tasks[[#This Row],[_IsLeaf]]=1,Tasks[[#This Row],[_ConstraintCode]]=1,Tasks[[#This Row],[Mode]]&lt;&gt;"Manual",N(Tasks[[#This Row],[Actual Start]])=0),MAX(0,N(Tasks[[#This Row],[Free Slack]])),0)</f>
        <v>0</v>
      </c>
      <c r="EZ200" s="89" t="str">
        <f aca="false">IF(NOT(Tasks[[#This Row],[_IsLeaf]]=1),"",IF(Tasks[[#This Row],[_AlapShift]]=0,Tasks[[#This Row],[_LeafCalcStart]],WORKDAY.INTL(Tasks[[#This Row],[_LeafCalcStart]],Tasks[[#This Row],[_AlapShift]],WorkWeek,Holidays)))</f>
        <v/>
      </c>
      <c r="FA200" s="89" t="str">
        <f aca="false">IF(NOT(Tasks[[#This Row],[_IsLeaf]]=1),"",IF(Tasks[[#This Row],[_AlapShift]]=0,Tasks[[#This Row],[_LeafCalcFinish]],WORKDAY.INTL(Tasks[[#This Row],[_LeafCalcFinish]],Tasks[[#This Row],[_AlapShift]],WorkWeek,Holidays)))</f>
        <v/>
      </c>
      <c r="FB200" s="89" t="str">
        <f aca="false">IF(NOT(Tasks[[#This Row],[_IsLeaf]]=1),"",IF(Tasks[[#This Row],[_AlapShift]]=0,Tasks[[#This Row],[_LeafFcstStart]],WORKDAY.INTL(Tasks[[#This Row],[_LeafFcstStart]],Tasks[[#This Row],[_AlapShift]],WorkWeek,Holidays)))</f>
        <v/>
      </c>
      <c r="FC200" s="89" t="str">
        <f aca="false">IF(NOT(Tasks[[#This Row],[_IsLeaf]]=1),"",IF(Tasks[[#This Row],[_AlapShift]]=0,Tasks[[#This Row],[_LeafFcstFinish]],WORKDAY.INTL(Tasks[[#This Row],[_LeafFcstFinish]],Tasks[[#This Row],[_AlapShift]],WorkWeek,Holidays)))</f>
        <v/>
      </c>
      <c r="FD200" s="89" t="str">
        <f aca="false">IF(Tasks[[#This Row],[Task Name]]="","",IF(Tasks[[#This Row],[_IsSummary]],MIN(INDEX(Tasks[_ShownCalcStart],Tasks[[#This Row],[_Row]]+1):INDEX(Tasks[_ShownCalcStart],Tasks[[#This Row],[_Row]]+Tasks[[#This Row],[_Descendants]])),Tasks[[#This Row],[_ShownCalcStart]]))</f>
        <v/>
      </c>
      <c r="FE200" s="89" t="str">
        <f aca="false">IF(Tasks[[#This Row],[Task Name]]="","",IF(Tasks[[#This Row],[_IsSummary]],MAX(INDEX(Tasks[_ShownCalcFinish],Tasks[[#This Row],[_Row]]+1):INDEX(Tasks[_ShownCalcFinish],Tasks[[#This Row],[_Row]]+Tasks[[#This Row],[_Descendants]])),Tasks[[#This Row],[_ShownCalcFinish]]))</f>
        <v/>
      </c>
      <c r="FF200"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0"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0"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0"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0"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0"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0"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0"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0"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0"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0"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0"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0" s="42" t="n">
        <f aca="false">IF(AND(Tasks[[#This Row],[_IsLeaf]]=1,Tasks[[#This Row],[_LeafTotalWork]]&gt;0),NETWORKDAYS.INTL(ProjectStart,Tasks[[#This Row],[_ShownFcstStart]],WorkWeek,Holidays),0)</f>
        <v>0</v>
      </c>
      <c r="FS200" s="42" t="n">
        <f aca="false">IF(AND(Tasks[[#This Row],[_IsLeaf]]=1,Tasks[[#This Row],[_LeafTotalWork]]&gt;0),MAX(Tasks[[#This Row],[_StartWorkday]],NETWORKDAYS.INTL(ProjectStart,Tasks[[#This Row],[_ShownFcstFinish]],WorkWeek,Holidays)),0)</f>
        <v>0</v>
      </c>
      <c r="FT200" s="42" t="n">
        <f aca="false">IF(AND(Tasks[[#This Row],[_IsLeaf]]=1,Tasks[[#This Row],[_LeafTotalWork]]&gt;0),Tasks[[#This Row],[_LeafWork]]/(Tasks[[#This Row],[_FinishWorkday]]-Tasks[[#This Row],[_StartWorkday]]+1),0)</f>
        <v>0</v>
      </c>
      <c r="FU200" s="42" t="n">
        <f aca="false">Tasks[[#This Row],[_WorkPerWorkday]]*(Tasks[[#This Row],[_StartWorkday]]-1)</f>
        <v>-0</v>
      </c>
      <c r="FV200" s="42" t="n">
        <f aca="false">IF(Tasks[[#This Row],[_IsLeaf]]=1,MAX(N(Tasks[[#This Row],[_Days]]),0.1),0)</f>
        <v>0</v>
      </c>
      <c r="FW200" s="42" t="n">
        <f aca="false">Tasks[[#This Row],[_WeightDur]]*Tasks[[#This Row],[_LeafProgress]]</f>
        <v>0</v>
      </c>
      <c r="FX200" s="42" t="n">
        <f aca="false">Tasks[[#This Row],[_WeightDur]]*Tasks[[#This Row],[_PlannedPct]]</f>
        <v>0</v>
      </c>
      <c r="FY200"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0" s="42" t="str">
        <f aca="false">IF(AND(Tasks[[#This Row],[_IsLeaf]]=1,N(Tasks[[#This Row],[_Days]])=0,Tasks[[#This Row],[_LeafProgress]]&lt;1),Tasks[[#This Row],[_ShownFcstFinish]]+Tasks[[#This Row],[_Row]]/100000,"")</f>
        <v/>
      </c>
      <c r="GA200"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0" s="42" t="str">
        <f aca="false">IF(Tasks[[#This Row],[Task Name]]="","",LEFT(Tasks[[#This Row],[WBS]],FIND(".",Tasks[[#This Row],[WBS]]&amp;".")-1))</f>
        <v/>
      </c>
      <c r="GC200" s="42" t="str">
        <f aca="false">IF(AND(Tasks[[#This Row],[Task Name]]&lt;&gt;"",Tasks[[#This Row],[_Level]]=1),Tasks[[#This Row],[_Row]],"")</f>
        <v/>
      </c>
      <c r="GD200" s="42" t="str">
        <f aca="false">IF(AND(Tasks[[#This Row],[_IsLeaf]]=1,N(Tasks[[#This Row],[_Days]])=0),Tasks[[#This Row],[Planned Finish]]+Tasks[[#This Row],[_Row]]/100000,"")</f>
        <v/>
      </c>
      <c r="GE200" s="42" t="str">
        <f aca="false">IF(AND(Tasks[[#This Row],[_IsLeaf]]=1,Tasks[[#This Row],[_LeafProgress]]&lt;1,OR(N(Tasks[[#This Row],[Finish Var]])&gt;0,Tasks[[#This Row],[Status]]="Late Start")),MAX(0,Tasks[[#This Row],[Finish Var]])+1-Tasks[[#This Row],[_Row]]/1000000,"")</f>
        <v/>
      </c>
      <c r="GF200" s="42" t="str">
        <f aca="false">IF(AND(Tasks[[#This Row],[_IsLeaf]]=1,N(Tasks[[#This Row],[Actual Start]])=0,Tasks[[#This Row],[_ShownFcstStart]]&gt;=StatusDate,Tasks[[#This Row],[_ShownFcstStart]]&lt;=LookaheadEnd),Tasks[[#This Row],[_ShownFcstStart]]+Tasks[[#This Row],[_Row]]/100000,"")</f>
        <v/>
      </c>
      <c r="GG200" s="42" t="str">
        <f aca="false">IF(AND(Tasks[[#This Row],[_IsLeaf]]=1,Tasks[[#This Row],[_LeafProgress]]&lt;1,Tasks[[#This Row],[_ShownFcstFinish]]&gt;=StatusDate,Tasks[[#This Row],[_ShownFcstFinish]]&lt;=LookaheadEnd),Tasks[[#This Row],[_ShownFcstFinish]]+Tasks[[#This Row],[_Row]]/100000,"")</f>
        <v/>
      </c>
      <c r="GH200" s="42" t="str">
        <f aca="false">IF(Tasks[[#This Row],[_LeafCritical]],Tasks[[#This Row],[_ShownFcstStart]]+Tasks[[#This Row],[_Row]]/100000,"")</f>
        <v/>
      </c>
      <c r="GI200" s="42" t="n">
        <f aca="false">Tasks[[#This Row],[_LeafWork]]*Tasks[[#This Row],[_LeafProgress]]</f>
        <v>0</v>
      </c>
      <c r="GJ200" s="89" t="str">
        <f aca="false">IF(AND(Tasks[[#This Row],[_IsLeaf]]=1,Tasks[[#This Row],[_LeafProgress]]&gt;=1),IF(N(Tasks[[#This Row],[Actual Finish]])&gt;0,Tasks[[#This Row],[Actual Finish]],Tasks[[#This Row],[_ShownFcstFinish]]),"")</f>
        <v/>
      </c>
      <c r="GK200" s="42" t="n">
        <f aca="false">IF(Tasks[[#This Row],[_IsLeaf]]=1,N(Tasks[[#This Row],[Story Points]]),0)</f>
        <v>0</v>
      </c>
      <c r="GL200" s="42" t="str">
        <f aca="false">""</f>
        <v/>
      </c>
      <c r="GM200" s="88" t="b">
        <f aca="false">IF(Tasks[[#This Row],[Task Name]]="",FALSE(),AND(Tasks[[#This Row],[_IsLeaf]]=1,N(Tasks[[#This Row],[_Days]])=0))</f>
        <v>0</v>
      </c>
      <c r="GN200" s="89" t="n">
        <f aca="false">IF(Tasks[[#This Row],[Task Name]]="",0,IF(AND(Tasks[[#This Row],[_IsLeaf]]=1,NOT(Tasks[[#This Row],[_IsMilestone]]),N(Tasks[[#This Row],[Progress]])&gt;0),Tasks[[#This Row],[Start]],0))</f>
        <v>0</v>
      </c>
      <c r="GO200" s="89" t="n">
        <f aca="false">IF(Tasks[[#This Row],[_DoneFrom]]=0,0,IF(Tasks[[#This Row],[Progress]]&gt;=1,Tasks[[#This Row],[Finish]],MAX(Tasks[[#This Row],[_DoneFrom]],Tasks[[#This Row],[Start]]+ROUND((Tasks[[#This Row],[Finish]]-Tasks[[#This Row],[Start]]+1)*Tasks[[#This Row],[Progress]],0)-1)))</f>
        <v>0</v>
      </c>
      <c r="GP200" s="89" t="n">
        <f aca="false">IF(Tasks[[#This Row],[Task Name]]="",0,IF(OR(NOT(Tasks[[#This Row],[_IsLeaf]]=1),Tasks[[#This Row],[_IsMilestone]],N(Tasks[[#This Row],[Progress]])&gt;=1),0,IF(Tasks[[#This Row],[_DoneTo]]&gt;0,Tasks[[#This Row],[_DoneTo]]+1,Tasks[[#This Row],[Start]])))</f>
        <v>0</v>
      </c>
      <c r="GQ200" s="89" t="n">
        <f aca="false">IF(Tasks[[#This Row],[_RemFrom]]=0,0,Tasks[[#This Row],[Finish]])</f>
        <v>0</v>
      </c>
      <c r="GR200" s="88" t="b">
        <f aca="false">IF(Tasks[[#This Row],[Task Name]]="",FALSE(),OR(NOT(BaselineSet),N(Tasks[[#This Row],[Baseline Start]])&gt;0))</f>
        <v>0</v>
      </c>
      <c r="GS200"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0"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0"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0" s="90" t="str">
        <f aca="false">IF(Tasks[[#This Row],[_IsLeaf]]=1,Tasks[[#This Row],[_Row]],"")</f>
        <v/>
      </c>
      <c r="GW200" s="90" t="str">
        <f aca="false">IFERROR(INDEX(Tasks[UID],SMALL(Tasks[_PickKey],Tasks[[#This Row],[_Row]]))&amp;" "&amp;INDEX(Tasks[Task Name],SMALL(Tasks[_PickKey],Tasks[[#This Row],[_Row]])),"")</f>
        <v/>
      </c>
      <c r="GX200" s="42" t="str">
        <f aca="false">IF(Tasks[[#This Row],[Task Name]]="","",IF(Tasks[[#This Row],[_IsSummary]],NETWORKDAYS.INTL(Tasks[[#This Row],[Start]],Tasks[[#This Row],[Finish]],WorkWeek,Holidays),N(Tasks[[#This Row],[_Days]])))</f>
        <v/>
      </c>
    </row>
    <row r="201" customFormat="false" ht="15" hidden="false" customHeight="false" outlineLevel="0" collapsed="false">
      <c r="A201" s="21" t="str">
        <f aca="false">IF(Tasks[[#This Row],[Task Name]]="","",COUNTA(Tasks[[#Headers],[Task Name]]:Tasks[[#This Row],[Task Name]])-1)</f>
        <v/>
      </c>
      <c r="B201" s="22" t="n">
        <v>209</v>
      </c>
      <c r="C201" s="22"/>
      <c r="D201" s="23"/>
      <c r="E201" s="22"/>
      <c r="F201" s="23"/>
      <c r="G201" s="22"/>
      <c r="H201" s="22"/>
      <c r="I201" s="23"/>
      <c r="J201" s="22"/>
      <c r="K201" s="22"/>
      <c r="L201" s="23"/>
      <c r="M201" s="22"/>
      <c r="N201" s="22"/>
      <c r="O201" s="23"/>
      <c r="P201" s="22"/>
      <c r="Q201" s="22"/>
      <c r="R201" s="23"/>
      <c r="S201" s="23"/>
      <c r="T201" s="83"/>
      <c r="U201" s="23"/>
      <c r="V201" s="83"/>
      <c r="W201" s="23"/>
      <c r="X201" s="83"/>
      <c r="Y201" s="23"/>
      <c r="Z201" s="83"/>
      <c r="AA201" s="23"/>
      <c r="AB201" s="23"/>
      <c r="AC201" s="7"/>
      <c r="AD201" s="7"/>
      <c r="AE201" s="62" t="str">
        <f aca="false">IF(Tasks[[#This Row],[Task Name]]="","",IF(Tasks[[#This Row],[_IsSummary]],MIN(INDEX(Tasks[_ShownFcstStart],Tasks[[#This Row],[_Row]]+1):INDEX(Tasks[_ShownFcstStart],Tasks[[#This Row],[_Row]]+Tasks[[#This Row],[_Descendants]])),Tasks[[#This Row],[_ShownFcstStart]]))</f>
        <v/>
      </c>
      <c r="AF201" s="62" t="str">
        <f aca="false">IF(Tasks[[#This Row],[Task Name]]="","",IF(Tasks[[#This Row],[_IsSummary]],MAX(INDEX(Tasks[_ShownFcstFinish],Tasks[[#This Row],[_Row]]+1):INDEX(Tasks[_ShownFcstFinish],Tasks[[#This Row],[_Row]]+Tasks[[#This Row],[_Descendants]])),Tasks[[#This Row],[_ShownFcstFinish]]))</f>
        <v/>
      </c>
      <c r="AG201" s="21" t="str">
        <f aca="false">""</f>
        <v/>
      </c>
      <c r="AH201" s="23"/>
      <c r="AI201"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1" s="7"/>
      <c r="AK201" s="22"/>
      <c r="AL201" s="23"/>
      <c r="AM201" s="7"/>
      <c r="AN201" s="46" t="str">
        <f aca="false">IF(Tasks[[#This Row],[Task Name]]="","",IF(Tasks[[#This Row],[Finish]]&gt;=Tasks[[#This Row],[Planned Finish]],NETWORKDAYS.INTL(Tasks[[#This Row],[Planned Finish]],Tasks[[#This Row],[Finish]],WorkWeek,Holidays)-1,1-NETWORKDAYS.INTL(Tasks[[#This Row],[Finish]],Tasks[[#This Row],[Planned Finish]],WorkWeek,Holidays)))</f>
        <v/>
      </c>
      <c r="AO201" s="21" t="str">
        <f aca="false">IF(Tasks[[#This Row],[Task Name]]="","",IF(Tasks[[#This Row],[Progress]]&gt;=1,"Complete",IF(OR(N(Tasks[[#This Row],[Actual Start]])&gt;0,Tasks[[#This Row],[Progress]]&gt;0),IF(Tasks[[#This Row],[Finish Var]]&gt;0,"Behind","In Progress"),IF(Tasks[[#This Row],[Planned Start]]&lt;StatusDate,"Late Start","Not Started"))))</f>
        <v/>
      </c>
      <c r="AP201" s="21" t="str">
        <f aca="false">IF(Tasks[[#This Row],[Task Name]]="","",IF(IF(Tasks[[#This Row],[_IsSummary]],COUNTIF(INDEX(Tasks[_LeafCritical],Tasks[[#This Row],[_Row]]+1):INDEX(Tasks[_LeafCritical],Tasks[[#This Row],[_Row]]+Tasks[[#This Row],[_Descendants]]),TRUE())&gt;0,Tasks[[#This Row],[_LeafCritical]]),"Yes",""))</f>
        <v/>
      </c>
      <c r="AQ201" s="62" t="str">
        <f aca="false">IF(Tasks[[#This Row],[Task Name]]="","",IF(N(Tasks[[#This Row],[Baseline Start]])&gt;0,Tasks[[#This Row],[Baseline Start]],Tasks[[#This Row],[_CalcStart]]))</f>
        <v/>
      </c>
      <c r="AR201" s="62" t="str">
        <f aca="false">IF(Tasks[[#This Row],[Task Name]]="","",IF(N(Tasks[[#This Row],[Baseline Finish]])&gt;0,Tasks[[#This Row],[Baseline Finish]],Tasks[[#This Row],[_CalcFinish]]))</f>
        <v/>
      </c>
      <c r="AS201" s="46" t="str">
        <f aca="false">IF(Tasks[[#This Row],[Task Name]]="","",IF(Tasks[[#This Row],[Start]]&gt;=Tasks[[#This Row],[Planned Start]],NETWORKDAYS.INTL(Tasks[[#This Row],[Planned Start]],Tasks[[#This Row],[Start]],WorkWeek,Holidays)-1,1-NETWORKDAYS.INTL(Tasks[[#This Row],[Start]],Tasks[[#This Row],[Planned Start]],WorkWeek,Holidays)))</f>
        <v/>
      </c>
      <c r="AT201" s="62" t="str">
        <f aca="false">IF(Tasks[[#This Row],[Task Name]]="","",IF(Tasks[[#This Row],[_IsSummary]],MIN(INDEX(Tasks[_LeafLateStart],Tasks[[#This Row],[_Row]]+1):INDEX(Tasks[_LeafLateStart],Tasks[[#This Row],[_Row]]+Tasks[[#This Row],[_Descendants]])),Tasks[[#This Row],[_LeafLateStart]]))</f>
        <v/>
      </c>
      <c r="AU201" s="62" t="str">
        <f aca="false">IF(Tasks[[#This Row],[Task Name]]="","",IF(Tasks[[#This Row],[_IsSummary]],MAX(INDEX(Tasks[_LeafLateFinish],Tasks[[#This Row],[_Row]]+1):INDEX(Tasks[_LeafLateFinish],Tasks[[#This Row],[_Row]]+Tasks[[#This Row],[_Descendants]])),Tasks[[#This Row],[_LeafLateFinish]]))</f>
        <v/>
      </c>
      <c r="AV201" s="46" t="str">
        <f aca="false">IF(Tasks[[#This Row],[Task Name]]="","",IF(Tasks[[#This Row],[_IsSummary]],MIN(INDEX(Tasks[_LeafTotalSlack],Tasks[[#This Row],[_Row]]+1):INDEX(Tasks[_LeafTotalSlack],Tasks[[#This Row],[_Row]]+Tasks[[#This Row],[_Descendants]])),Tasks[[#This Row],[_LeafTotalSlack]]))</f>
        <v/>
      </c>
      <c r="AW201"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4"/>
      <c r="BA201"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t="str">
        <f aca="false">IF(Tasks[[#This Row],[Task Name]]="","",IF(Tasks[[#This Row],[_Level]]&lt;=OutlineShowLevel,"Yes","No"))</f>
        <v/>
      </c>
      <c r="BE201" s="85" t="str">
        <f aca="false">IF(Tasks[[#This Row],[Task Name]]="","",IF(Tasks[[#This Row],[_IsSummary]],SUM(INDEX(Tasks[_LeafTotalWork],Tasks[[#This Row],[_Row]]+1):INDEX(Tasks[_LeafTotalWork],Tasks[[#This Row],[_Row]]+Tasks[[#This Row],[_Descendants]])),Tasks[[#This Row],[_LeafTotalWork]]))</f>
        <v/>
      </c>
      <c r="BF201" s="23"/>
      <c r="BG201"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t="str">
        <f aca="false">""</f>
        <v/>
      </c>
      <c r="BI201" s="86"/>
      <c r="BJ201" s="22"/>
      <c r="BK201" s="46" t="str">
        <f aca="false">IF(OR(Tasks[[#This Row],[Task Name]]="",Tasks[[#This Row],[Baseline Duration]]=""),"",Tasks[[#This Row],[_SpanDays]]-N(Tasks[[#This Row],[Baseline Duration]]))</f>
        <v/>
      </c>
      <c r="BL201" s="85" t="str">
        <f aca="false">IF(OR(Tasks[[#This Row],[Task Name]]="",Tasks[[#This Row],[Baseline Work]]=""),"",Tasks[[#This Row],[Work]]-N(Tasks[[#This Row],[Baseline Work]]))</f>
        <v/>
      </c>
      <c r="BM201" s="62" t="str">
        <f aca="false">IF(Tasks[[#This Row],[Task Name]]="","",IF(OR(TakeBaseline="Yes",N(Tasks[[#This Row],[Baseline Start]])=0),Tasks[[#This Row],[Start]],Tasks[[#This Row],[Baseline Start]]))</f>
        <v/>
      </c>
      <c r="BN201" s="62" t="str">
        <f aca="false">IF(Tasks[[#This Row],[Task Name]]="","",IF(OR(TakeBaseline="Yes",N(Tasks[[#This Row],[Baseline Finish]])=0),Tasks[[#This Row],[Finish]],Tasks[[#This Row],[Baseline Finish]]))</f>
        <v/>
      </c>
      <c r="BO201" s="21" t="str">
        <f aca="false">IF(Tasks[[#This Row],[Task Name]]="","",IF(OR(TakeBaseline="Yes",N(Tasks[[#This Row],[Baseline Duration]])=0),Tasks[[#This Row],[_SpanDays]],Tasks[[#This Row],[Baseline Duration]]))</f>
        <v/>
      </c>
      <c r="BP201" s="85" t="str">
        <f aca="false">IF(Tasks[[#This Row],[Task Name]]="","",IF(OR(TakeBaseline="Yes",N(Tasks[[#This Row],[Baseline Work]])=0),Tasks[[#This Row],[Work]],Tasks[[#This Row],[Baseline Work]]))</f>
        <v/>
      </c>
      <c r="BQ201" s="7"/>
      <c r="BR201" s="7"/>
      <c r="BS201" s="22"/>
      <c r="BT201" s="87"/>
      <c r="BU201" s="42" t="str">
        <f aca="false">IF(Tasks[[#This Row],[Task Name]]="","",MAX(1,N(Tasks[[#This Row],[Level]])))</f>
        <v/>
      </c>
      <c r="BV201" s="42" t="n">
        <f aca="false">ROW()-ROW(Tasks[[#Headers],[ID]])</f>
        <v>196</v>
      </c>
      <c r="BW201" s="42" t="n">
        <f aca="false">IF(OR(Tasks[[#This Row],[Task Name]]="",Tasks[[#This Row],[_Level]]&lt;=1),0,IFERROR(LOOKUP(2,1/(Tasks[[#Headers],[_Level]]:Tasks[[#This Row],[_Level]]=Tasks[[#This Row],[_Level]]-1),ROW(Tasks[[#Headers],[_Level]]:Tasks[[#This Row],[_Level]])),0))</f>
        <v>0</v>
      </c>
      <c r="BX201" s="42" t="n">
        <f aca="false">IFERROR(N(INDEX(Tasks[_Level],Tasks[[#This Row],[_Row]]+1)),0)</f>
        <v>0</v>
      </c>
      <c r="BY201" s="88" t="b">
        <f aca="false">AND(Tasks[[#This Row],[Task Name]]&lt;&gt;"",Tasks[[#This Row],[_NextLevel]]&gt;Tasks[[#This Row],[_Level]])</f>
        <v>0</v>
      </c>
      <c r="BZ201" s="42" t="n">
        <f aca="false">IF(Tasks[[#This Row],[_IsSummary]],COUNTIF(Tasks[WBS],Tasks[[#This Row],[WBS]]&amp;".*"),0)</f>
        <v>0</v>
      </c>
      <c r="CA201" s="42" t="n">
        <f aca="false">IF(AND(Tasks[[#This Row],[Task Name]]&lt;&gt;"",NOT(Tasks[[#This Row],[_IsSummary]])),1,0)</f>
        <v>0</v>
      </c>
      <c r="CB201" s="42" t="n">
        <f aca="false">IF(N(Tasks[[#This Row],[_Pred1UID]])=0,0,IFERROR(MATCH(Tasks[[#This Row],[_Pred1UID]],Tasks[UID],0),-1))</f>
        <v>0</v>
      </c>
      <c r="CC201" s="42" t="n">
        <f aca="false">IF(N(Tasks[[#This Row],[_Pred2UID]])=0,0,IFERROR(MATCH(Tasks[[#This Row],[_Pred2UID]],Tasks[UID],0),-1))</f>
        <v>0</v>
      </c>
      <c r="CD201" s="42" t="n">
        <f aca="false">IF(N(Tasks[[#This Row],[_Pred3UID]])=0,0,IFERROR(MATCH(Tasks[[#This Row],[_Pred3UID]],Tasks[UID],0),-1))</f>
        <v>0</v>
      </c>
      <c r="CE201" s="42" t="n">
        <f aca="false">IF(N(Tasks[[#This Row],[_Pred4UID]])=0,0,IFERROR(MATCH(Tasks[[#This Row],[_Pred4UID]],Tasks[UID],0),-1))</f>
        <v>0</v>
      </c>
      <c r="CF201"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1"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1" s="89" t="n">
        <f aca="false">IF(OR(Tasks[[#This Row],[_ConstraintCode]]=2,Tasks[[#This Row],[_ConstraintCode]]=3,Tasks[[#This Row],[_ConstraintCode]]=4,Tasks[[#This Row],[_ConstraintCode]]=6),Tasks[[#This Row],[_ConstraintStart]],0)</f>
        <v>0</v>
      </c>
      <c r="CI201" s="89" t="n">
        <f aca="false">IF(OR(Tasks[[#This Row],[_ConstraintCode]]=2,Tasks[[#This Row],[_ConstraintCode]]=3,Tasks[[#This Row],[_ConstraintCode]]=5,Tasks[[#This Row],[_ConstraintCode]]=7),Tasks[[#This Row],[_ConstraintStart]],2958465)</f>
        <v>2958465</v>
      </c>
      <c r="CJ201"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1" s="89" t="str">
        <f aca="false">IF(NOT(Tasks[[#This Row],[_IsLeaf]]=1),"",IF(N(Tasks[[#This Row],[_Days]])&lt;=0,Tasks[[#This Row],[_LeafCalcStart]],WORKDAY.INTL(Tasks[[#This Row],[_LeafCalcStart]],Tasks[[#This Row],[_Days]]-1,WorkWeek,Holidays)))</f>
        <v/>
      </c>
      <c r="CL201"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1"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1" s="42" t="str">
        <f aca="false">IF(Tasks[[#This Row],[_Predecessors]]="","",TRIM(MID(SUBSTITUTE(SUBSTITUTE(SUBSTITUTE(UPPER(Tasks[[#This Row],[_Predecessors]]),";",",")," ",""),",",REPT(" ",99)),1,99)))</f>
        <v/>
      </c>
      <c r="CO201" s="42" t="str">
        <f aca="false">IF(Tasks[[#This Row],[_Pred1Text]]="","",IFERROR(VALUE(LEFT(Tasks[[#This Row],[_Pred1Text]],MIN(FIND("F",Tasks[[#This Row],[_Pred1Text]]&amp;"F"),FIND("S",Tasks[[#This Row],[_Pred1Text]]&amp;"S"),FIND("+",Tasks[[#This Row],[_Pred1Text]]&amp;"+"),FIND("-",Tasks[[#This Row],[_Pred1Text]]&amp;"-"))-1)),""))</f>
        <v/>
      </c>
      <c r="CP201"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1"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1" s="42" t="str">
        <f aca="false">IF(Tasks[[#This Row],[_Pred1Text]]="","",TRIM(MID(SUBSTITUTE(SUBSTITUTE(SUBSTITUTE(UPPER(Tasks[[#This Row],[_Predecessors]]),";",",")," ",""),",",REPT(" ",99)),100,99)))</f>
        <v/>
      </c>
      <c r="CS201" s="42" t="str">
        <f aca="false">IF(Tasks[[#This Row],[_Pred2Text]]="","",IFERROR(VALUE(LEFT(Tasks[[#This Row],[_Pred2Text]],MIN(FIND("F",Tasks[[#This Row],[_Pred2Text]]&amp;"F"),FIND("S",Tasks[[#This Row],[_Pred2Text]]&amp;"S"),FIND("+",Tasks[[#This Row],[_Pred2Text]]&amp;"+"),FIND("-",Tasks[[#This Row],[_Pred2Text]]&amp;"-"))-1)),""))</f>
        <v/>
      </c>
      <c r="CT201"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1"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1" s="42" t="str">
        <f aca="false">IF(Tasks[[#This Row],[_Pred2Text]]="","",TRIM(MID(SUBSTITUTE(SUBSTITUTE(SUBSTITUTE(UPPER(Tasks[[#This Row],[_Predecessors]]),";",",")," ",""),",",REPT(" ",99)),199,99)))</f>
        <v/>
      </c>
      <c r="CW201" s="42" t="str">
        <f aca="false">IF(Tasks[[#This Row],[_Pred3Text]]="","",IFERROR(VALUE(LEFT(Tasks[[#This Row],[_Pred3Text]],MIN(FIND("F",Tasks[[#This Row],[_Pred3Text]]&amp;"F"),FIND("S",Tasks[[#This Row],[_Pred3Text]]&amp;"S"),FIND("+",Tasks[[#This Row],[_Pred3Text]]&amp;"+"),FIND("-",Tasks[[#This Row],[_Pred3Text]]&amp;"-"))-1)),""))</f>
        <v/>
      </c>
      <c r="CX201"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1"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1" s="42" t="str">
        <f aca="false">IF(Tasks[[#This Row],[_Pred3Text]]="","",TRIM(MID(SUBSTITUTE(SUBSTITUTE(SUBSTITUTE(UPPER(Tasks[[#This Row],[_Predecessors]]),";",",")," ",""),",",REPT(" ",99)),298,99)))</f>
        <v/>
      </c>
      <c r="DA201" s="42" t="str">
        <f aca="false">IF(Tasks[[#This Row],[_Pred4Text]]="","",IFERROR(VALUE(LEFT(Tasks[[#This Row],[_Pred4Text]],MIN(FIND("F",Tasks[[#This Row],[_Pred4Text]]&amp;"F"),FIND("S",Tasks[[#This Row],[_Pred4Text]]&amp;"S"),FIND("+",Tasks[[#This Row],[_Pred4Text]]&amp;"+"),FIND("-",Tasks[[#This Row],[_Pred4Text]]&amp;"-"))-1)),""))</f>
        <v/>
      </c>
      <c r="DB201"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1"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1" s="42" t="str">
        <f aca="false">IF(OR(Tasks[[#This Row],[Task Name]]="",Tasks[[#This Row],[_Resources]]=""),"",TRIM(MID(SUBSTITUTE(Tasks[[#This Row],[_Resources]],",",REPT(" ",99)),1,99)))</f>
        <v/>
      </c>
      <c r="DE201" s="42" t="str">
        <f aca="false">IF(Tasks[[#This Row],[_Res1Text]]="","",TRIM(MID(SUBSTITUTE(Tasks[[#This Row],[_Resources]],",",REPT(" ",99)),100,99)))</f>
        <v/>
      </c>
      <c r="DF201" s="42" t="str">
        <f aca="false">IF(Tasks[[#This Row],[_Res2Text]]="","",TRIM(MID(SUBSTITUTE(Tasks[[#This Row],[_Resources]],",",REPT(" ",99)),199,99)))</f>
        <v/>
      </c>
      <c r="DG201" s="42" t="str">
        <f aca="false">IF(Tasks[[#This Row],[_Res3Text]]="","",TRIM(MID(SUBSTITUTE(Tasks[[#This Row],[_Resources]],",",REPT(" ",99)),298,99)))</f>
        <v/>
      </c>
      <c r="DH201" s="42" t="n">
        <f aca="false">IF(Tasks[[#This Row],[_Res1Text]]="",0,IFERROR(MATCH(TRIM(LEFT(Tasks[[#This Row],[_Res1Text]],FIND("[",Tasks[[#This Row],[_Res1Text]]&amp;"[")-1)),res_Name,0),IFERROR(MATCH(TRIM(LEFT(Tasks[[#This Row],[_Res1Text]],FIND("[",Tasks[[#This Row],[_Res1Text]]&amp;"[")-1)),res_Initials,0),0)))</f>
        <v>0</v>
      </c>
      <c r="DI201" s="42" t="n">
        <f aca="false">IF(Tasks[[#This Row],[_Res2Text]]="",0,IFERROR(MATCH(TRIM(LEFT(Tasks[[#This Row],[_Res2Text]],FIND("[",Tasks[[#This Row],[_Res2Text]]&amp;"[")-1)),res_Name,0),IFERROR(MATCH(TRIM(LEFT(Tasks[[#This Row],[_Res2Text]],FIND("[",Tasks[[#This Row],[_Res2Text]]&amp;"[")-1)),res_Initials,0),0)))</f>
        <v>0</v>
      </c>
      <c r="DJ201" s="42" t="n">
        <f aca="false">IF(Tasks[[#This Row],[_Res3Text]]="",0,IFERROR(MATCH(TRIM(LEFT(Tasks[[#This Row],[_Res3Text]],FIND("[",Tasks[[#This Row],[_Res3Text]]&amp;"[")-1)),res_Name,0),IFERROR(MATCH(TRIM(LEFT(Tasks[[#This Row],[_Res3Text]],FIND("[",Tasks[[#This Row],[_Res3Text]]&amp;"[")-1)),res_Initials,0),0)))</f>
        <v>0</v>
      </c>
      <c r="DK201" s="42" t="n">
        <f aca="false">IF(Tasks[[#This Row],[_Res4Text]]="",0,IFERROR(MATCH(TRIM(LEFT(Tasks[[#This Row],[_Res4Text]],FIND("[",Tasks[[#This Row],[_Res4Text]]&amp;"[")-1)),res_Name,0),IFERROR(MATCH(TRIM(LEFT(Tasks[[#This Row],[_Res4Text]],FIND("[",Tasks[[#This Row],[_Res4Text]]&amp;"[")-1)),res_Initials,0),0)))</f>
        <v>0</v>
      </c>
      <c r="DL201" s="42" t="str">
        <f aca="false">IF(Tasks[[#This Row],[_Res1Text]]="","",IF(Tasks[[#This Row],[_Res1Row]]&gt;0,INDEX(res_Name,Tasks[[#This Row],[_Res1Row]]),TRIM(LEFT(Tasks[[#This Row],[_Res1Text]],FIND("[",Tasks[[#This Row],[_Res1Text]]&amp;"[")-1))))</f>
        <v/>
      </c>
      <c r="DM201"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1" s="42" t="n">
        <f aca="false">IF(NOT(Tasks[[#This Row],[_IsLeaf]]=1),0,(Tasks[[#This Row],[_Resource1]]&lt;&gt;"")+(Tasks[[#This Row],[_Res2]]&lt;&gt;"")+(Tasks[[#This Row],[_Res3]]&lt;&gt;"")+(Tasks[[#This Row],[_Res4]]&lt;&gt;""))</f>
        <v>0</v>
      </c>
      <c r="DO201" s="42" t="str">
        <f aca="false">IF(Tasks[[#This Row],[_Res2Text]]="","",IF(Tasks[[#This Row],[_Res2Row]]&gt;0,INDEX(res_Name,Tasks[[#This Row],[_Res2Row]]),TRIM(LEFT(Tasks[[#This Row],[_Res2Text]],FIND("[",Tasks[[#This Row],[_Res2Text]]&amp;"[")-1))))</f>
        <v/>
      </c>
      <c r="DP201"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1" s="42" t="n">
        <f aca="false">IF(OR(NOT(Tasks[[#This Row],[_IsLeaf]]=1),Tasks[[#This Row],[_Res2Row]]=0),0,N(Tasks[[#This Row],[_Days]])*HoursPerDay*IF(Tasks[[#This Row],[_Res2Units]]="",DefaultUnits,Tasks[[#This Row],[_Res2Units]]))</f>
        <v>0</v>
      </c>
      <c r="DR201" s="42" t="n">
        <f aca="false">IF(AND(AND(Tasks[[#This Row],[_IsLeaf]]=1,Tasks[[#This Row],[_LeafTotalWork]]&gt;0),Tasks[[#This Row],[_Res2Work]]&gt;0),Tasks[[#This Row],[_Res2Work]]/(Tasks[[#This Row],[_FinishWorkday]]-Tasks[[#This Row],[_StartWorkday]]+1),0)</f>
        <v>0</v>
      </c>
      <c r="DS201" s="42" t="n">
        <f aca="false">Tasks[[#This Row],[_Res2WorkPerWD]]*MAX(0,Tasks[[#This Row],[_StartWorkday]]-1)</f>
        <v>0</v>
      </c>
      <c r="DT201" s="42" t="n">
        <f aca="false">Tasks[[#This Row],[_Res2Work]]*Tasks[[#This Row],[_LeafProgress]]</f>
        <v>0</v>
      </c>
      <c r="DU201" s="42" t="str">
        <f aca="false">IF(Tasks[[#This Row],[_Res3Text]]="","",IF(Tasks[[#This Row],[_Res3Row]]&gt;0,INDEX(res_Name,Tasks[[#This Row],[_Res3Row]]),TRIM(LEFT(Tasks[[#This Row],[_Res3Text]],FIND("[",Tasks[[#This Row],[_Res3Text]]&amp;"[")-1))))</f>
        <v/>
      </c>
      <c r="DV201"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1" s="42" t="n">
        <f aca="false">IF(OR(NOT(Tasks[[#This Row],[_IsLeaf]]=1),Tasks[[#This Row],[_Res3Row]]=0),0,N(Tasks[[#This Row],[_Days]])*HoursPerDay*IF(Tasks[[#This Row],[_Res3Units]]="",DefaultUnits,Tasks[[#This Row],[_Res3Units]]))</f>
        <v>0</v>
      </c>
      <c r="DX201" s="42" t="n">
        <f aca="false">IF(AND(AND(Tasks[[#This Row],[_IsLeaf]]=1,Tasks[[#This Row],[_LeafTotalWork]]&gt;0),Tasks[[#This Row],[_Res3Work]]&gt;0),Tasks[[#This Row],[_Res3Work]]/(Tasks[[#This Row],[_FinishWorkday]]-Tasks[[#This Row],[_StartWorkday]]+1),0)</f>
        <v>0</v>
      </c>
      <c r="DY201" s="42" t="n">
        <f aca="false">Tasks[[#This Row],[_Res3WorkPerWD]]*MAX(0,Tasks[[#This Row],[_StartWorkday]]-1)</f>
        <v>0</v>
      </c>
      <c r="DZ201" s="42" t="n">
        <f aca="false">Tasks[[#This Row],[_Res3Work]]*Tasks[[#This Row],[_LeafProgress]]</f>
        <v>0</v>
      </c>
      <c r="EA201" s="42" t="str">
        <f aca="false">IF(Tasks[[#This Row],[_Res4Text]]="","",IF(Tasks[[#This Row],[_Res4Row]]&gt;0,INDEX(res_Name,Tasks[[#This Row],[_Res4Row]]),TRIM(LEFT(Tasks[[#This Row],[_Res4Text]],FIND("[",Tasks[[#This Row],[_Res4Text]]&amp;"[")-1))))</f>
        <v/>
      </c>
      <c r="EB201"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1" s="42" t="n">
        <f aca="false">IF(OR(NOT(Tasks[[#This Row],[_IsLeaf]]=1),Tasks[[#This Row],[_Res4Row]]=0),0,N(Tasks[[#This Row],[_Days]])*HoursPerDay*IF(Tasks[[#This Row],[_Res4Units]]="",DefaultUnits,Tasks[[#This Row],[_Res4Units]]))</f>
        <v>0</v>
      </c>
      <c r="ED201" s="42" t="n">
        <f aca="false">IF(AND(AND(Tasks[[#This Row],[_IsLeaf]]=1,Tasks[[#This Row],[_LeafTotalWork]]&gt;0),Tasks[[#This Row],[_Res4Work]]&gt;0),Tasks[[#This Row],[_Res4Work]]/(Tasks[[#This Row],[_FinishWorkday]]-Tasks[[#This Row],[_StartWorkday]]+1),0)</f>
        <v>0</v>
      </c>
      <c r="EE201" s="42" t="n">
        <f aca="false">Tasks[[#This Row],[_Res4WorkPerWD]]*MAX(0,Tasks[[#This Row],[_StartWorkday]]-1)</f>
        <v>0</v>
      </c>
      <c r="EF201" s="42" t="n">
        <f aca="false">Tasks[[#This Row],[_Res4Work]]*Tasks[[#This Row],[_LeafProgress]]</f>
        <v>0</v>
      </c>
      <c r="EG201" s="42" t="n">
        <f aca="false">IF(ISNUMBER(Tasks[[#This Row],[% Complete]]),Tasks[[#This Row],[% Complete]],IF(Tasks[[#This Row],[Stage]]="",0,IFERROR(INDEX(stg_Pct,MATCH(Tasks[[#This Row],[Stage]],stg_Name,0)),0)))</f>
        <v>0</v>
      </c>
      <c r="EH201" s="42" t="n">
        <f aca="false">IF(NOT(Tasks[[#This Row],[_IsLeaf]]=1),0,IF(N(Tasks[[#This Row],[Actual Finish]])&gt;0,1,MIN(1,Tasks[[#This Row],[_Pct]])))</f>
        <v>0</v>
      </c>
      <c r="EI201" s="42" t="n">
        <f aca="false">IF(OR(NOT(Tasks[[#This Row],[_IsLeaf]]=1),Tasks[[#This Row],[_Res1Row]]=0),0,N(Tasks[[#This Row],[_Days]])*HoursPerDay*IF(Tasks[[#This Row],[_Units1]]="",DefaultUnits,Tasks[[#This Row],[_Units1]]))</f>
        <v>0</v>
      </c>
      <c r="EJ201" s="42" t="n">
        <f aca="false">Tasks[[#This Row],[_LeafWork]]+Tasks[[#This Row],[_Res2Work]]+Tasks[[#This Row],[_Res3Work]]+Tasks[[#This Row],[_Res4Work]]</f>
        <v>0</v>
      </c>
      <c r="EK201"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1"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1"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1"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1"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1"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1"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1"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1" s="42" t="n">
        <f aca="false">IF(NOT(Tasks[[#This Row],[_IsLeaf]]=1),0,MAX(_xlfn.MAXIFS(Tasks[_Row],Tasks[_Pred1UID],Tasks[[#This Row],[UID]]),_xlfn.MAXIFS(Tasks[_Row],Tasks[_Pred2UID],Tasks[[#This Row],[UID]]),_xlfn.MAXIFS(Tasks[_Row],Tasks[_Pred3UID],Tasks[[#This Row],[UID]]),_xlfn.MAXIFS(Tasks[_Row],Tasks[_Pred4UID],Tasks[[#This Row],[UID]])))</f>
        <v>0</v>
      </c>
      <c r="ET201"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1"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1" s="89" t="str">
        <f aca="false">IF(NOT(Tasks[[#This Row],[_IsLeaf]]=1),"",IF(N(Tasks[[#This Row],[_Days]])&lt;=0,Tasks[[#This Row],[_LeafLateFinish]],WORKDAY.INTL(Tasks[[#This Row],[_LeafLateFinish]],-(Tasks[[#This Row],[_Days]]-1),WorkWeek,Holidays)))</f>
        <v/>
      </c>
      <c r="EW201"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1" s="88" t="b">
        <f aca="false">AND(Tasks[[#This Row],[_IsLeaf]]=1,Tasks[[#This Row],[_LeafProgress]]&lt;1,N(Tasks[[#This Row],[_LeafTotalSlack]])&lt;=CriticalSlackDays)</f>
        <v>0</v>
      </c>
      <c r="EY201" s="42" t="n">
        <f aca="false">IF(AND(Tasks[[#This Row],[_IsLeaf]]=1,Tasks[[#This Row],[_ConstraintCode]]=1,Tasks[[#This Row],[Mode]]&lt;&gt;"Manual",N(Tasks[[#This Row],[Actual Start]])=0),MAX(0,N(Tasks[[#This Row],[Free Slack]])),0)</f>
        <v>0</v>
      </c>
      <c r="EZ201" s="89" t="str">
        <f aca="false">IF(NOT(Tasks[[#This Row],[_IsLeaf]]=1),"",IF(Tasks[[#This Row],[_AlapShift]]=0,Tasks[[#This Row],[_LeafCalcStart]],WORKDAY.INTL(Tasks[[#This Row],[_LeafCalcStart]],Tasks[[#This Row],[_AlapShift]],WorkWeek,Holidays)))</f>
        <v/>
      </c>
      <c r="FA201" s="89" t="str">
        <f aca="false">IF(NOT(Tasks[[#This Row],[_IsLeaf]]=1),"",IF(Tasks[[#This Row],[_AlapShift]]=0,Tasks[[#This Row],[_LeafCalcFinish]],WORKDAY.INTL(Tasks[[#This Row],[_LeafCalcFinish]],Tasks[[#This Row],[_AlapShift]],WorkWeek,Holidays)))</f>
        <v/>
      </c>
      <c r="FB201" s="89" t="str">
        <f aca="false">IF(NOT(Tasks[[#This Row],[_IsLeaf]]=1),"",IF(Tasks[[#This Row],[_AlapShift]]=0,Tasks[[#This Row],[_LeafFcstStart]],WORKDAY.INTL(Tasks[[#This Row],[_LeafFcstStart]],Tasks[[#This Row],[_AlapShift]],WorkWeek,Holidays)))</f>
        <v/>
      </c>
      <c r="FC201" s="89" t="str">
        <f aca="false">IF(NOT(Tasks[[#This Row],[_IsLeaf]]=1),"",IF(Tasks[[#This Row],[_AlapShift]]=0,Tasks[[#This Row],[_LeafFcstFinish]],WORKDAY.INTL(Tasks[[#This Row],[_LeafFcstFinish]],Tasks[[#This Row],[_AlapShift]],WorkWeek,Holidays)))</f>
        <v/>
      </c>
      <c r="FD201" s="89" t="str">
        <f aca="false">IF(Tasks[[#This Row],[Task Name]]="","",IF(Tasks[[#This Row],[_IsSummary]],MIN(INDEX(Tasks[_ShownCalcStart],Tasks[[#This Row],[_Row]]+1):INDEX(Tasks[_ShownCalcStart],Tasks[[#This Row],[_Row]]+Tasks[[#This Row],[_Descendants]])),Tasks[[#This Row],[_ShownCalcStart]]))</f>
        <v/>
      </c>
      <c r="FE201" s="89" t="str">
        <f aca="false">IF(Tasks[[#This Row],[Task Name]]="","",IF(Tasks[[#This Row],[_IsSummary]],MAX(INDEX(Tasks[_ShownCalcFinish],Tasks[[#This Row],[_Row]]+1):INDEX(Tasks[_ShownCalcFinish],Tasks[[#This Row],[_Row]]+Tasks[[#This Row],[_Descendants]])),Tasks[[#This Row],[_ShownCalcFinish]]))</f>
        <v/>
      </c>
      <c r="FF201"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1"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1"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1"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1"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1"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1"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1"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1"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1"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1"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1"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1" s="42" t="n">
        <f aca="false">IF(AND(Tasks[[#This Row],[_IsLeaf]]=1,Tasks[[#This Row],[_LeafTotalWork]]&gt;0),NETWORKDAYS.INTL(ProjectStart,Tasks[[#This Row],[_ShownFcstStart]],WorkWeek,Holidays),0)</f>
        <v>0</v>
      </c>
      <c r="FS201" s="42" t="n">
        <f aca="false">IF(AND(Tasks[[#This Row],[_IsLeaf]]=1,Tasks[[#This Row],[_LeafTotalWork]]&gt;0),MAX(Tasks[[#This Row],[_StartWorkday]],NETWORKDAYS.INTL(ProjectStart,Tasks[[#This Row],[_ShownFcstFinish]],WorkWeek,Holidays)),0)</f>
        <v>0</v>
      </c>
      <c r="FT201" s="42" t="n">
        <f aca="false">IF(AND(Tasks[[#This Row],[_IsLeaf]]=1,Tasks[[#This Row],[_LeafTotalWork]]&gt;0),Tasks[[#This Row],[_LeafWork]]/(Tasks[[#This Row],[_FinishWorkday]]-Tasks[[#This Row],[_StartWorkday]]+1),0)</f>
        <v>0</v>
      </c>
      <c r="FU201" s="42" t="n">
        <f aca="false">Tasks[[#This Row],[_WorkPerWorkday]]*(Tasks[[#This Row],[_StartWorkday]]-1)</f>
        <v>-0</v>
      </c>
      <c r="FV201" s="42" t="n">
        <f aca="false">IF(Tasks[[#This Row],[_IsLeaf]]=1,MAX(N(Tasks[[#This Row],[_Days]]),0.1),0)</f>
        <v>0</v>
      </c>
      <c r="FW201" s="42" t="n">
        <f aca="false">Tasks[[#This Row],[_WeightDur]]*Tasks[[#This Row],[_LeafProgress]]</f>
        <v>0</v>
      </c>
      <c r="FX201" s="42" t="n">
        <f aca="false">Tasks[[#This Row],[_WeightDur]]*Tasks[[#This Row],[_PlannedPct]]</f>
        <v>0</v>
      </c>
      <c r="FY201"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1" s="42" t="str">
        <f aca="false">IF(AND(Tasks[[#This Row],[_IsLeaf]]=1,N(Tasks[[#This Row],[_Days]])=0,Tasks[[#This Row],[_LeafProgress]]&lt;1),Tasks[[#This Row],[_ShownFcstFinish]]+Tasks[[#This Row],[_Row]]/100000,"")</f>
        <v/>
      </c>
      <c r="GA201"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1" s="42" t="str">
        <f aca="false">IF(Tasks[[#This Row],[Task Name]]="","",LEFT(Tasks[[#This Row],[WBS]],FIND(".",Tasks[[#This Row],[WBS]]&amp;".")-1))</f>
        <v/>
      </c>
      <c r="GC201" s="42" t="str">
        <f aca="false">IF(AND(Tasks[[#This Row],[Task Name]]&lt;&gt;"",Tasks[[#This Row],[_Level]]=1),Tasks[[#This Row],[_Row]],"")</f>
        <v/>
      </c>
      <c r="GD201" s="42" t="str">
        <f aca="false">IF(AND(Tasks[[#This Row],[_IsLeaf]]=1,N(Tasks[[#This Row],[_Days]])=0),Tasks[[#This Row],[Planned Finish]]+Tasks[[#This Row],[_Row]]/100000,"")</f>
        <v/>
      </c>
      <c r="GE201" s="42" t="str">
        <f aca="false">IF(AND(Tasks[[#This Row],[_IsLeaf]]=1,Tasks[[#This Row],[_LeafProgress]]&lt;1,OR(N(Tasks[[#This Row],[Finish Var]])&gt;0,Tasks[[#This Row],[Status]]="Late Start")),MAX(0,Tasks[[#This Row],[Finish Var]])+1-Tasks[[#This Row],[_Row]]/1000000,"")</f>
        <v/>
      </c>
      <c r="GF201" s="42" t="str">
        <f aca="false">IF(AND(Tasks[[#This Row],[_IsLeaf]]=1,N(Tasks[[#This Row],[Actual Start]])=0,Tasks[[#This Row],[_ShownFcstStart]]&gt;=StatusDate,Tasks[[#This Row],[_ShownFcstStart]]&lt;=LookaheadEnd),Tasks[[#This Row],[_ShownFcstStart]]+Tasks[[#This Row],[_Row]]/100000,"")</f>
        <v/>
      </c>
      <c r="GG201" s="42" t="str">
        <f aca="false">IF(AND(Tasks[[#This Row],[_IsLeaf]]=1,Tasks[[#This Row],[_LeafProgress]]&lt;1,Tasks[[#This Row],[_ShownFcstFinish]]&gt;=StatusDate,Tasks[[#This Row],[_ShownFcstFinish]]&lt;=LookaheadEnd),Tasks[[#This Row],[_ShownFcstFinish]]+Tasks[[#This Row],[_Row]]/100000,"")</f>
        <v/>
      </c>
      <c r="GH201" s="42" t="str">
        <f aca="false">IF(Tasks[[#This Row],[_LeafCritical]],Tasks[[#This Row],[_ShownFcstStart]]+Tasks[[#This Row],[_Row]]/100000,"")</f>
        <v/>
      </c>
      <c r="GI201" s="42" t="n">
        <f aca="false">Tasks[[#This Row],[_LeafWork]]*Tasks[[#This Row],[_LeafProgress]]</f>
        <v>0</v>
      </c>
      <c r="GJ201" s="89" t="str">
        <f aca="false">IF(AND(Tasks[[#This Row],[_IsLeaf]]=1,Tasks[[#This Row],[_LeafProgress]]&gt;=1),IF(N(Tasks[[#This Row],[Actual Finish]])&gt;0,Tasks[[#This Row],[Actual Finish]],Tasks[[#This Row],[_ShownFcstFinish]]),"")</f>
        <v/>
      </c>
      <c r="GK201" s="42" t="n">
        <f aca="false">IF(Tasks[[#This Row],[_IsLeaf]]=1,N(Tasks[[#This Row],[Story Points]]),0)</f>
        <v>0</v>
      </c>
      <c r="GL201" s="42" t="str">
        <f aca="false">""</f>
        <v/>
      </c>
      <c r="GM201" s="88" t="b">
        <f aca="false">IF(Tasks[[#This Row],[Task Name]]="",FALSE(),AND(Tasks[[#This Row],[_IsLeaf]]=1,N(Tasks[[#This Row],[_Days]])=0))</f>
        <v>0</v>
      </c>
      <c r="GN201" s="89" t="n">
        <f aca="false">IF(Tasks[[#This Row],[Task Name]]="",0,IF(AND(Tasks[[#This Row],[_IsLeaf]]=1,NOT(Tasks[[#This Row],[_IsMilestone]]),N(Tasks[[#This Row],[Progress]])&gt;0),Tasks[[#This Row],[Start]],0))</f>
        <v>0</v>
      </c>
      <c r="GO201" s="89" t="n">
        <f aca="false">IF(Tasks[[#This Row],[_DoneFrom]]=0,0,IF(Tasks[[#This Row],[Progress]]&gt;=1,Tasks[[#This Row],[Finish]],MAX(Tasks[[#This Row],[_DoneFrom]],Tasks[[#This Row],[Start]]+ROUND((Tasks[[#This Row],[Finish]]-Tasks[[#This Row],[Start]]+1)*Tasks[[#This Row],[Progress]],0)-1)))</f>
        <v>0</v>
      </c>
      <c r="GP201" s="89" t="n">
        <f aca="false">IF(Tasks[[#This Row],[Task Name]]="",0,IF(OR(NOT(Tasks[[#This Row],[_IsLeaf]]=1),Tasks[[#This Row],[_IsMilestone]],N(Tasks[[#This Row],[Progress]])&gt;=1),0,IF(Tasks[[#This Row],[_DoneTo]]&gt;0,Tasks[[#This Row],[_DoneTo]]+1,Tasks[[#This Row],[Start]])))</f>
        <v>0</v>
      </c>
      <c r="GQ201" s="89" t="n">
        <f aca="false">IF(Tasks[[#This Row],[_RemFrom]]=0,0,Tasks[[#This Row],[Finish]])</f>
        <v>0</v>
      </c>
      <c r="GR201" s="88" t="b">
        <f aca="false">IF(Tasks[[#This Row],[Task Name]]="",FALSE(),OR(NOT(BaselineSet),N(Tasks[[#This Row],[Baseline Start]])&gt;0))</f>
        <v>0</v>
      </c>
      <c r="GS201"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1"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1"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1" s="90" t="str">
        <f aca="false">IF(Tasks[[#This Row],[_IsLeaf]]=1,Tasks[[#This Row],[_Row]],"")</f>
        <v/>
      </c>
      <c r="GW201" s="90" t="str">
        <f aca="false">IFERROR(INDEX(Tasks[UID],SMALL(Tasks[_PickKey],Tasks[[#This Row],[_Row]]))&amp;" "&amp;INDEX(Tasks[Task Name],SMALL(Tasks[_PickKey],Tasks[[#This Row],[_Row]])),"")</f>
        <v/>
      </c>
      <c r="GX201" s="42" t="str">
        <f aca="false">IF(Tasks[[#This Row],[Task Name]]="","",IF(Tasks[[#This Row],[_IsSummary]],NETWORKDAYS.INTL(Tasks[[#This Row],[Start]],Tasks[[#This Row],[Finish]],WorkWeek,Holidays),N(Tasks[[#This Row],[_Days]])))</f>
        <v/>
      </c>
    </row>
    <row r="202" customFormat="false" ht="15" hidden="false" customHeight="false" outlineLevel="0" collapsed="false">
      <c r="A202" s="21" t="str">
        <f aca="false">IF(Tasks[[#This Row],[Task Name]]="","",COUNTA(Tasks[[#Headers],[Task Name]]:Tasks[[#This Row],[Task Name]])-1)</f>
        <v/>
      </c>
      <c r="B202" s="22" t="n">
        <v>210</v>
      </c>
      <c r="C202" s="22"/>
      <c r="D202" s="23"/>
      <c r="E202" s="22"/>
      <c r="F202" s="23"/>
      <c r="G202" s="22"/>
      <c r="H202" s="22"/>
      <c r="I202" s="23"/>
      <c r="J202" s="22"/>
      <c r="K202" s="22"/>
      <c r="L202" s="23"/>
      <c r="M202" s="22"/>
      <c r="N202" s="22"/>
      <c r="O202" s="23"/>
      <c r="P202" s="22"/>
      <c r="Q202" s="22"/>
      <c r="R202" s="23"/>
      <c r="S202" s="23"/>
      <c r="T202" s="83"/>
      <c r="U202" s="23"/>
      <c r="V202" s="83"/>
      <c r="W202" s="23"/>
      <c r="X202" s="83"/>
      <c r="Y202" s="23"/>
      <c r="Z202" s="83"/>
      <c r="AA202" s="23"/>
      <c r="AB202" s="23"/>
      <c r="AC202" s="7"/>
      <c r="AD202" s="7"/>
      <c r="AE202" s="62" t="str">
        <f aca="false">IF(Tasks[[#This Row],[Task Name]]="","",IF(Tasks[[#This Row],[_IsSummary]],MIN(INDEX(Tasks[_ShownFcstStart],Tasks[[#This Row],[_Row]]+1):INDEX(Tasks[_ShownFcstStart],Tasks[[#This Row],[_Row]]+Tasks[[#This Row],[_Descendants]])),Tasks[[#This Row],[_ShownFcstStart]]))</f>
        <v/>
      </c>
      <c r="AF202" s="62" t="str">
        <f aca="false">IF(Tasks[[#This Row],[Task Name]]="","",IF(Tasks[[#This Row],[_IsSummary]],MAX(INDEX(Tasks[_ShownFcstFinish],Tasks[[#This Row],[_Row]]+1):INDEX(Tasks[_ShownFcstFinish],Tasks[[#This Row],[_Row]]+Tasks[[#This Row],[_Descendants]])),Tasks[[#This Row],[_ShownFcstFinish]]))</f>
        <v/>
      </c>
      <c r="AG202" s="21" t="str">
        <f aca="false">""</f>
        <v/>
      </c>
      <c r="AH202" s="23"/>
      <c r="AI202"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2" s="7"/>
      <c r="AK202" s="22"/>
      <c r="AL202" s="23"/>
      <c r="AM202" s="7"/>
      <c r="AN202" s="46" t="str">
        <f aca="false">IF(Tasks[[#This Row],[Task Name]]="","",IF(Tasks[[#This Row],[Finish]]&gt;=Tasks[[#This Row],[Planned Finish]],NETWORKDAYS.INTL(Tasks[[#This Row],[Planned Finish]],Tasks[[#This Row],[Finish]],WorkWeek,Holidays)-1,1-NETWORKDAYS.INTL(Tasks[[#This Row],[Finish]],Tasks[[#This Row],[Planned Finish]],WorkWeek,Holidays)))</f>
        <v/>
      </c>
      <c r="AO202" s="21" t="str">
        <f aca="false">IF(Tasks[[#This Row],[Task Name]]="","",IF(Tasks[[#This Row],[Progress]]&gt;=1,"Complete",IF(OR(N(Tasks[[#This Row],[Actual Start]])&gt;0,Tasks[[#This Row],[Progress]]&gt;0),IF(Tasks[[#This Row],[Finish Var]]&gt;0,"Behind","In Progress"),IF(Tasks[[#This Row],[Planned Start]]&lt;StatusDate,"Late Start","Not Started"))))</f>
        <v/>
      </c>
      <c r="AP202" s="21" t="str">
        <f aca="false">IF(Tasks[[#This Row],[Task Name]]="","",IF(IF(Tasks[[#This Row],[_IsSummary]],COUNTIF(INDEX(Tasks[_LeafCritical],Tasks[[#This Row],[_Row]]+1):INDEX(Tasks[_LeafCritical],Tasks[[#This Row],[_Row]]+Tasks[[#This Row],[_Descendants]]),TRUE())&gt;0,Tasks[[#This Row],[_LeafCritical]]),"Yes",""))</f>
        <v/>
      </c>
      <c r="AQ202" s="62" t="str">
        <f aca="false">IF(Tasks[[#This Row],[Task Name]]="","",IF(N(Tasks[[#This Row],[Baseline Start]])&gt;0,Tasks[[#This Row],[Baseline Start]],Tasks[[#This Row],[_CalcStart]]))</f>
        <v/>
      </c>
      <c r="AR202" s="62" t="str">
        <f aca="false">IF(Tasks[[#This Row],[Task Name]]="","",IF(N(Tasks[[#This Row],[Baseline Finish]])&gt;0,Tasks[[#This Row],[Baseline Finish]],Tasks[[#This Row],[_CalcFinish]]))</f>
        <v/>
      </c>
      <c r="AS202" s="46" t="str">
        <f aca="false">IF(Tasks[[#This Row],[Task Name]]="","",IF(Tasks[[#This Row],[Start]]&gt;=Tasks[[#This Row],[Planned Start]],NETWORKDAYS.INTL(Tasks[[#This Row],[Planned Start]],Tasks[[#This Row],[Start]],WorkWeek,Holidays)-1,1-NETWORKDAYS.INTL(Tasks[[#This Row],[Start]],Tasks[[#This Row],[Planned Start]],WorkWeek,Holidays)))</f>
        <v/>
      </c>
      <c r="AT202" s="62" t="str">
        <f aca="false">IF(Tasks[[#This Row],[Task Name]]="","",IF(Tasks[[#This Row],[_IsSummary]],MIN(INDEX(Tasks[_LeafLateStart],Tasks[[#This Row],[_Row]]+1):INDEX(Tasks[_LeafLateStart],Tasks[[#This Row],[_Row]]+Tasks[[#This Row],[_Descendants]])),Tasks[[#This Row],[_LeafLateStart]]))</f>
        <v/>
      </c>
      <c r="AU202" s="62" t="str">
        <f aca="false">IF(Tasks[[#This Row],[Task Name]]="","",IF(Tasks[[#This Row],[_IsSummary]],MAX(INDEX(Tasks[_LeafLateFinish],Tasks[[#This Row],[_Row]]+1):INDEX(Tasks[_LeafLateFinish],Tasks[[#This Row],[_Row]]+Tasks[[#This Row],[_Descendants]])),Tasks[[#This Row],[_LeafLateFinish]]))</f>
        <v/>
      </c>
      <c r="AV202" s="46" t="str">
        <f aca="false">IF(Tasks[[#This Row],[Task Name]]="","",IF(Tasks[[#This Row],[_IsSummary]],MIN(INDEX(Tasks[_LeafTotalSlack],Tasks[[#This Row],[_Row]]+1):INDEX(Tasks[_LeafTotalSlack],Tasks[[#This Row],[_Row]]+Tasks[[#This Row],[_Descendants]])),Tasks[[#This Row],[_LeafTotalSlack]]))</f>
        <v/>
      </c>
      <c r="AW202"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4"/>
      <c r="BA202"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t="str">
        <f aca="false">IF(Tasks[[#This Row],[Task Name]]="","",IF(Tasks[[#This Row],[_Level]]&lt;=OutlineShowLevel,"Yes","No"))</f>
        <v/>
      </c>
      <c r="BE202" s="85" t="str">
        <f aca="false">IF(Tasks[[#This Row],[Task Name]]="","",IF(Tasks[[#This Row],[_IsSummary]],SUM(INDEX(Tasks[_LeafTotalWork],Tasks[[#This Row],[_Row]]+1):INDEX(Tasks[_LeafTotalWork],Tasks[[#This Row],[_Row]]+Tasks[[#This Row],[_Descendants]])),Tasks[[#This Row],[_LeafTotalWork]]))</f>
        <v/>
      </c>
      <c r="BF202" s="23"/>
      <c r="BG202"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t="str">
        <f aca="false">""</f>
        <v/>
      </c>
      <c r="BI202" s="86"/>
      <c r="BJ202" s="22"/>
      <c r="BK202" s="46" t="str">
        <f aca="false">IF(OR(Tasks[[#This Row],[Task Name]]="",Tasks[[#This Row],[Baseline Duration]]=""),"",Tasks[[#This Row],[_SpanDays]]-N(Tasks[[#This Row],[Baseline Duration]]))</f>
        <v/>
      </c>
      <c r="BL202" s="85" t="str">
        <f aca="false">IF(OR(Tasks[[#This Row],[Task Name]]="",Tasks[[#This Row],[Baseline Work]]=""),"",Tasks[[#This Row],[Work]]-N(Tasks[[#This Row],[Baseline Work]]))</f>
        <v/>
      </c>
      <c r="BM202" s="62" t="str">
        <f aca="false">IF(Tasks[[#This Row],[Task Name]]="","",IF(OR(TakeBaseline="Yes",N(Tasks[[#This Row],[Baseline Start]])=0),Tasks[[#This Row],[Start]],Tasks[[#This Row],[Baseline Start]]))</f>
        <v/>
      </c>
      <c r="BN202" s="62" t="str">
        <f aca="false">IF(Tasks[[#This Row],[Task Name]]="","",IF(OR(TakeBaseline="Yes",N(Tasks[[#This Row],[Baseline Finish]])=0),Tasks[[#This Row],[Finish]],Tasks[[#This Row],[Baseline Finish]]))</f>
        <v/>
      </c>
      <c r="BO202" s="21" t="str">
        <f aca="false">IF(Tasks[[#This Row],[Task Name]]="","",IF(OR(TakeBaseline="Yes",N(Tasks[[#This Row],[Baseline Duration]])=0),Tasks[[#This Row],[_SpanDays]],Tasks[[#This Row],[Baseline Duration]]))</f>
        <v/>
      </c>
      <c r="BP202" s="85" t="str">
        <f aca="false">IF(Tasks[[#This Row],[Task Name]]="","",IF(OR(TakeBaseline="Yes",N(Tasks[[#This Row],[Baseline Work]])=0),Tasks[[#This Row],[Work]],Tasks[[#This Row],[Baseline Work]]))</f>
        <v/>
      </c>
      <c r="BQ202" s="7"/>
      <c r="BR202" s="7"/>
      <c r="BS202" s="22"/>
      <c r="BT202" s="87"/>
      <c r="BU202" s="42" t="str">
        <f aca="false">IF(Tasks[[#This Row],[Task Name]]="","",MAX(1,N(Tasks[[#This Row],[Level]])))</f>
        <v/>
      </c>
      <c r="BV202" s="42" t="n">
        <f aca="false">ROW()-ROW(Tasks[[#Headers],[ID]])</f>
        <v>197</v>
      </c>
      <c r="BW202" s="42" t="n">
        <f aca="false">IF(OR(Tasks[[#This Row],[Task Name]]="",Tasks[[#This Row],[_Level]]&lt;=1),0,IFERROR(LOOKUP(2,1/(Tasks[[#Headers],[_Level]]:Tasks[[#This Row],[_Level]]=Tasks[[#This Row],[_Level]]-1),ROW(Tasks[[#Headers],[_Level]]:Tasks[[#This Row],[_Level]])),0))</f>
        <v>0</v>
      </c>
      <c r="BX202" s="42" t="n">
        <f aca="false">IFERROR(N(INDEX(Tasks[_Level],Tasks[[#This Row],[_Row]]+1)),0)</f>
        <v>0</v>
      </c>
      <c r="BY202" s="88" t="b">
        <f aca="false">AND(Tasks[[#This Row],[Task Name]]&lt;&gt;"",Tasks[[#This Row],[_NextLevel]]&gt;Tasks[[#This Row],[_Level]])</f>
        <v>0</v>
      </c>
      <c r="BZ202" s="42" t="n">
        <f aca="false">IF(Tasks[[#This Row],[_IsSummary]],COUNTIF(Tasks[WBS],Tasks[[#This Row],[WBS]]&amp;".*"),0)</f>
        <v>0</v>
      </c>
      <c r="CA202" s="42" t="n">
        <f aca="false">IF(AND(Tasks[[#This Row],[Task Name]]&lt;&gt;"",NOT(Tasks[[#This Row],[_IsSummary]])),1,0)</f>
        <v>0</v>
      </c>
      <c r="CB202" s="42" t="n">
        <f aca="false">IF(N(Tasks[[#This Row],[_Pred1UID]])=0,0,IFERROR(MATCH(Tasks[[#This Row],[_Pred1UID]],Tasks[UID],0),-1))</f>
        <v>0</v>
      </c>
      <c r="CC202" s="42" t="n">
        <f aca="false">IF(N(Tasks[[#This Row],[_Pred2UID]])=0,0,IFERROR(MATCH(Tasks[[#This Row],[_Pred2UID]],Tasks[UID],0),-1))</f>
        <v>0</v>
      </c>
      <c r="CD202" s="42" t="n">
        <f aca="false">IF(N(Tasks[[#This Row],[_Pred3UID]])=0,0,IFERROR(MATCH(Tasks[[#This Row],[_Pred3UID]],Tasks[UID],0),-1))</f>
        <v>0</v>
      </c>
      <c r="CE202" s="42" t="n">
        <f aca="false">IF(N(Tasks[[#This Row],[_Pred4UID]])=0,0,IFERROR(MATCH(Tasks[[#This Row],[_Pred4UID]],Tasks[UID],0),-1))</f>
        <v>0</v>
      </c>
      <c r="CF202"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2"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2" s="89" t="n">
        <f aca="false">IF(OR(Tasks[[#This Row],[_ConstraintCode]]=2,Tasks[[#This Row],[_ConstraintCode]]=3,Tasks[[#This Row],[_ConstraintCode]]=4,Tasks[[#This Row],[_ConstraintCode]]=6),Tasks[[#This Row],[_ConstraintStart]],0)</f>
        <v>0</v>
      </c>
      <c r="CI202" s="89" t="n">
        <f aca="false">IF(OR(Tasks[[#This Row],[_ConstraintCode]]=2,Tasks[[#This Row],[_ConstraintCode]]=3,Tasks[[#This Row],[_ConstraintCode]]=5,Tasks[[#This Row],[_ConstraintCode]]=7),Tasks[[#This Row],[_ConstraintStart]],2958465)</f>
        <v>2958465</v>
      </c>
      <c r="CJ202"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2" s="89" t="str">
        <f aca="false">IF(NOT(Tasks[[#This Row],[_IsLeaf]]=1),"",IF(N(Tasks[[#This Row],[_Days]])&lt;=0,Tasks[[#This Row],[_LeafCalcStart]],WORKDAY.INTL(Tasks[[#This Row],[_LeafCalcStart]],Tasks[[#This Row],[_Days]]-1,WorkWeek,Holidays)))</f>
        <v/>
      </c>
      <c r="CL202"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2"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2" s="42" t="str">
        <f aca="false">IF(Tasks[[#This Row],[_Predecessors]]="","",TRIM(MID(SUBSTITUTE(SUBSTITUTE(SUBSTITUTE(UPPER(Tasks[[#This Row],[_Predecessors]]),";",",")," ",""),",",REPT(" ",99)),1,99)))</f>
        <v/>
      </c>
      <c r="CO202" s="42" t="str">
        <f aca="false">IF(Tasks[[#This Row],[_Pred1Text]]="","",IFERROR(VALUE(LEFT(Tasks[[#This Row],[_Pred1Text]],MIN(FIND("F",Tasks[[#This Row],[_Pred1Text]]&amp;"F"),FIND("S",Tasks[[#This Row],[_Pred1Text]]&amp;"S"),FIND("+",Tasks[[#This Row],[_Pred1Text]]&amp;"+"),FIND("-",Tasks[[#This Row],[_Pred1Text]]&amp;"-"))-1)),""))</f>
        <v/>
      </c>
      <c r="CP202"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2"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2" s="42" t="str">
        <f aca="false">IF(Tasks[[#This Row],[_Pred1Text]]="","",TRIM(MID(SUBSTITUTE(SUBSTITUTE(SUBSTITUTE(UPPER(Tasks[[#This Row],[_Predecessors]]),";",",")," ",""),",",REPT(" ",99)),100,99)))</f>
        <v/>
      </c>
      <c r="CS202" s="42" t="str">
        <f aca="false">IF(Tasks[[#This Row],[_Pred2Text]]="","",IFERROR(VALUE(LEFT(Tasks[[#This Row],[_Pred2Text]],MIN(FIND("F",Tasks[[#This Row],[_Pred2Text]]&amp;"F"),FIND("S",Tasks[[#This Row],[_Pred2Text]]&amp;"S"),FIND("+",Tasks[[#This Row],[_Pred2Text]]&amp;"+"),FIND("-",Tasks[[#This Row],[_Pred2Text]]&amp;"-"))-1)),""))</f>
        <v/>
      </c>
      <c r="CT202"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2"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2" s="42" t="str">
        <f aca="false">IF(Tasks[[#This Row],[_Pred2Text]]="","",TRIM(MID(SUBSTITUTE(SUBSTITUTE(SUBSTITUTE(UPPER(Tasks[[#This Row],[_Predecessors]]),";",",")," ",""),",",REPT(" ",99)),199,99)))</f>
        <v/>
      </c>
      <c r="CW202" s="42" t="str">
        <f aca="false">IF(Tasks[[#This Row],[_Pred3Text]]="","",IFERROR(VALUE(LEFT(Tasks[[#This Row],[_Pred3Text]],MIN(FIND("F",Tasks[[#This Row],[_Pred3Text]]&amp;"F"),FIND("S",Tasks[[#This Row],[_Pred3Text]]&amp;"S"),FIND("+",Tasks[[#This Row],[_Pred3Text]]&amp;"+"),FIND("-",Tasks[[#This Row],[_Pred3Text]]&amp;"-"))-1)),""))</f>
        <v/>
      </c>
      <c r="CX202"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2"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2" s="42" t="str">
        <f aca="false">IF(Tasks[[#This Row],[_Pred3Text]]="","",TRIM(MID(SUBSTITUTE(SUBSTITUTE(SUBSTITUTE(UPPER(Tasks[[#This Row],[_Predecessors]]),";",",")," ",""),",",REPT(" ",99)),298,99)))</f>
        <v/>
      </c>
      <c r="DA202" s="42" t="str">
        <f aca="false">IF(Tasks[[#This Row],[_Pred4Text]]="","",IFERROR(VALUE(LEFT(Tasks[[#This Row],[_Pred4Text]],MIN(FIND("F",Tasks[[#This Row],[_Pred4Text]]&amp;"F"),FIND("S",Tasks[[#This Row],[_Pred4Text]]&amp;"S"),FIND("+",Tasks[[#This Row],[_Pred4Text]]&amp;"+"),FIND("-",Tasks[[#This Row],[_Pred4Text]]&amp;"-"))-1)),""))</f>
        <v/>
      </c>
      <c r="DB202"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2"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2" s="42" t="str">
        <f aca="false">IF(OR(Tasks[[#This Row],[Task Name]]="",Tasks[[#This Row],[_Resources]]=""),"",TRIM(MID(SUBSTITUTE(Tasks[[#This Row],[_Resources]],",",REPT(" ",99)),1,99)))</f>
        <v/>
      </c>
      <c r="DE202" s="42" t="str">
        <f aca="false">IF(Tasks[[#This Row],[_Res1Text]]="","",TRIM(MID(SUBSTITUTE(Tasks[[#This Row],[_Resources]],",",REPT(" ",99)),100,99)))</f>
        <v/>
      </c>
      <c r="DF202" s="42" t="str">
        <f aca="false">IF(Tasks[[#This Row],[_Res2Text]]="","",TRIM(MID(SUBSTITUTE(Tasks[[#This Row],[_Resources]],",",REPT(" ",99)),199,99)))</f>
        <v/>
      </c>
      <c r="DG202" s="42" t="str">
        <f aca="false">IF(Tasks[[#This Row],[_Res3Text]]="","",TRIM(MID(SUBSTITUTE(Tasks[[#This Row],[_Resources]],",",REPT(" ",99)),298,99)))</f>
        <v/>
      </c>
      <c r="DH202" s="42" t="n">
        <f aca="false">IF(Tasks[[#This Row],[_Res1Text]]="",0,IFERROR(MATCH(TRIM(LEFT(Tasks[[#This Row],[_Res1Text]],FIND("[",Tasks[[#This Row],[_Res1Text]]&amp;"[")-1)),res_Name,0),IFERROR(MATCH(TRIM(LEFT(Tasks[[#This Row],[_Res1Text]],FIND("[",Tasks[[#This Row],[_Res1Text]]&amp;"[")-1)),res_Initials,0),0)))</f>
        <v>0</v>
      </c>
      <c r="DI202" s="42" t="n">
        <f aca="false">IF(Tasks[[#This Row],[_Res2Text]]="",0,IFERROR(MATCH(TRIM(LEFT(Tasks[[#This Row],[_Res2Text]],FIND("[",Tasks[[#This Row],[_Res2Text]]&amp;"[")-1)),res_Name,0),IFERROR(MATCH(TRIM(LEFT(Tasks[[#This Row],[_Res2Text]],FIND("[",Tasks[[#This Row],[_Res2Text]]&amp;"[")-1)),res_Initials,0),0)))</f>
        <v>0</v>
      </c>
      <c r="DJ202" s="42" t="n">
        <f aca="false">IF(Tasks[[#This Row],[_Res3Text]]="",0,IFERROR(MATCH(TRIM(LEFT(Tasks[[#This Row],[_Res3Text]],FIND("[",Tasks[[#This Row],[_Res3Text]]&amp;"[")-1)),res_Name,0),IFERROR(MATCH(TRIM(LEFT(Tasks[[#This Row],[_Res3Text]],FIND("[",Tasks[[#This Row],[_Res3Text]]&amp;"[")-1)),res_Initials,0),0)))</f>
        <v>0</v>
      </c>
      <c r="DK202" s="42" t="n">
        <f aca="false">IF(Tasks[[#This Row],[_Res4Text]]="",0,IFERROR(MATCH(TRIM(LEFT(Tasks[[#This Row],[_Res4Text]],FIND("[",Tasks[[#This Row],[_Res4Text]]&amp;"[")-1)),res_Name,0),IFERROR(MATCH(TRIM(LEFT(Tasks[[#This Row],[_Res4Text]],FIND("[",Tasks[[#This Row],[_Res4Text]]&amp;"[")-1)),res_Initials,0),0)))</f>
        <v>0</v>
      </c>
      <c r="DL202" s="42" t="str">
        <f aca="false">IF(Tasks[[#This Row],[_Res1Text]]="","",IF(Tasks[[#This Row],[_Res1Row]]&gt;0,INDEX(res_Name,Tasks[[#This Row],[_Res1Row]]),TRIM(LEFT(Tasks[[#This Row],[_Res1Text]],FIND("[",Tasks[[#This Row],[_Res1Text]]&amp;"[")-1))))</f>
        <v/>
      </c>
      <c r="DM202"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2" s="42" t="n">
        <f aca="false">IF(NOT(Tasks[[#This Row],[_IsLeaf]]=1),0,(Tasks[[#This Row],[_Resource1]]&lt;&gt;"")+(Tasks[[#This Row],[_Res2]]&lt;&gt;"")+(Tasks[[#This Row],[_Res3]]&lt;&gt;"")+(Tasks[[#This Row],[_Res4]]&lt;&gt;""))</f>
        <v>0</v>
      </c>
      <c r="DO202" s="42" t="str">
        <f aca="false">IF(Tasks[[#This Row],[_Res2Text]]="","",IF(Tasks[[#This Row],[_Res2Row]]&gt;0,INDEX(res_Name,Tasks[[#This Row],[_Res2Row]]),TRIM(LEFT(Tasks[[#This Row],[_Res2Text]],FIND("[",Tasks[[#This Row],[_Res2Text]]&amp;"[")-1))))</f>
        <v/>
      </c>
      <c r="DP202"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2" s="42" t="n">
        <f aca="false">IF(OR(NOT(Tasks[[#This Row],[_IsLeaf]]=1),Tasks[[#This Row],[_Res2Row]]=0),0,N(Tasks[[#This Row],[_Days]])*HoursPerDay*IF(Tasks[[#This Row],[_Res2Units]]="",DefaultUnits,Tasks[[#This Row],[_Res2Units]]))</f>
        <v>0</v>
      </c>
      <c r="DR202" s="42" t="n">
        <f aca="false">IF(AND(AND(Tasks[[#This Row],[_IsLeaf]]=1,Tasks[[#This Row],[_LeafTotalWork]]&gt;0),Tasks[[#This Row],[_Res2Work]]&gt;0),Tasks[[#This Row],[_Res2Work]]/(Tasks[[#This Row],[_FinishWorkday]]-Tasks[[#This Row],[_StartWorkday]]+1),0)</f>
        <v>0</v>
      </c>
      <c r="DS202" s="42" t="n">
        <f aca="false">Tasks[[#This Row],[_Res2WorkPerWD]]*MAX(0,Tasks[[#This Row],[_StartWorkday]]-1)</f>
        <v>0</v>
      </c>
      <c r="DT202" s="42" t="n">
        <f aca="false">Tasks[[#This Row],[_Res2Work]]*Tasks[[#This Row],[_LeafProgress]]</f>
        <v>0</v>
      </c>
      <c r="DU202" s="42" t="str">
        <f aca="false">IF(Tasks[[#This Row],[_Res3Text]]="","",IF(Tasks[[#This Row],[_Res3Row]]&gt;0,INDEX(res_Name,Tasks[[#This Row],[_Res3Row]]),TRIM(LEFT(Tasks[[#This Row],[_Res3Text]],FIND("[",Tasks[[#This Row],[_Res3Text]]&amp;"[")-1))))</f>
        <v/>
      </c>
      <c r="DV202"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2" s="42" t="n">
        <f aca="false">IF(OR(NOT(Tasks[[#This Row],[_IsLeaf]]=1),Tasks[[#This Row],[_Res3Row]]=0),0,N(Tasks[[#This Row],[_Days]])*HoursPerDay*IF(Tasks[[#This Row],[_Res3Units]]="",DefaultUnits,Tasks[[#This Row],[_Res3Units]]))</f>
        <v>0</v>
      </c>
      <c r="DX202" s="42" t="n">
        <f aca="false">IF(AND(AND(Tasks[[#This Row],[_IsLeaf]]=1,Tasks[[#This Row],[_LeafTotalWork]]&gt;0),Tasks[[#This Row],[_Res3Work]]&gt;0),Tasks[[#This Row],[_Res3Work]]/(Tasks[[#This Row],[_FinishWorkday]]-Tasks[[#This Row],[_StartWorkday]]+1),0)</f>
        <v>0</v>
      </c>
      <c r="DY202" s="42" t="n">
        <f aca="false">Tasks[[#This Row],[_Res3WorkPerWD]]*MAX(0,Tasks[[#This Row],[_StartWorkday]]-1)</f>
        <v>0</v>
      </c>
      <c r="DZ202" s="42" t="n">
        <f aca="false">Tasks[[#This Row],[_Res3Work]]*Tasks[[#This Row],[_LeafProgress]]</f>
        <v>0</v>
      </c>
      <c r="EA202" s="42" t="str">
        <f aca="false">IF(Tasks[[#This Row],[_Res4Text]]="","",IF(Tasks[[#This Row],[_Res4Row]]&gt;0,INDEX(res_Name,Tasks[[#This Row],[_Res4Row]]),TRIM(LEFT(Tasks[[#This Row],[_Res4Text]],FIND("[",Tasks[[#This Row],[_Res4Text]]&amp;"[")-1))))</f>
        <v/>
      </c>
      <c r="EB202"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2" s="42" t="n">
        <f aca="false">IF(OR(NOT(Tasks[[#This Row],[_IsLeaf]]=1),Tasks[[#This Row],[_Res4Row]]=0),0,N(Tasks[[#This Row],[_Days]])*HoursPerDay*IF(Tasks[[#This Row],[_Res4Units]]="",DefaultUnits,Tasks[[#This Row],[_Res4Units]]))</f>
        <v>0</v>
      </c>
      <c r="ED202" s="42" t="n">
        <f aca="false">IF(AND(AND(Tasks[[#This Row],[_IsLeaf]]=1,Tasks[[#This Row],[_LeafTotalWork]]&gt;0),Tasks[[#This Row],[_Res4Work]]&gt;0),Tasks[[#This Row],[_Res4Work]]/(Tasks[[#This Row],[_FinishWorkday]]-Tasks[[#This Row],[_StartWorkday]]+1),0)</f>
        <v>0</v>
      </c>
      <c r="EE202" s="42" t="n">
        <f aca="false">Tasks[[#This Row],[_Res4WorkPerWD]]*MAX(0,Tasks[[#This Row],[_StartWorkday]]-1)</f>
        <v>0</v>
      </c>
      <c r="EF202" s="42" t="n">
        <f aca="false">Tasks[[#This Row],[_Res4Work]]*Tasks[[#This Row],[_LeafProgress]]</f>
        <v>0</v>
      </c>
      <c r="EG202" s="42" t="n">
        <f aca="false">IF(ISNUMBER(Tasks[[#This Row],[% Complete]]),Tasks[[#This Row],[% Complete]],IF(Tasks[[#This Row],[Stage]]="",0,IFERROR(INDEX(stg_Pct,MATCH(Tasks[[#This Row],[Stage]],stg_Name,0)),0)))</f>
        <v>0</v>
      </c>
      <c r="EH202" s="42" t="n">
        <f aca="false">IF(NOT(Tasks[[#This Row],[_IsLeaf]]=1),0,IF(N(Tasks[[#This Row],[Actual Finish]])&gt;0,1,MIN(1,Tasks[[#This Row],[_Pct]])))</f>
        <v>0</v>
      </c>
      <c r="EI202" s="42" t="n">
        <f aca="false">IF(OR(NOT(Tasks[[#This Row],[_IsLeaf]]=1),Tasks[[#This Row],[_Res1Row]]=0),0,N(Tasks[[#This Row],[_Days]])*HoursPerDay*IF(Tasks[[#This Row],[_Units1]]="",DefaultUnits,Tasks[[#This Row],[_Units1]]))</f>
        <v>0</v>
      </c>
      <c r="EJ202" s="42" t="n">
        <f aca="false">Tasks[[#This Row],[_LeafWork]]+Tasks[[#This Row],[_Res2Work]]+Tasks[[#This Row],[_Res3Work]]+Tasks[[#This Row],[_Res4Work]]</f>
        <v>0</v>
      </c>
      <c r="EK202"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2"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2"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2"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2"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2"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2"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2"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2" s="42" t="n">
        <f aca="false">IF(NOT(Tasks[[#This Row],[_IsLeaf]]=1),0,MAX(_xlfn.MAXIFS(Tasks[_Row],Tasks[_Pred1UID],Tasks[[#This Row],[UID]]),_xlfn.MAXIFS(Tasks[_Row],Tasks[_Pred2UID],Tasks[[#This Row],[UID]]),_xlfn.MAXIFS(Tasks[_Row],Tasks[_Pred3UID],Tasks[[#This Row],[UID]]),_xlfn.MAXIFS(Tasks[_Row],Tasks[_Pred4UID],Tasks[[#This Row],[UID]])))</f>
        <v>0</v>
      </c>
      <c r="ET202"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2"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2" s="89" t="str">
        <f aca="false">IF(NOT(Tasks[[#This Row],[_IsLeaf]]=1),"",IF(N(Tasks[[#This Row],[_Days]])&lt;=0,Tasks[[#This Row],[_LeafLateFinish]],WORKDAY.INTL(Tasks[[#This Row],[_LeafLateFinish]],-(Tasks[[#This Row],[_Days]]-1),WorkWeek,Holidays)))</f>
        <v/>
      </c>
      <c r="EW202"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2" s="88" t="b">
        <f aca="false">AND(Tasks[[#This Row],[_IsLeaf]]=1,Tasks[[#This Row],[_LeafProgress]]&lt;1,N(Tasks[[#This Row],[_LeafTotalSlack]])&lt;=CriticalSlackDays)</f>
        <v>0</v>
      </c>
      <c r="EY202" s="42" t="n">
        <f aca="false">IF(AND(Tasks[[#This Row],[_IsLeaf]]=1,Tasks[[#This Row],[_ConstraintCode]]=1,Tasks[[#This Row],[Mode]]&lt;&gt;"Manual",N(Tasks[[#This Row],[Actual Start]])=0),MAX(0,N(Tasks[[#This Row],[Free Slack]])),0)</f>
        <v>0</v>
      </c>
      <c r="EZ202" s="89" t="str">
        <f aca="false">IF(NOT(Tasks[[#This Row],[_IsLeaf]]=1),"",IF(Tasks[[#This Row],[_AlapShift]]=0,Tasks[[#This Row],[_LeafCalcStart]],WORKDAY.INTL(Tasks[[#This Row],[_LeafCalcStart]],Tasks[[#This Row],[_AlapShift]],WorkWeek,Holidays)))</f>
        <v/>
      </c>
      <c r="FA202" s="89" t="str">
        <f aca="false">IF(NOT(Tasks[[#This Row],[_IsLeaf]]=1),"",IF(Tasks[[#This Row],[_AlapShift]]=0,Tasks[[#This Row],[_LeafCalcFinish]],WORKDAY.INTL(Tasks[[#This Row],[_LeafCalcFinish]],Tasks[[#This Row],[_AlapShift]],WorkWeek,Holidays)))</f>
        <v/>
      </c>
      <c r="FB202" s="89" t="str">
        <f aca="false">IF(NOT(Tasks[[#This Row],[_IsLeaf]]=1),"",IF(Tasks[[#This Row],[_AlapShift]]=0,Tasks[[#This Row],[_LeafFcstStart]],WORKDAY.INTL(Tasks[[#This Row],[_LeafFcstStart]],Tasks[[#This Row],[_AlapShift]],WorkWeek,Holidays)))</f>
        <v/>
      </c>
      <c r="FC202" s="89" t="str">
        <f aca="false">IF(NOT(Tasks[[#This Row],[_IsLeaf]]=1),"",IF(Tasks[[#This Row],[_AlapShift]]=0,Tasks[[#This Row],[_LeafFcstFinish]],WORKDAY.INTL(Tasks[[#This Row],[_LeafFcstFinish]],Tasks[[#This Row],[_AlapShift]],WorkWeek,Holidays)))</f>
        <v/>
      </c>
      <c r="FD202" s="89" t="str">
        <f aca="false">IF(Tasks[[#This Row],[Task Name]]="","",IF(Tasks[[#This Row],[_IsSummary]],MIN(INDEX(Tasks[_ShownCalcStart],Tasks[[#This Row],[_Row]]+1):INDEX(Tasks[_ShownCalcStart],Tasks[[#This Row],[_Row]]+Tasks[[#This Row],[_Descendants]])),Tasks[[#This Row],[_ShownCalcStart]]))</f>
        <v/>
      </c>
      <c r="FE202" s="89" t="str">
        <f aca="false">IF(Tasks[[#This Row],[Task Name]]="","",IF(Tasks[[#This Row],[_IsSummary]],MAX(INDEX(Tasks[_ShownCalcFinish],Tasks[[#This Row],[_Row]]+1):INDEX(Tasks[_ShownCalcFinish],Tasks[[#This Row],[_Row]]+Tasks[[#This Row],[_Descendants]])),Tasks[[#This Row],[_ShownCalcFinish]]))</f>
        <v/>
      </c>
      <c r="FF202"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2"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2"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2"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2"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2"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2"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2"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2"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2"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2"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2"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2" s="42" t="n">
        <f aca="false">IF(AND(Tasks[[#This Row],[_IsLeaf]]=1,Tasks[[#This Row],[_LeafTotalWork]]&gt;0),NETWORKDAYS.INTL(ProjectStart,Tasks[[#This Row],[_ShownFcstStart]],WorkWeek,Holidays),0)</f>
        <v>0</v>
      </c>
      <c r="FS202" s="42" t="n">
        <f aca="false">IF(AND(Tasks[[#This Row],[_IsLeaf]]=1,Tasks[[#This Row],[_LeafTotalWork]]&gt;0),MAX(Tasks[[#This Row],[_StartWorkday]],NETWORKDAYS.INTL(ProjectStart,Tasks[[#This Row],[_ShownFcstFinish]],WorkWeek,Holidays)),0)</f>
        <v>0</v>
      </c>
      <c r="FT202" s="42" t="n">
        <f aca="false">IF(AND(Tasks[[#This Row],[_IsLeaf]]=1,Tasks[[#This Row],[_LeafTotalWork]]&gt;0),Tasks[[#This Row],[_LeafWork]]/(Tasks[[#This Row],[_FinishWorkday]]-Tasks[[#This Row],[_StartWorkday]]+1),0)</f>
        <v>0</v>
      </c>
      <c r="FU202" s="42" t="n">
        <f aca="false">Tasks[[#This Row],[_WorkPerWorkday]]*(Tasks[[#This Row],[_StartWorkday]]-1)</f>
        <v>-0</v>
      </c>
      <c r="FV202" s="42" t="n">
        <f aca="false">IF(Tasks[[#This Row],[_IsLeaf]]=1,MAX(N(Tasks[[#This Row],[_Days]]),0.1),0)</f>
        <v>0</v>
      </c>
      <c r="FW202" s="42" t="n">
        <f aca="false">Tasks[[#This Row],[_WeightDur]]*Tasks[[#This Row],[_LeafProgress]]</f>
        <v>0</v>
      </c>
      <c r="FX202" s="42" t="n">
        <f aca="false">Tasks[[#This Row],[_WeightDur]]*Tasks[[#This Row],[_PlannedPct]]</f>
        <v>0</v>
      </c>
      <c r="FY202"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2" s="42" t="str">
        <f aca="false">IF(AND(Tasks[[#This Row],[_IsLeaf]]=1,N(Tasks[[#This Row],[_Days]])=0,Tasks[[#This Row],[_LeafProgress]]&lt;1),Tasks[[#This Row],[_ShownFcstFinish]]+Tasks[[#This Row],[_Row]]/100000,"")</f>
        <v/>
      </c>
      <c r="GA202"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2" s="42" t="str">
        <f aca="false">IF(Tasks[[#This Row],[Task Name]]="","",LEFT(Tasks[[#This Row],[WBS]],FIND(".",Tasks[[#This Row],[WBS]]&amp;".")-1))</f>
        <v/>
      </c>
      <c r="GC202" s="42" t="str">
        <f aca="false">IF(AND(Tasks[[#This Row],[Task Name]]&lt;&gt;"",Tasks[[#This Row],[_Level]]=1),Tasks[[#This Row],[_Row]],"")</f>
        <v/>
      </c>
      <c r="GD202" s="42" t="str">
        <f aca="false">IF(AND(Tasks[[#This Row],[_IsLeaf]]=1,N(Tasks[[#This Row],[_Days]])=0),Tasks[[#This Row],[Planned Finish]]+Tasks[[#This Row],[_Row]]/100000,"")</f>
        <v/>
      </c>
      <c r="GE202" s="42" t="str">
        <f aca="false">IF(AND(Tasks[[#This Row],[_IsLeaf]]=1,Tasks[[#This Row],[_LeafProgress]]&lt;1,OR(N(Tasks[[#This Row],[Finish Var]])&gt;0,Tasks[[#This Row],[Status]]="Late Start")),MAX(0,Tasks[[#This Row],[Finish Var]])+1-Tasks[[#This Row],[_Row]]/1000000,"")</f>
        <v/>
      </c>
      <c r="GF202" s="42" t="str">
        <f aca="false">IF(AND(Tasks[[#This Row],[_IsLeaf]]=1,N(Tasks[[#This Row],[Actual Start]])=0,Tasks[[#This Row],[_ShownFcstStart]]&gt;=StatusDate,Tasks[[#This Row],[_ShownFcstStart]]&lt;=LookaheadEnd),Tasks[[#This Row],[_ShownFcstStart]]+Tasks[[#This Row],[_Row]]/100000,"")</f>
        <v/>
      </c>
      <c r="GG202" s="42" t="str">
        <f aca="false">IF(AND(Tasks[[#This Row],[_IsLeaf]]=1,Tasks[[#This Row],[_LeafProgress]]&lt;1,Tasks[[#This Row],[_ShownFcstFinish]]&gt;=StatusDate,Tasks[[#This Row],[_ShownFcstFinish]]&lt;=LookaheadEnd),Tasks[[#This Row],[_ShownFcstFinish]]+Tasks[[#This Row],[_Row]]/100000,"")</f>
        <v/>
      </c>
      <c r="GH202" s="42" t="str">
        <f aca="false">IF(Tasks[[#This Row],[_LeafCritical]],Tasks[[#This Row],[_ShownFcstStart]]+Tasks[[#This Row],[_Row]]/100000,"")</f>
        <v/>
      </c>
      <c r="GI202" s="42" t="n">
        <f aca="false">Tasks[[#This Row],[_LeafWork]]*Tasks[[#This Row],[_LeafProgress]]</f>
        <v>0</v>
      </c>
      <c r="GJ202" s="89" t="str">
        <f aca="false">IF(AND(Tasks[[#This Row],[_IsLeaf]]=1,Tasks[[#This Row],[_LeafProgress]]&gt;=1),IF(N(Tasks[[#This Row],[Actual Finish]])&gt;0,Tasks[[#This Row],[Actual Finish]],Tasks[[#This Row],[_ShownFcstFinish]]),"")</f>
        <v/>
      </c>
      <c r="GK202" s="42" t="n">
        <f aca="false">IF(Tasks[[#This Row],[_IsLeaf]]=1,N(Tasks[[#This Row],[Story Points]]),0)</f>
        <v>0</v>
      </c>
      <c r="GL202" s="42" t="str">
        <f aca="false">""</f>
        <v/>
      </c>
      <c r="GM202" s="88" t="b">
        <f aca="false">IF(Tasks[[#This Row],[Task Name]]="",FALSE(),AND(Tasks[[#This Row],[_IsLeaf]]=1,N(Tasks[[#This Row],[_Days]])=0))</f>
        <v>0</v>
      </c>
      <c r="GN202" s="89" t="n">
        <f aca="false">IF(Tasks[[#This Row],[Task Name]]="",0,IF(AND(Tasks[[#This Row],[_IsLeaf]]=1,NOT(Tasks[[#This Row],[_IsMilestone]]),N(Tasks[[#This Row],[Progress]])&gt;0),Tasks[[#This Row],[Start]],0))</f>
        <v>0</v>
      </c>
      <c r="GO202" s="89" t="n">
        <f aca="false">IF(Tasks[[#This Row],[_DoneFrom]]=0,0,IF(Tasks[[#This Row],[Progress]]&gt;=1,Tasks[[#This Row],[Finish]],MAX(Tasks[[#This Row],[_DoneFrom]],Tasks[[#This Row],[Start]]+ROUND((Tasks[[#This Row],[Finish]]-Tasks[[#This Row],[Start]]+1)*Tasks[[#This Row],[Progress]],0)-1)))</f>
        <v>0</v>
      </c>
      <c r="GP202" s="89" t="n">
        <f aca="false">IF(Tasks[[#This Row],[Task Name]]="",0,IF(OR(NOT(Tasks[[#This Row],[_IsLeaf]]=1),Tasks[[#This Row],[_IsMilestone]],N(Tasks[[#This Row],[Progress]])&gt;=1),0,IF(Tasks[[#This Row],[_DoneTo]]&gt;0,Tasks[[#This Row],[_DoneTo]]+1,Tasks[[#This Row],[Start]])))</f>
        <v>0</v>
      </c>
      <c r="GQ202" s="89" t="n">
        <f aca="false">IF(Tasks[[#This Row],[_RemFrom]]=0,0,Tasks[[#This Row],[Finish]])</f>
        <v>0</v>
      </c>
      <c r="GR202" s="88" t="b">
        <f aca="false">IF(Tasks[[#This Row],[Task Name]]="",FALSE(),OR(NOT(BaselineSet),N(Tasks[[#This Row],[Baseline Start]])&gt;0))</f>
        <v>0</v>
      </c>
      <c r="GS202"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2"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2"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2" s="90" t="str">
        <f aca="false">IF(Tasks[[#This Row],[_IsLeaf]]=1,Tasks[[#This Row],[_Row]],"")</f>
        <v/>
      </c>
      <c r="GW202" s="90" t="str">
        <f aca="false">IFERROR(INDEX(Tasks[UID],SMALL(Tasks[_PickKey],Tasks[[#This Row],[_Row]]))&amp;" "&amp;INDEX(Tasks[Task Name],SMALL(Tasks[_PickKey],Tasks[[#This Row],[_Row]])),"")</f>
        <v/>
      </c>
      <c r="GX202" s="42" t="str">
        <f aca="false">IF(Tasks[[#This Row],[Task Name]]="","",IF(Tasks[[#This Row],[_IsSummary]],NETWORKDAYS.INTL(Tasks[[#This Row],[Start]],Tasks[[#This Row],[Finish]],WorkWeek,Holidays),N(Tasks[[#This Row],[_Days]])))</f>
        <v/>
      </c>
    </row>
    <row r="203" customFormat="false" ht="15" hidden="false" customHeight="false" outlineLevel="0" collapsed="false">
      <c r="A203" s="21" t="str">
        <f aca="false">IF(Tasks[[#This Row],[Task Name]]="","",COUNTA(Tasks[[#Headers],[Task Name]]:Tasks[[#This Row],[Task Name]])-1)</f>
        <v/>
      </c>
      <c r="B203" s="22" t="n">
        <v>211</v>
      </c>
      <c r="C203" s="22"/>
      <c r="D203" s="23"/>
      <c r="E203" s="22"/>
      <c r="F203" s="23"/>
      <c r="G203" s="22"/>
      <c r="H203" s="22"/>
      <c r="I203" s="23"/>
      <c r="J203" s="22"/>
      <c r="K203" s="22"/>
      <c r="L203" s="23"/>
      <c r="M203" s="22"/>
      <c r="N203" s="22"/>
      <c r="O203" s="23"/>
      <c r="P203" s="22"/>
      <c r="Q203" s="22"/>
      <c r="R203" s="23"/>
      <c r="S203" s="23"/>
      <c r="T203" s="83"/>
      <c r="U203" s="23"/>
      <c r="V203" s="83"/>
      <c r="W203" s="23"/>
      <c r="X203" s="83"/>
      <c r="Y203" s="23"/>
      <c r="Z203" s="83"/>
      <c r="AA203" s="23"/>
      <c r="AB203" s="23"/>
      <c r="AC203" s="7"/>
      <c r="AD203" s="7"/>
      <c r="AE203" s="62" t="str">
        <f aca="false">IF(Tasks[[#This Row],[Task Name]]="","",IF(Tasks[[#This Row],[_IsSummary]],MIN(INDEX(Tasks[_ShownFcstStart],Tasks[[#This Row],[_Row]]+1):INDEX(Tasks[_ShownFcstStart],Tasks[[#This Row],[_Row]]+Tasks[[#This Row],[_Descendants]])),Tasks[[#This Row],[_ShownFcstStart]]))</f>
        <v/>
      </c>
      <c r="AF203" s="62" t="str">
        <f aca="false">IF(Tasks[[#This Row],[Task Name]]="","",IF(Tasks[[#This Row],[_IsSummary]],MAX(INDEX(Tasks[_ShownFcstFinish],Tasks[[#This Row],[_Row]]+1):INDEX(Tasks[_ShownFcstFinish],Tasks[[#This Row],[_Row]]+Tasks[[#This Row],[_Descendants]])),Tasks[[#This Row],[_ShownFcstFinish]]))</f>
        <v/>
      </c>
      <c r="AG203" s="21" t="str">
        <f aca="false">""</f>
        <v/>
      </c>
      <c r="AH203" s="23"/>
      <c r="AI203"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3" s="7"/>
      <c r="AK203" s="22"/>
      <c r="AL203" s="23"/>
      <c r="AM203" s="7"/>
      <c r="AN203" s="46" t="str">
        <f aca="false">IF(Tasks[[#This Row],[Task Name]]="","",IF(Tasks[[#This Row],[Finish]]&gt;=Tasks[[#This Row],[Planned Finish]],NETWORKDAYS.INTL(Tasks[[#This Row],[Planned Finish]],Tasks[[#This Row],[Finish]],WorkWeek,Holidays)-1,1-NETWORKDAYS.INTL(Tasks[[#This Row],[Finish]],Tasks[[#This Row],[Planned Finish]],WorkWeek,Holidays)))</f>
        <v/>
      </c>
      <c r="AO203" s="21" t="str">
        <f aca="false">IF(Tasks[[#This Row],[Task Name]]="","",IF(Tasks[[#This Row],[Progress]]&gt;=1,"Complete",IF(OR(N(Tasks[[#This Row],[Actual Start]])&gt;0,Tasks[[#This Row],[Progress]]&gt;0),IF(Tasks[[#This Row],[Finish Var]]&gt;0,"Behind","In Progress"),IF(Tasks[[#This Row],[Planned Start]]&lt;StatusDate,"Late Start","Not Started"))))</f>
        <v/>
      </c>
      <c r="AP203" s="21" t="str">
        <f aca="false">IF(Tasks[[#This Row],[Task Name]]="","",IF(IF(Tasks[[#This Row],[_IsSummary]],COUNTIF(INDEX(Tasks[_LeafCritical],Tasks[[#This Row],[_Row]]+1):INDEX(Tasks[_LeafCritical],Tasks[[#This Row],[_Row]]+Tasks[[#This Row],[_Descendants]]),TRUE())&gt;0,Tasks[[#This Row],[_LeafCritical]]),"Yes",""))</f>
        <v/>
      </c>
      <c r="AQ203" s="62" t="str">
        <f aca="false">IF(Tasks[[#This Row],[Task Name]]="","",IF(N(Tasks[[#This Row],[Baseline Start]])&gt;0,Tasks[[#This Row],[Baseline Start]],Tasks[[#This Row],[_CalcStart]]))</f>
        <v/>
      </c>
      <c r="AR203" s="62" t="str">
        <f aca="false">IF(Tasks[[#This Row],[Task Name]]="","",IF(N(Tasks[[#This Row],[Baseline Finish]])&gt;0,Tasks[[#This Row],[Baseline Finish]],Tasks[[#This Row],[_CalcFinish]]))</f>
        <v/>
      </c>
      <c r="AS203" s="46" t="str">
        <f aca="false">IF(Tasks[[#This Row],[Task Name]]="","",IF(Tasks[[#This Row],[Start]]&gt;=Tasks[[#This Row],[Planned Start]],NETWORKDAYS.INTL(Tasks[[#This Row],[Planned Start]],Tasks[[#This Row],[Start]],WorkWeek,Holidays)-1,1-NETWORKDAYS.INTL(Tasks[[#This Row],[Start]],Tasks[[#This Row],[Planned Start]],WorkWeek,Holidays)))</f>
        <v/>
      </c>
      <c r="AT203" s="62" t="str">
        <f aca="false">IF(Tasks[[#This Row],[Task Name]]="","",IF(Tasks[[#This Row],[_IsSummary]],MIN(INDEX(Tasks[_LeafLateStart],Tasks[[#This Row],[_Row]]+1):INDEX(Tasks[_LeafLateStart],Tasks[[#This Row],[_Row]]+Tasks[[#This Row],[_Descendants]])),Tasks[[#This Row],[_LeafLateStart]]))</f>
        <v/>
      </c>
      <c r="AU203" s="62" t="str">
        <f aca="false">IF(Tasks[[#This Row],[Task Name]]="","",IF(Tasks[[#This Row],[_IsSummary]],MAX(INDEX(Tasks[_LeafLateFinish],Tasks[[#This Row],[_Row]]+1):INDEX(Tasks[_LeafLateFinish],Tasks[[#This Row],[_Row]]+Tasks[[#This Row],[_Descendants]])),Tasks[[#This Row],[_LeafLateFinish]]))</f>
        <v/>
      </c>
      <c r="AV203" s="46" t="str">
        <f aca="false">IF(Tasks[[#This Row],[Task Name]]="","",IF(Tasks[[#This Row],[_IsSummary]],MIN(INDEX(Tasks[_LeafTotalSlack],Tasks[[#This Row],[_Row]]+1):INDEX(Tasks[_LeafTotalSlack],Tasks[[#This Row],[_Row]]+Tasks[[#This Row],[_Descendants]])),Tasks[[#This Row],[_LeafTotalSlack]]))</f>
        <v/>
      </c>
      <c r="AW203"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4"/>
      <c r="BA203"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t="str">
        <f aca="false">IF(Tasks[[#This Row],[Task Name]]="","",IF(Tasks[[#This Row],[_Level]]&lt;=OutlineShowLevel,"Yes","No"))</f>
        <v/>
      </c>
      <c r="BE203" s="85" t="str">
        <f aca="false">IF(Tasks[[#This Row],[Task Name]]="","",IF(Tasks[[#This Row],[_IsSummary]],SUM(INDEX(Tasks[_LeafTotalWork],Tasks[[#This Row],[_Row]]+1):INDEX(Tasks[_LeafTotalWork],Tasks[[#This Row],[_Row]]+Tasks[[#This Row],[_Descendants]])),Tasks[[#This Row],[_LeafTotalWork]]))</f>
        <v/>
      </c>
      <c r="BF203" s="23"/>
      <c r="BG203"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t="str">
        <f aca="false">""</f>
        <v/>
      </c>
      <c r="BI203" s="86"/>
      <c r="BJ203" s="22"/>
      <c r="BK203" s="46" t="str">
        <f aca="false">IF(OR(Tasks[[#This Row],[Task Name]]="",Tasks[[#This Row],[Baseline Duration]]=""),"",Tasks[[#This Row],[_SpanDays]]-N(Tasks[[#This Row],[Baseline Duration]]))</f>
        <v/>
      </c>
      <c r="BL203" s="85" t="str">
        <f aca="false">IF(OR(Tasks[[#This Row],[Task Name]]="",Tasks[[#This Row],[Baseline Work]]=""),"",Tasks[[#This Row],[Work]]-N(Tasks[[#This Row],[Baseline Work]]))</f>
        <v/>
      </c>
      <c r="BM203" s="62" t="str">
        <f aca="false">IF(Tasks[[#This Row],[Task Name]]="","",IF(OR(TakeBaseline="Yes",N(Tasks[[#This Row],[Baseline Start]])=0),Tasks[[#This Row],[Start]],Tasks[[#This Row],[Baseline Start]]))</f>
        <v/>
      </c>
      <c r="BN203" s="62" t="str">
        <f aca="false">IF(Tasks[[#This Row],[Task Name]]="","",IF(OR(TakeBaseline="Yes",N(Tasks[[#This Row],[Baseline Finish]])=0),Tasks[[#This Row],[Finish]],Tasks[[#This Row],[Baseline Finish]]))</f>
        <v/>
      </c>
      <c r="BO203" s="21" t="str">
        <f aca="false">IF(Tasks[[#This Row],[Task Name]]="","",IF(OR(TakeBaseline="Yes",N(Tasks[[#This Row],[Baseline Duration]])=0),Tasks[[#This Row],[_SpanDays]],Tasks[[#This Row],[Baseline Duration]]))</f>
        <v/>
      </c>
      <c r="BP203" s="85" t="str">
        <f aca="false">IF(Tasks[[#This Row],[Task Name]]="","",IF(OR(TakeBaseline="Yes",N(Tasks[[#This Row],[Baseline Work]])=0),Tasks[[#This Row],[Work]],Tasks[[#This Row],[Baseline Work]]))</f>
        <v/>
      </c>
      <c r="BQ203" s="7"/>
      <c r="BR203" s="7"/>
      <c r="BS203" s="22"/>
      <c r="BT203" s="87"/>
      <c r="BU203" s="42" t="str">
        <f aca="false">IF(Tasks[[#This Row],[Task Name]]="","",MAX(1,N(Tasks[[#This Row],[Level]])))</f>
        <v/>
      </c>
      <c r="BV203" s="42" t="n">
        <f aca="false">ROW()-ROW(Tasks[[#Headers],[ID]])</f>
        <v>198</v>
      </c>
      <c r="BW203" s="42" t="n">
        <f aca="false">IF(OR(Tasks[[#This Row],[Task Name]]="",Tasks[[#This Row],[_Level]]&lt;=1),0,IFERROR(LOOKUP(2,1/(Tasks[[#Headers],[_Level]]:Tasks[[#This Row],[_Level]]=Tasks[[#This Row],[_Level]]-1),ROW(Tasks[[#Headers],[_Level]]:Tasks[[#This Row],[_Level]])),0))</f>
        <v>0</v>
      </c>
      <c r="BX203" s="42" t="n">
        <f aca="false">IFERROR(N(INDEX(Tasks[_Level],Tasks[[#This Row],[_Row]]+1)),0)</f>
        <v>0</v>
      </c>
      <c r="BY203" s="88" t="b">
        <f aca="false">AND(Tasks[[#This Row],[Task Name]]&lt;&gt;"",Tasks[[#This Row],[_NextLevel]]&gt;Tasks[[#This Row],[_Level]])</f>
        <v>0</v>
      </c>
      <c r="BZ203" s="42" t="n">
        <f aca="false">IF(Tasks[[#This Row],[_IsSummary]],COUNTIF(Tasks[WBS],Tasks[[#This Row],[WBS]]&amp;".*"),0)</f>
        <v>0</v>
      </c>
      <c r="CA203" s="42" t="n">
        <f aca="false">IF(AND(Tasks[[#This Row],[Task Name]]&lt;&gt;"",NOT(Tasks[[#This Row],[_IsSummary]])),1,0)</f>
        <v>0</v>
      </c>
      <c r="CB203" s="42" t="n">
        <f aca="false">IF(N(Tasks[[#This Row],[_Pred1UID]])=0,0,IFERROR(MATCH(Tasks[[#This Row],[_Pred1UID]],Tasks[UID],0),-1))</f>
        <v>0</v>
      </c>
      <c r="CC203" s="42" t="n">
        <f aca="false">IF(N(Tasks[[#This Row],[_Pred2UID]])=0,0,IFERROR(MATCH(Tasks[[#This Row],[_Pred2UID]],Tasks[UID],0),-1))</f>
        <v>0</v>
      </c>
      <c r="CD203" s="42" t="n">
        <f aca="false">IF(N(Tasks[[#This Row],[_Pred3UID]])=0,0,IFERROR(MATCH(Tasks[[#This Row],[_Pred3UID]],Tasks[UID],0),-1))</f>
        <v>0</v>
      </c>
      <c r="CE203" s="42" t="n">
        <f aca="false">IF(N(Tasks[[#This Row],[_Pred4UID]])=0,0,IFERROR(MATCH(Tasks[[#This Row],[_Pred4UID]],Tasks[UID],0),-1))</f>
        <v>0</v>
      </c>
      <c r="CF203"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3"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3" s="89" t="n">
        <f aca="false">IF(OR(Tasks[[#This Row],[_ConstraintCode]]=2,Tasks[[#This Row],[_ConstraintCode]]=3,Tasks[[#This Row],[_ConstraintCode]]=4,Tasks[[#This Row],[_ConstraintCode]]=6),Tasks[[#This Row],[_ConstraintStart]],0)</f>
        <v>0</v>
      </c>
      <c r="CI203" s="89" t="n">
        <f aca="false">IF(OR(Tasks[[#This Row],[_ConstraintCode]]=2,Tasks[[#This Row],[_ConstraintCode]]=3,Tasks[[#This Row],[_ConstraintCode]]=5,Tasks[[#This Row],[_ConstraintCode]]=7),Tasks[[#This Row],[_ConstraintStart]],2958465)</f>
        <v>2958465</v>
      </c>
      <c r="CJ203"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3" s="89" t="str">
        <f aca="false">IF(NOT(Tasks[[#This Row],[_IsLeaf]]=1),"",IF(N(Tasks[[#This Row],[_Days]])&lt;=0,Tasks[[#This Row],[_LeafCalcStart]],WORKDAY.INTL(Tasks[[#This Row],[_LeafCalcStart]],Tasks[[#This Row],[_Days]]-1,WorkWeek,Holidays)))</f>
        <v/>
      </c>
      <c r="CL203"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3"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3" s="42" t="str">
        <f aca="false">IF(Tasks[[#This Row],[_Predecessors]]="","",TRIM(MID(SUBSTITUTE(SUBSTITUTE(SUBSTITUTE(UPPER(Tasks[[#This Row],[_Predecessors]]),";",",")," ",""),",",REPT(" ",99)),1,99)))</f>
        <v/>
      </c>
      <c r="CO203" s="42" t="str">
        <f aca="false">IF(Tasks[[#This Row],[_Pred1Text]]="","",IFERROR(VALUE(LEFT(Tasks[[#This Row],[_Pred1Text]],MIN(FIND("F",Tasks[[#This Row],[_Pred1Text]]&amp;"F"),FIND("S",Tasks[[#This Row],[_Pred1Text]]&amp;"S"),FIND("+",Tasks[[#This Row],[_Pred1Text]]&amp;"+"),FIND("-",Tasks[[#This Row],[_Pred1Text]]&amp;"-"))-1)),""))</f>
        <v/>
      </c>
      <c r="CP203"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3"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3" s="42" t="str">
        <f aca="false">IF(Tasks[[#This Row],[_Pred1Text]]="","",TRIM(MID(SUBSTITUTE(SUBSTITUTE(SUBSTITUTE(UPPER(Tasks[[#This Row],[_Predecessors]]),";",",")," ",""),",",REPT(" ",99)),100,99)))</f>
        <v/>
      </c>
      <c r="CS203" s="42" t="str">
        <f aca="false">IF(Tasks[[#This Row],[_Pred2Text]]="","",IFERROR(VALUE(LEFT(Tasks[[#This Row],[_Pred2Text]],MIN(FIND("F",Tasks[[#This Row],[_Pred2Text]]&amp;"F"),FIND("S",Tasks[[#This Row],[_Pred2Text]]&amp;"S"),FIND("+",Tasks[[#This Row],[_Pred2Text]]&amp;"+"),FIND("-",Tasks[[#This Row],[_Pred2Text]]&amp;"-"))-1)),""))</f>
        <v/>
      </c>
      <c r="CT203"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3"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3" s="42" t="str">
        <f aca="false">IF(Tasks[[#This Row],[_Pred2Text]]="","",TRIM(MID(SUBSTITUTE(SUBSTITUTE(SUBSTITUTE(UPPER(Tasks[[#This Row],[_Predecessors]]),";",",")," ",""),",",REPT(" ",99)),199,99)))</f>
        <v/>
      </c>
      <c r="CW203" s="42" t="str">
        <f aca="false">IF(Tasks[[#This Row],[_Pred3Text]]="","",IFERROR(VALUE(LEFT(Tasks[[#This Row],[_Pred3Text]],MIN(FIND("F",Tasks[[#This Row],[_Pred3Text]]&amp;"F"),FIND("S",Tasks[[#This Row],[_Pred3Text]]&amp;"S"),FIND("+",Tasks[[#This Row],[_Pred3Text]]&amp;"+"),FIND("-",Tasks[[#This Row],[_Pred3Text]]&amp;"-"))-1)),""))</f>
        <v/>
      </c>
      <c r="CX203"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3"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3" s="42" t="str">
        <f aca="false">IF(Tasks[[#This Row],[_Pred3Text]]="","",TRIM(MID(SUBSTITUTE(SUBSTITUTE(SUBSTITUTE(UPPER(Tasks[[#This Row],[_Predecessors]]),";",",")," ",""),",",REPT(" ",99)),298,99)))</f>
        <v/>
      </c>
      <c r="DA203" s="42" t="str">
        <f aca="false">IF(Tasks[[#This Row],[_Pred4Text]]="","",IFERROR(VALUE(LEFT(Tasks[[#This Row],[_Pred4Text]],MIN(FIND("F",Tasks[[#This Row],[_Pred4Text]]&amp;"F"),FIND("S",Tasks[[#This Row],[_Pred4Text]]&amp;"S"),FIND("+",Tasks[[#This Row],[_Pred4Text]]&amp;"+"),FIND("-",Tasks[[#This Row],[_Pred4Text]]&amp;"-"))-1)),""))</f>
        <v/>
      </c>
      <c r="DB203"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3"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3" s="42" t="str">
        <f aca="false">IF(OR(Tasks[[#This Row],[Task Name]]="",Tasks[[#This Row],[_Resources]]=""),"",TRIM(MID(SUBSTITUTE(Tasks[[#This Row],[_Resources]],",",REPT(" ",99)),1,99)))</f>
        <v/>
      </c>
      <c r="DE203" s="42" t="str">
        <f aca="false">IF(Tasks[[#This Row],[_Res1Text]]="","",TRIM(MID(SUBSTITUTE(Tasks[[#This Row],[_Resources]],",",REPT(" ",99)),100,99)))</f>
        <v/>
      </c>
      <c r="DF203" s="42" t="str">
        <f aca="false">IF(Tasks[[#This Row],[_Res2Text]]="","",TRIM(MID(SUBSTITUTE(Tasks[[#This Row],[_Resources]],",",REPT(" ",99)),199,99)))</f>
        <v/>
      </c>
      <c r="DG203" s="42" t="str">
        <f aca="false">IF(Tasks[[#This Row],[_Res3Text]]="","",TRIM(MID(SUBSTITUTE(Tasks[[#This Row],[_Resources]],",",REPT(" ",99)),298,99)))</f>
        <v/>
      </c>
      <c r="DH203" s="42" t="n">
        <f aca="false">IF(Tasks[[#This Row],[_Res1Text]]="",0,IFERROR(MATCH(TRIM(LEFT(Tasks[[#This Row],[_Res1Text]],FIND("[",Tasks[[#This Row],[_Res1Text]]&amp;"[")-1)),res_Name,0),IFERROR(MATCH(TRIM(LEFT(Tasks[[#This Row],[_Res1Text]],FIND("[",Tasks[[#This Row],[_Res1Text]]&amp;"[")-1)),res_Initials,0),0)))</f>
        <v>0</v>
      </c>
      <c r="DI203" s="42" t="n">
        <f aca="false">IF(Tasks[[#This Row],[_Res2Text]]="",0,IFERROR(MATCH(TRIM(LEFT(Tasks[[#This Row],[_Res2Text]],FIND("[",Tasks[[#This Row],[_Res2Text]]&amp;"[")-1)),res_Name,0),IFERROR(MATCH(TRIM(LEFT(Tasks[[#This Row],[_Res2Text]],FIND("[",Tasks[[#This Row],[_Res2Text]]&amp;"[")-1)),res_Initials,0),0)))</f>
        <v>0</v>
      </c>
      <c r="DJ203" s="42" t="n">
        <f aca="false">IF(Tasks[[#This Row],[_Res3Text]]="",0,IFERROR(MATCH(TRIM(LEFT(Tasks[[#This Row],[_Res3Text]],FIND("[",Tasks[[#This Row],[_Res3Text]]&amp;"[")-1)),res_Name,0),IFERROR(MATCH(TRIM(LEFT(Tasks[[#This Row],[_Res3Text]],FIND("[",Tasks[[#This Row],[_Res3Text]]&amp;"[")-1)),res_Initials,0),0)))</f>
        <v>0</v>
      </c>
      <c r="DK203" s="42" t="n">
        <f aca="false">IF(Tasks[[#This Row],[_Res4Text]]="",0,IFERROR(MATCH(TRIM(LEFT(Tasks[[#This Row],[_Res4Text]],FIND("[",Tasks[[#This Row],[_Res4Text]]&amp;"[")-1)),res_Name,0),IFERROR(MATCH(TRIM(LEFT(Tasks[[#This Row],[_Res4Text]],FIND("[",Tasks[[#This Row],[_Res4Text]]&amp;"[")-1)),res_Initials,0),0)))</f>
        <v>0</v>
      </c>
      <c r="DL203" s="42" t="str">
        <f aca="false">IF(Tasks[[#This Row],[_Res1Text]]="","",IF(Tasks[[#This Row],[_Res1Row]]&gt;0,INDEX(res_Name,Tasks[[#This Row],[_Res1Row]]),TRIM(LEFT(Tasks[[#This Row],[_Res1Text]],FIND("[",Tasks[[#This Row],[_Res1Text]]&amp;"[")-1))))</f>
        <v/>
      </c>
      <c r="DM203"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3" s="42" t="n">
        <f aca="false">IF(NOT(Tasks[[#This Row],[_IsLeaf]]=1),0,(Tasks[[#This Row],[_Resource1]]&lt;&gt;"")+(Tasks[[#This Row],[_Res2]]&lt;&gt;"")+(Tasks[[#This Row],[_Res3]]&lt;&gt;"")+(Tasks[[#This Row],[_Res4]]&lt;&gt;""))</f>
        <v>0</v>
      </c>
      <c r="DO203" s="42" t="str">
        <f aca="false">IF(Tasks[[#This Row],[_Res2Text]]="","",IF(Tasks[[#This Row],[_Res2Row]]&gt;0,INDEX(res_Name,Tasks[[#This Row],[_Res2Row]]),TRIM(LEFT(Tasks[[#This Row],[_Res2Text]],FIND("[",Tasks[[#This Row],[_Res2Text]]&amp;"[")-1))))</f>
        <v/>
      </c>
      <c r="DP203"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3" s="42" t="n">
        <f aca="false">IF(OR(NOT(Tasks[[#This Row],[_IsLeaf]]=1),Tasks[[#This Row],[_Res2Row]]=0),0,N(Tasks[[#This Row],[_Days]])*HoursPerDay*IF(Tasks[[#This Row],[_Res2Units]]="",DefaultUnits,Tasks[[#This Row],[_Res2Units]]))</f>
        <v>0</v>
      </c>
      <c r="DR203" s="42" t="n">
        <f aca="false">IF(AND(AND(Tasks[[#This Row],[_IsLeaf]]=1,Tasks[[#This Row],[_LeafTotalWork]]&gt;0),Tasks[[#This Row],[_Res2Work]]&gt;0),Tasks[[#This Row],[_Res2Work]]/(Tasks[[#This Row],[_FinishWorkday]]-Tasks[[#This Row],[_StartWorkday]]+1),0)</f>
        <v>0</v>
      </c>
      <c r="DS203" s="42" t="n">
        <f aca="false">Tasks[[#This Row],[_Res2WorkPerWD]]*MAX(0,Tasks[[#This Row],[_StartWorkday]]-1)</f>
        <v>0</v>
      </c>
      <c r="DT203" s="42" t="n">
        <f aca="false">Tasks[[#This Row],[_Res2Work]]*Tasks[[#This Row],[_LeafProgress]]</f>
        <v>0</v>
      </c>
      <c r="DU203" s="42" t="str">
        <f aca="false">IF(Tasks[[#This Row],[_Res3Text]]="","",IF(Tasks[[#This Row],[_Res3Row]]&gt;0,INDEX(res_Name,Tasks[[#This Row],[_Res3Row]]),TRIM(LEFT(Tasks[[#This Row],[_Res3Text]],FIND("[",Tasks[[#This Row],[_Res3Text]]&amp;"[")-1))))</f>
        <v/>
      </c>
      <c r="DV203"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3" s="42" t="n">
        <f aca="false">IF(OR(NOT(Tasks[[#This Row],[_IsLeaf]]=1),Tasks[[#This Row],[_Res3Row]]=0),0,N(Tasks[[#This Row],[_Days]])*HoursPerDay*IF(Tasks[[#This Row],[_Res3Units]]="",DefaultUnits,Tasks[[#This Row],[_Res3Units]]))</f>
        <v>0</v>
      </c>
      <c r="DX203" s="42" t="n">
        <f aca="false">IF(AND(AND(Tasks[[#This Row],[_IsLeaf]]=1,Tasks[[#This Row],[_LeafTotalWork]]&gt;0),Tasks[[#This Row],[_Res3Work]]&gt;0),Tasks[[#This Row],[_Res3Work]]/(Tasks[[#This Row],[_FinishWorkday]]-Tasks[[#This Row],[_StartWorkday]]+1),0)</f>
        <v>0</v>
      </c>
      <c r="DY203" s="42" t="n">
        <f aca="false">Tasks[[#This Row],[_Res3WorkPerWD]]*MAX(0,Tasks[[#This Row],[_StartWorkday]]-1)</f>
        <v>0</v>
      </c>
      <c r="DZ203" s="42" t="n">
        <f aca="false">Tasks[[#This Row],[_Res3Work]]*Tasks[[#This Row],[_LeafProgress]]</f>
        <v>0</v>
      </c>
      <c r="EA203" s="42" t="str">
        <f aca="false">IF(Tasks[[#This Row],[_Res4Text]]="","",IF(Tasks[[#This Row],[_Res4Row]]&gt;0,INDEX(res_Name,Tasks[[#This Row],[_Res4Row]]),TRIM(LEFT(Tasks[[#This Row],[_Res4Text]],FIND("[",Tasks[[#This Row],[_Res4Text]]&amp;"[")-1))))</f>
        <v/>
      </c>
      <c r="EB203"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3" s="42" t="n">
        <f aca="false">IF(OR(NOT(Tasks[[#This Row],[_IsLeaf]]=1),Tasks[[#This Row],[_Res4Row]]=0),0,N(Tasks[[#This Row],[_Days]])*HoursPerDay*IF(Tasks[[#This Row],[_Res4Units]]="",DefaultUnits,Tasks[[#This Row],[_Res4Units]]))</f>
        <v>0</v>
      </c>
      <c r="ED203" s="42" t="n">
        <f aca="false">IF(AND(AND(Tasks[[#This Row],[_IsLeaf]]=1,Tasks[[#This Row],[_LeafTotalWork]]&gt;0),Tasks[[#This Row],[_Res4Work]]&gt;0),Tasks[[#This Row],[_Res4Work]]/(Tasks[[#This Row],[_FinishWorkday]]-Tasks[[#This Row],[_StartWorkday]]+1),0)</f>
        <v>0</v>
      </c>
      <c r="EE203" s="42" t="n">
        <f aca="false">Tasks[[#This Row],[_Res4WorkPerWD]]*MAX(0,Tasks[[#This Row],[_StartWorkday]]-1)</f>
        <v>0</v>
      </c>
      <c r="EF203" s="42" t="n">
        <f aca="false">Tasks[[#This Row],[_Res4Work]]*Tasks[[#This Row],[_LeafProgress]]</f>
        <v>0</v>
      </c>
      <c r="EG203" s="42" t="n">
        <f aca="false">IF(ISNUMBER(Tasks[[#This Row],[% Complete]]),Tasks[[#This Row],[% Complete]],IF(Tasks[[#This Row],[Stage]]="",0,IFERROR(INDEX(stg_Pct,MATCH(Tasks[[#This Row],[Stage]],stg_Name,0)),0)))</f>
        <v>0</v>
      </c>
      <c r="EH203" s="42" t="n">
        <f aca="false">IF(NOT(Tasks[[#This Row],[_IsLeaf]]=1),0,IF(N(Tasks[[#This Row],[Actual Finish]])&gt;0,1,MIN(1,Tasks[[#This Row],[_Pct]])))</f>
        <v>0</v>
      </c>
      <c r="EI203" s="42" t="n">
        <f aca="false">IF(OR(NOT(Tasks[[#This Row],[_IsLeaf]]=1),Tasks[[#This Row],[_Res1Row]]=0),0,N(Tasks[[#This Row],[_Days]])*HoursPerDay*IF(Tasks[[#This Row],[_Units1]]="",DefaultUnits,Tasks[[#This Row],[_Units1]]))</f>
        <v>0</v>
      </c>
      <c r="EJ203" s="42" t="n">
        <f aca="false">Tasks[[#This Row],[_LeafWork]]+Tasks[[#This Row],[_Res2Work]]+Tasks[[#This Row],[_Res3Work]]+Tasks[[#This Row],[_Res4Work]]</f>
        <v>0</v>
      </c>
      <c r="EK203"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3"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3"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3"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3"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3"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3"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3"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3" s="42" t="n">
        <f aca="false">IF(NOT(Tasks[[#This Row],[_IsLeaf]]=1),0,MAX(_xlfn.MAXIFS(Tasks[_Row],Tasks[_Pred1UID],Tasks[[#This Row],[UID]]),_xlfn.MAXIFS(Tasks[_Row],Tasks[_Pred2UID],Tasks[[#This Row],[UID]]),_xlfn.MAXIFS(Tasks[_Row],Tasks[_Pred3UID],Tasks[[#This Row],[UID]]),_xlfn.MAXIFS(Tasks[_Row],Tasks[_Pred4UID],Tasks[[#This Row],[UID]])))</f>
        <v>0</v>
      </c>
      <c r="ET203"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3"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3" s="89" t="str">
        <f aca="false">IF(NOT(Tasks[[#This Row],[_IsLeaf]]=1),"",IF(N(Tasks[[#This Row],[_Days]])&lt;=0,Tasks[[#This Row],[_LeafLateFinish]],WORKDAY.INTL(Tasks[[#This Row],[_LeafLateFinish]],-(Tasks[[#This Row],[_Days]]-1),WorkWeek,Holidays)))</f>
        <v/>
      </c>
      <c r="EW203"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3" s="88" t="b">
        <f aca="false">AND(Tasks[[#This Row],[_IsLeaf]]=1,Tasks[[#This Row],[_LeafProgress]]&lt;1,N(Tasks[[#This Row],[_LeafTotalSlack]])&lt;=CriticalSlackDays)</f>
        <v>0</v>
      </c>
      <c r="EY203" s="42" t="n">
        <f aca="false">IF(AND(Tasks[[#This Row],[_IsLeaf]]=1,Tasks[[#This Row],[_ConstraintCode]]=1,Tasks[[#This Row],[Mode]]&lt;&gt;"Manual",N(Tasks[[#This Row],[Actual Start]])=0),MAX(0,N(Tasks[[#This Row],[Free Slack]])),0)</f>
        <v>0</v>
      </c>
      <c r="EZ203" s="89" t="str">
        <f aca="false">IF(NOT(Tasks[[#This Row],[_IsLeaf]]=1),"",IF(Tasks[[#This Row],[_AlapShift]]=0,Tasks[[#This Row],[_LeafCalcStart]],WORKDAY.INTL(Tasks[[#This Row],[_LeafCalcStart]],Tasks[[#This Row],[_AlapShift]],WorkWeek,Holidays)))</f>
        <v/>
      </c>
      <c r="FA203" s="89" t="str">
        <f aca="false">IF(NOT(Tasks[[#This Row],[_IsLeaf]]=1),"",IF(Tasks[[#This Row],[_AlapShift]]=0,Tasks[[#This Row],[_LeafCalcFinish]],WORKDAY.INTL(Tasks[[#This Row],[_LeafCalcFinish]],Tasks[[#This Row],[_AlapShift]],WorkWeek,Holidays)))</f>
        <v/>
      </c>
      <c r="FB203" s="89" t="str">
        <f aca="false">IF(NOT(Tasks[[#This Row],[_IsLeaf]]=1),"",IF(Tasks[[#This Row],[_AlapShift]]=0,Tasks[[#This Row],[_LeafFcstStart]],WORKDAY.INTL(Tasks[[#This Row],[_LeafFcstStart]],Tasks[[#This Row],[_AlapShift]],WorkWeek,Holidays)))</f>
        <v/>
      </c>
      <c r="FC203" s="89" t="str">
        <f aca="false">IF(NOT(Tasks[[#This Row],[_IsLeaf]]=1),"",IF(Tasks[[#This Row],[_AlapShift]]=0,Tasks[[#This Row],[_LeafFcstFinish]],WORKDAY.INTL(Tasks[[#This Row],[_LeafFcstFinish]],Tasks[[#This Row],[_AlapShift]],WorkWeek,Holidays)))</f>
        <v/>
      </c>
      <c r="FD203" s="89" t="str">
        <f aca="false">IF(Tasks[[#This Row],[Task Name]]="","",IF(Tasks[[#This Row],[_IsSummary]],MIN(INDEX(Tasks[_ShownCalcStart],Tasks[[#This Row],[_Row]]+1):INDEX(Tasks[_ShownCalcStart],Tasks[[#This Row],[_Row]]+Tasks[[#This Row],[_Descendants]])),Tasks[[#This Row],[_ShownCalcStart]]))</f>
        <v/>
      </c>
      <c r="FE203" s="89" t="str">
        <f aca="false">IF(Tasks[[#This Row],[Task Name]]="","",IF(Tasks[[#This Row],[_IsSummary]],MAX(INDEX(Tasks[_ShownCalcFinish],Tasks[[#This Row],[_Row]]+1):INDEX(Tasks[_ShownCalcFinish],Tasks[[#This Row],[_Row]]+Tasks[[#This Row],[_Descendants]])),Tasks[[#This Row],[_ShownCalcFinish]]))</f>
        <v/>
      </c>
      <c r="FF203"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3"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3"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3"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3"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3"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3"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3"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3"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3"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3"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3"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3" s="42" t="n">
        <f aca="false">IF(AND(Tasks[[#This Row],[_IsLeaf]]=1,Tasks[[#This Row],[_LeafTotalWork]]&gt;0),NETWORKDAYS.INTL(ProjectStart,Tasks[[#This Row],[_ShownFcstStart]],WorkWeek,Holidays),0)</f>
        <v>0</v>
      </c>
      <c r="FS203" s="42" t="n">
        <f aca="false">IF(AND(Tasks[[#This Row],[_IsLeaf]]=1,Tasks[[#This Row],[_LeafTotalWork]]&gt;0),MAX(Tasks[[#This Row],[_StartWorkday]],NETWORKDAYS.INTL(ProjectStart,Tasks[[#This Row],[_ShownFcstFinish]],WorkWeek,Holidays)),0)</f>
        <v>0</v>
      </c>
      <c r="FT203" s="42" t="n">
        <f aca="false">IF(AND(Tasks[[#This Row],[_IsLeaf]]=1,Tasks[[#This Row],[_LeafTotalWork]]&gt;0),Tasks[[#This Row],[_LeafWork]]/(Tasks[[#This Row],[_FinishWorkday]]-Tasks[[#This Row],[_StartWorkday]]+1),0)</f>
        <v>0</v>
      </c>
      <c r="FU203" s="42" t="n">
        <f aca="false">Tasks[[#This Row],[_WorkPerWorkday]]*(Tasks[[#This Row],[_StartWorkday]]-1)</f>
        <v>-0</v>
      </c>
      <c r="FV203" s="42" t="n">
        <f aca="false">IF(Tasks[[#This Row],[_IsLeaf]]=1,MAX(N(Tasks[[#This Row],[_Days]]),0.1),0)</f>
        <v>0</v>
      </c>
      <c r="FW203" s="42" t="n">
        <f aca="false">Tasks[[#This Row],[_WeightDur]]*Tasks[[#This Row],[_LeafProgress]]</f>
        <v>0</v>
      </c>
      <c r="FX203" s="42" t="n">
        <f aca="false">Tasks[[#This Row],[_WeightDur]]*Tasks[[#This Row],[_PlannedPct]]</f>
        <v>0</v>
      </c>
      <c r="FY203"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3" s="42" t="str">
        <f aca="false">IF(AND(Tasks[[#This Row],[_IsLeaf]]=1,N(Tasks[[#This Row],[_Days]])=0,Tasks[[#This Row],[_LeafProgress]]&lt;1),Tasks[[#This Row],[_ShownFcstFinish]]+Tasks[[#This Row],[_Row]]/100000,"")</f>
        <v/>
      </c>
      <c r="GA203"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3" s="42" t="str">
        <f aca="false">IF(Tasks[[#This Row],[Task Name]]="","",LEFT(Tasks[[#This Row],[WBS]],FIND(".",Tasks[[#This Row],[WBS]]&amp;".")-1))</f>
        <v/>
      </c>
      <c r="GC203" s="42" t="str">
        <f aca="false">IF(AND(Tasks[[#This Row],[Task Name]]&lt;&gt;"",Tasks[[#This Row],[_Level]]=1),Tasks[[#This Row],[_Row]],"")</f>
        <v/>
      </c>
      <c r="GD203" s="42" t="str">
        <f aca="false">IF(AND(Tasks[[#This Row],[_IsLeaf]]=1,N(Tasks[[#This Row],[_Days]])=0),Tasks[[#This Row],[Planned Finish]]+Tasks[[#This Row],[_Row]]/100000,"")</f>
        <v/>
      </c>
      <c r="GE203" s="42" t="str">
        <f aca="false">IF(AND(Tasks[[#This Row],[_IsLeaf]]=1,Tasks[[#This Row],[_LeafProgress]]&lt;1,OR(N(Tasks[[#This Row],[Finish Var]])&gt;0,Tasks[[#This Row],[Status]]="Late Start")),MAX(0,Tasks[[#This Row],[Finish Var]])+1-Tasks[[#This Row],[_Row]]/1000000,"")</f>
        <v/>
      </c>
      <c r="GF203" s="42" t="str">
        <f aca="false">IF(AND(Tasks[[#This Row],[_IsLeaf]]=1,N(Tasks[[#This Row],[Actual Start]])=0,Tasks[[#This Row],[_ShownFcstStart]]&gt;=StatusDate,Tasks[[#This Row],[_ShownFcstStart]]&lt;=LookaheadEnd),Tasks[[#This Row],[_ShownFcstStart]]+Tasks[[#This Row],[_Row]]/100000,"")</f>
        <v/>
      </c>
      <c r="GG203" s="42" t="str">
        <f aca="false">IF(AND(Tasks[[#This Row],[_IsLeaf]]=1,Tasks[[#This Row],[_LeafProgress]]&lt;1,Tasks[[#This Row],[_ShownFcstFinish]]&gt;=StatusDate,Tasks[[#This Row],[_ShownFcstFinish]]&lt;=LookaheadEnd),Tasks[[#This Row],[_ShownFcstFinish]]+Tasks[[#This Row],[_Row]]/100000,"")</f>
        <v/>
      </c>
      <c r="GH203" s="42" t="str">
        <f aca="false">IF(Tasks[[#This Row],[_LeafCritical]],Tasks[[#This Row],[_ShownFcstStart]]+Tasks[[#This Row],[_Row]]/100000,"")</f>
        <v/>
      </c>
      <c r="GI203" s="42" t="n">
        <f aca="false">Tasks[[#This Row],[_LeafWork]]*Tasks[[#This Row],[_LeafProgress]]</f>
        <v>0</v>
      </c>
      <c r="GJ203" s="89" t="str">
        <f aca="false">IF(AND(Tasks[[#This Row],[_IsLeaf]]=1,Tasks[[#This Row],[_LeafProgress]]&gt;=1),IF(N(Tasks[[#This Row],[Actual Finish]])&gt;0,Tasks[[#This Row],[Actual Finish]],Tasks[[#This Row],[_ShownFcstFinish]]),"")</f>
        <v/>
      </c>
      <c r="GK203" s="42" t="n">
        <f aca="false">IF(Tasks[[#This Row],[_IsLeaf]]=1,N(Tasks[[#This Row],[Story Points]]),0)</f>
        <v>0</v>
      </c>
      <c r="GL203" s="42" t="str">
        <f aca="false">""</f>
        <v/>
      </c>
      <c r="GM203" s="88" t="b">
        <f aca="false">IF(Tasks[[#This Row],[Task Name]]="",FALSE(),AND(Tasks[[#This Row],[_IsLeaf]]=1,N(Tasks[[#This Row],[_Days]])=0))</f>
        <v>0</v>
      </c>
      <c r="GN203" s="89" t="n">
        <f aca="false">IF(Tasks[[#This Row],[Task Name]]="",0,IF(AND(Tasks[[#This Row],[_IsLeaf]]=1,NOT(Tasks[[#This Row],[_IsMilestone]]),N(Tasks[[#This Row],[Progress]])&gt;0),Tasks[[#This Row],[Start]],0))</f>
        <v>0</v>
      </c>
      <c r="GO203" s="89" t="n">
        <f aca="false">IF(Tasks[[#This Row],[_DoneFrom]]=0,0,IF(Tasks[[#This Row],[Progress]]&gt;=1,Tasks[[#This Row],[Finish]],MAX(Tasks[[#This Row],[_DoneFrom]],Tasks[[#This Row],[Start]]+ROUND((Tasks[[#This Row],[Finish]]-Tasks[[#This Row],[Start]]+1)*Tasks[[#This Row],[Progress]],0)-1)))</f>
        <v>0</v>
      </c>
      <c r="GP203" s="89" t="n">
        <f aca="false">IF(Tasks[[#This Row],[Task Name]]="",0,IF(OR(NOT(Tasks[[#This Row],[_IsLeaf]]=1),Tasks[[#This Row],[_IsMilestone]],N(Tasks[[#This Row],[Progress]])&gt;=1),0,IF(Tasks[[#This Row],[_DoneTo]]&gt;0,Tasks[[#This Row],[_DoneTo]]+1,Tasks[[#This Row],[Start]])))</f>
        <v>0</v>
      </c>
      <c r="GQ203" s="89" t="n">
        <f aca="false">IF(Tasks[[#This Row],[_RemFrom]]=0,0,Tasks[[#This Row],[Finish]])</f>
        <v>0</v>
      </c>
      <c r="GR203" s="88" t="b">
        <f aca="false">IF(Tasks[[#This Row],[Task Name]]="",FALSE(),OR(NOT(BaselineSet),N(Tasks[[#This Row],[Baseline Start]])&gt;0))</f>
        <v>0</v>
      </c>
      <c r="GS203"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3"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3"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3" s="90" t="str">
        <f aca="false">IF(Tasks[[#This Row],[_IsLeaf]]=1,Tasks[[#This Row],[_Row]],"")</f>
        <v/>
      </c>
      <c r="GW203" s="90" t="str">
        <f aca="false">IFERROR(INDEX(Tasks[UID],SMALL(Tasks[_PickKey],Tasks[[#This Row],[_Row]]))&amp;" "&amp;INDEX(Tasks[Task Name],SMALL(Tasks[_PickKey],Tasks[[#This Row],[_Row]])),"")</f>
        <v/>
      </c>
      <c r="GX203" s="42" t="str">
        <f aca="false">IF(Tasks[[#This Row],[Task Name]]="","",IF(Tasks[[#This Row],[_IsSummary]],NETWORKDAYS.INTL(Tasks[[#This Row],[Start]],Tasks[[#This Row],[Finish]],WorkWeek,Holidays),N(Tasks[[#This Row],[_Days]])))</f>
        <v/>
      </c>
    </row>
    <row r="204" customFormat="false" ht="15" hidden="false" customHeight="false" outlineLevel="0" collapsed="false">
      <c r="A204" s="21" t="str">
        <f aca="false">IF(Tasks[[#This Row],[Task Name]]="","",COUNTA(Tasks[[#Headers],[Task Name]]:Tasks[[#This Row],[Task Name]])-1)</f>
        <v/>
      </c>
      <c r="B204" s="22" t="n">
        <v>212</v>
      </c>
      <c r="C204" s="22"/>
      <c r="D204" s="23"/>
      <c r="E204" s="22"/>
      <c r="F204" s="23"/>
      <c r="G204" s="22"/>
      <c r="H204" s="22"/>
      <c r="I204" s="23"/>
      <c r="J204" s="22"/>
      <c r="K204" s="22"/>
      <c r="L204" s="23"/>
      <c r="M204" s="22"/>
      <c r="N204" s="22"/>
      <c r="O204" s="23"/>
      <c r="P204" s="22"/>
      <c r="Q204" s="22"/>
      <c r="R204" s="23"/>
      <c r="S204" s="23"/>
      <c r="T204" s="83"/>
      <c r="U204" s="23"/>
      <c r="V204" s="83"/>
      <c r="W204" s="23"/>
      <c r="X204" s="83"/>
      <c r="Y204" s="23"/>
      <c r="Z204" s="83"/>
      <c r="AA204" s="23"/>
      <c r="AB204" s="23"/>
      <c r="AC204" s="7"/>
      <c r="AD204" s="7"/>
      <c r="AE204" s="62" t="str">
        <f aca="false">IF(Tasks[[#This Row],[Task Name]]="","",IF(Tasks[[#This Row],[_IsSummary]],MIN(INDEX(Tasks[_ShownFcstStart],Tasks[[#This Row],[_Row]]+1):INDEX(Tasks[_ShownFcstStart],Tasks[[#This Row],[_Row]]+Tasks[[#This Row],[_Descendants]])),Tasks[[#This Row],[_ShownFcstStart]]))</f>
        <v/>
      </c>
      <c r="AF204" s="62" t="str">
        <f aca="false">IF(Tasks[[#This Row],[Task Name]]="","",IF(Tasks[[#This Row],[_IsSummary]],MAX(INDEX(Tasks[_ShownFcstFinish],Tasks[[#This Row],[_Row]]+1):INDEX(Tasks[_ShownFcstFinish],Tasks[[#This Row],[_Row]]+Tasks[[#This Row],[_Descendants]])),Tasks[[#This Row],[_ShownFcstFinish]]))</f>
        <v/>
      </c>
      <c r="AG204" s="21" t="str">
        <f aca="false">""</f>
        <v/>
      </c>
      <c r="AH204" s="23"/>
      <c r="AI204"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4" s="7"/>
      <c r="AK204" s="22"/>
      <c r="AL204" s="23"/>
      <c r="AM204" s="7"/>
      <c r="AN204" s="46" t="str">
        <f aca="false">IF(Tasks[[#This Row],[Task Name]]="","",IF(Tasks[[#This Row],[Finish]]&gt;=Tasks[[#This Row],[Planned Finish]],NETWORKDAYS.INTL(Tasks[[#This Row],[Planned Finish]],Tasks[[#This Row],[Finish]],WorkWeek,Holidays)-1,1-NETWORKDAYS.INTL(Tasks[[#This Row],[Finish]],Tasks[[#This Row],[Planned Finish]],WorkWeek,Holidays)))</f>
        <v/>
      </c>
      <c r="AO204" s="21" t="str">
        <f aca="false">IF(Tasks[[#This Row],[Task Name]]="","",IF(Tasks[[#This Row],[Progress]]&gt;=1,"Complete",IF(OR(N(Tasks[[#This Row],[Actual Start]])&gt;0,Tasks[[#This Row],[Progress]]&gt;0),IF(Tasks[[#This Row],[Finish Var]]&gt;0,"Behind","In Progress"),IF(Tasks[[#This Row],[Planned Start]]&lt;StatusDate,"Late Start","Not Started"))))</f>
        <v/>
      </c>
      <c r="AP204" s="21" t="str">
        <f aca="false">IF(Tasks[[#This Row],[Task Name]]="","",IF(IF(Tasks[[#This Row],[_IsSummary]],COUNTIF(INDEX(Tasks[_LeafCritical],Tasks[[#This Row],[_Row]]+1):INDEX(Tasks[_LeafCritical],Tasks[[#This Row],[_Row]]+Tasks[[#This Row],[_Descendants]]),TRUE())&gt;0,Tasks[[#This Row],[_LeafCritical]]),"Yes",""))</f>
        <v/>
      </c>
      <c r="AQ204" s="62" t="str">
        <f aca="false">IF(Tasks[[#This Row],[Task Name]]="","",IF(N(Tasks[[#This Row],[Baseline Start]])&gt;0,Tasks[[#This Row],[Baseline Start]],Tasks[[#This Row],[_CalcStart]]))</f>
        <v/>
      </c>
      <c r="AR204" s="62" t="str">
        <f aca="false">IF(Tasks[[#This Row],[Task Name]]="","",IF(N(Tasks[[#This Row],[Baseline Finish]])&gt;0,Tasks[[#This Row],[Baseline Finish]],Tasks[[#This Row],[_CalcFinish]]))</f>
        <v/>
      </c>
      <c r="AS204" s="46" t="str">
        <f aca="false">IF(Tasks[[#This Row],[Task Name]]="","",IF(Tasks[[#This Row],[Start]]&gt;=Tasks[[#This Row],[Planned Start]],NETWORKDAYS.INTL(Tasks[[#This Row],[Planned Start]],Tasks[[#This Row],[Start]],WorkWeek,Holidays)-1,1-NETWORKDAYS.INTL(Tasks[[#This Row],[Start]],Tasks[[#This Row],[Planned Start]],WorkWeek,Holidays)))</f>
        <v/>
      </c>
      <c r="AT204" s="62" t="str">
        <f aca="false">IF(Tasks[[#This Row],[Task Name]]="","",IF(Tasks[[#This Row],[_IsSummary]],MIN(INDEX(Tasks[_LeafLateStart],Tasks[[#This Row],[_Row]]+1):INDEX(Tasks[_LeafLateStart],Tasks[[#This Row],[_Row]]+Tasks[[#This Row],[_Descendants]])),Tasks[[#This Row],[_LeafLateStart]]))</f>
        <v/>
      </c>
      <c r="AU204" s="62" t="str">
        <f aca="false">IF(Tasks[[#This Row],[Task Name]]="","",IF(Tasks[[#This Row],[_IsSummary]],MAX(INDEX(Tasks[_LeafLateFinish],Tasks[[#This Row],[_Row]]+1):INDEX(Tasks[_LeafLateFinish],Tasks[[#This Row],[_Row]]+Tasks[[#This Row],[_Descendants]])),Tasks[[#This Row],[_LeafLateFinish]]))</f>
        <v/>
      </c>
      <c r="AV204" s="46" t="str">
        <f aca="false">IF(Tasks[[#This Row],[Task Name]]="","",IF(Tasks[[#This Row],[_IsSummary]],MIN(INDEX(Tasks[_LeafTotalSlack],Tasks[[#This Row],[_Row]]+1):INDEX(Tasks[_LeafTotalSlack],Tasks[[#This Row],[_Row]]+Tasks[[#This Row],[_Descendants]])),Tasks[[#This Row],[_LeafTotalSlack]]))</f>
        <v/>
      </c>
      <c r="AW204"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4"/>
      <c r="BA204"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t="str">
        <f aca="false">IF(Tasks[[#This Row],[Task Name]]="","",IF(Tasks[[#This Row],[_Level]]&lt;=OutlineShowLevel,"Yes","No"))</f>
        <v/>
      </c>
      <c r="BE204" s="85" t="str">
        <f aca="false">IF(Tasks[[#This Row],[Task Name]]="","",IF(Tasks[[#This Row],[_IsSummary]],SUM(INDEX(Tasks[_LeafTotalWork],Tasks[[#This Row],[_Row]]+1):INDEX(Tasks[_LeafTotalWork],Tasks[[#This Row],[_Row]]+Tasks[[#This Row],[_Descendants]])),Tasks[[#This Row],[_LeafTotalWork]]))</f>
        <v/>
      </c>
      <c r="BF204" s="23"/>
      <c r="BG204"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t="str">
        <f aca="false">""</f>
        <v/>
      </c>
      <c r="BI204" s="86"/>
      <c r="BJ204" s="22"/>
      <c r="BK204" s="46" t="str">
        <f aca="false">IF(OR(Tasks[[#This Row],[Task Name]]="",Tasks[[#This Row],[Baseline Duration]]=""),"",Tasks[[#This Row],[_SpanDays]]-N(Tasks[[#This Row],[Baseline Duration]]))</f>
        <v/>
      </c>
      <c r="BL204" s="85" t="str">
        <f aca="false">IF(OR(Tasks[[#This Row],[Task Name]]="",Tasks[[#This Row],[Baseline Work]]=""),"",Tasks[[#This Row],[Work]]-N(Tasks[[#This Row],[Baseline Work]]))</f>
        <v/>
      </c>
      <c r="BM204" s="62" t="str">
        <f aca="false">IF(Tasks[[#This Row],[Task Name]]="","",IF(OR(TakeBaseline="Yes",N(Tasks[[#This Row],[Baseline Start]])=0),Tasks[[#This Row],[Start]],Tasks[[#This Row],[Baseline Start]]))</f>
        <v/>
      </c>
      <c r="BN204" s="62" t="str">
        <f aca="false">IF(Tasks[[#This Row],[Task Name]]="","",IF(OR(TakeBaseline="Yes",N(Tasks[[#This Row],[Baseline Finish]])=0),Tasks[[#This Row],[Finish]],Tasks[[#This Row],[Baseline Finish]]))</f>
        <v/>
      </c>
      <c r="BO204" s="21" t="str">
        <f aca="false">IF(Tasks[[#This Row],[Task Name]]="","",IF(OR(TakeBaseline="Yes",N(Tasks[[#This Row],[Baseline Duration]])=0),Tasks[[#This Row],[_SpanDays]],Tasks[[#This Row],[Baseline Duration]]))</f>
        <v/>
      </c>
      <c r="BP204" s="85" t="str">
        <f aca="false">IF(Tasks[[#This Row],[Task Name]]="","",IF(OR(TakeBaseline="Yes",N(Tasks[[#This Row],[Baseline Work]])=0),Tasks[[#This Row],[Work]],Tasks[[#This Row],[Baseline Work]]))</f>
        <v/>
      </c>
      <c r="BQ204" s="7"/>
      <c r="BR204" s="7"/>
      <c r="BS204" s="22"/>
      <c r="BT204" s="87"/>
      <c r="BU204" s="42" t="str">
        <f aca="false">IF(Tasks[[#This Row],[Task Name]]="","",MAX(1,N(Tasks[[#This Row],[Level]])))</f>
        <v/>
      </c>
      <c r="BV204" s="42" t="n">
        <f aca="false">ROW()-ROW(Tasks[[#Headers],[ID]])</f>
        <v>199</v>
      </c>
      <c r="BW204" s="42" t="n">
        <f aca="false">IF(OR(Tasks[[#This Row],[Task Name]]="",Tasks[[#This Row],[_Level]]&lt;=1),0,IFERROR(LOOKUP(2,1/(Tasks[[#Headers],[_Level]]:Tasks[[#This Row],[_Level]]=Tasks[[#This Row],[_Level]]-1),ROW(Tasks[[#Headers],[_Level]]:Tasks[[#This Row],[_Level]])),0))</f>
        <v>0</v>
      </c>
      <c r="BX204" s="42" t="n">
        <f aca="false">IFERROR(N(INDEX(Tasks[_Level],Tasks[[#This Row],[_Row]]+1)),0)</f>
        <v>0</v>
      </c>
      <c r="BY204" s="88" t="b">
        <f aca="false">AND(Tasks[[#This Row],[Task Name]]&lt;&gt;"",Tasks[[#This Row],[_NextLevel]]&gt;Tasks[[#This Row],[_Level]])</f>
        <v>0</v>
      </c>
      <c r="BZ204" s="42" t="n">
        <f aca="false">IF(Tasks[[#This Row],[_IsSummary]],COUNTIF(Tasks[WBS],Tasks[[#This Row],[WBS]]&amp;".*"),0)</f>
        <v>0</v>
      </c>
      <c r="CA204" s="42" t="n">
        <f aca="false">IF(AND(Tasks[[#This Row],[Task Name]]&lt;&gt;"",NOT(Tasks[[#This Row],[_IsSummary]])),1,0)</f>
        <v>0</v>
      </c>
      <c r="CB204" s="42" t="n">
        <f aca="false">IF(N(Tasks[[#This Row],[_Pred1UID]])=0,0,IFERROR(MATCH(Tasks[[#This Row],[_Pred1UID]],Tasks[UID],0),-1))</f>
        <v>0</v>
      </c>
      <c r="CC204" s="42" t="n">
        <f aca="false">IF(N(Tasks[[#This Row],[_Pred2UID]])=0,0,IFERROR(MATCH(Tasks[[#This Row],[_Pred2UID]],Tasks[UID],0),-1))</f>
        <v>0</v>
      </c>
      <c r="CD204" s="42" t="n">
        <f aca="false">IF(N(Tasks[[#This Row],[_Pred3UID]])=0,0,IFERROR(MATCH(Tasks[[#This Row],[_Pred3UID]],Tasks[UID],0),-1))</f>
        <v>0</v>
      </c>
      <c r="CE204" s="42" t="n">
        <f aca="false">IF(N(Tasks[[#This Row],[_Pred4UID]])=0,0,IFERROR(MATCH(Tasks[[#This Row],[_Pred4UID]],Tasks[UID],0),-1))</f>
        <v>0</v>
      </c>
      <c r="CF204"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4"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4" s="89" t="n">
        <f aca="false">IF(OR(Tasks[[#This Row],[_ConstraintCode]]=2,Tasks[[#This Row],[_ConstraintCode]]=3,Tasks[[#This Row],[_ConstraintCode]]=4,Tasks[[#This Row],[_ConstraintCode]]=6),Tasks[[#This Row],[_ConstraintStart]],0)</f>
        <v>0</v>
      </c>
      <c r="CI204" s="89" t="n">
        <f aca="false">IF(OR(Tasks[[#This Row],[_ConstraintCode]]=2,Tasks[[#This Row],[_ConstraintCode]]=3,Tasks[[#This Row],[_ConstraintCode]]=5,Tasks[[#This Row],[_ConstraintCode]]=7),Tasks[[#This Row],[_ConstraintStart]],2958465)</f>
        <v>2958465</v>
      </c>
      <c r="CJ204"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4" s="89" t="str">
        <f aca="false">IF(NOT(Tasks[[#This Row],[_IsLeaf]]=1),"",IF(N(Tasks[[#This Row],[_Days]])&lt;=0,Tasks[[#This Row],[_LeafCalcStart]],WORKDAY.INTL(Tasks[[#This Row],[_LeafCalcStart]],Tasks[[#This Row],[_Days]]-1,WorkWeek,Holidays)))</f>
        <v/>
      </c>
      <c r="CL204"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4"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4" s="42" t="str">
        <f aca="false">IF(Tasks[[#This Row],[_Predecessors]]="","",TRIM(MID(SUBSTITUTE(SUBSTITUTE(SUBSTITUTE(UPPER(Tasks[[#This Row],[_Predecessors]]),";",",")," ",""),",",REPT(" ",99)),1,99)))</f>
        <v/>
      </c>
      <c r="CO204" s="42" t="str">
        <f aca="false">IF(Tasks[[#This Row],[_Pred1Text]]="","",IFERROR(VALUE(LEFT(Tasks[[#This Row],[_Pred1Text]],MIN(FIND("F",Tasks[[#This Row],[_Pred1Text]]&amp;"F"),FIND("S",Tasks[[#This Row],[_Pred1Text]]&amp;"S"),FIND("+",Tasks[[#This Row],[_Pred1Text]]&amp;"+"),FIND("-",Tasks[[#This Row],[_Pred1Text]]&amp;"-"))-1)),""))</f>
        <v/>
      </c>
      <c r="CP204"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4"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4" s="42" t="str">
        <f aca="false">IF(Tasks[[#This Row],[_Pred1Text]]="","",TRIM(MID(SUBSTITUTE(SUBSTITUTE(SUBSTITUTE(UPPER(Tasks[[#This Row],[_Predecessors]]),";",",")," ",""),",",REPT(" ",99)),100,99)))</f>
        <v/>
      </c>
      <c r="CS204" s="42" t="str">
        <f aca="false">IF(Tasks[[#This Row],[_Pred2Text]]="","",IFERROR(VALUE(LEFT(Tasks[[#This Row],[_Pred2Text]],MIN(FIND("F",Tasks[[#This Row],[_Pred2Text]]&amp;"F"),FIND("S",Tasks[[#This Row],[_Pred2Text]]&amp;"S"),FIND("+",Tasks[[#This Row],[_Pred2Text]]&amp;"+"),FIND("-",Tasks[[#This Row],[_Pred2Text]]&amp;"-"))-1)),""))</f>
        <v/>
      </c>
      <c r="CT204"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4"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4" s="42" t="str">
        <f aca="false">IF(Tasks[[#This Row],[_Pred2Text]]="","",TRIM(MID(SUBSTITUTE(SUBSTITUTE(SUBSTITUTE(UPPER(Tasks[[#This Row],[_Predecessors]]),";",",")," ",""),",",REPT(" ",99)),199,99)))</f>
        <v/>
      </c>
      <c r="CW204" s="42" t="str">
        <f aca="false">IF(Tasks[[#This Row],[_Pred3Text]]="","",IFERROR(VALUE(LEFT(Tasks[[#This Row],[_Pred3Text]],MIN(FIND("F",Tasks[[#This Row],[_Pred3Text]]&amp;"F"),FIND("S",Tasks[[#This Row],[_Pred3Text]]&amp;"S"),FIND("+",Tasks[[#This Row],[_Pred3Text]]&amp;"+"),FIND("-",Tasks[[#This Row],[_Pred3Text]]&amp;"-"))-1)),""))</f>
        <v/>
      </c>
      <c r="CX204"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4"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4" s="42" t="str">
        <f aca="false">IF(Tasks[[#This Row],[_Pred3Text]]="","",TRIM(MID(SUBSTITUTE(SUBSTITUTE(SUBSTITUTE(UPPER(Tasks[[#This Row],[_Predecessors]]),";",",")," ",""),",",REPT(" ",99)),298,99)))</f>
        <v/>
      </c>
      <c r="DA204" s="42" t="str">
        <f aca="false">IF(Tasks[[#This Row],[_Pred4Text]]="","",IFERROR(VALUE(LEFT(Tasks[[#This Row],[_Pred4Text]],MIN(FIND("F",Tasks[[#This Row],[_Pred4Text]]&amp;"F"),FIND("S",Tasks[[#This Row],[_Pred4Text]]&amp;"S"),FIND("+",Tasks[[#This Row],[_Pred4Text]]&amp;"+"),FIND("-",Tasks[[#This Row],[_Pred4Text]]&amp;"-"))-1)),""))</f>
        <v/>
      </c>
      <c r="DB204"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4"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4" s="42" t="str">
        <f aca="false">IF(OR(Tasks[[#This Row],[Task Name]]="",Tasks[[#This Row],[_Resources]]=""),"",TRIM(MID(SUBSTITUTE(Tasks[[#This Row],[_Resources]],",",REPT(" ",99)),1,99)))</f>
        <v/>
      </c>
      <c r="DE204" s="42" t="str">
        <f aca="false">IF(Tasks[[#This Row],[_Res1Text]]="","",TRIM(MID(SUBSTITUTE(Tasks[[#This Row],[_Resources]],",",REPT(" ",99)),100,99)))</f>
        <v/>
      </c>
      <c r="DF204" s="42" t="str">
        <f aca="false">IF(Tasks[[#This Row],[_Res2Text]]="","",TRIM(MID(SUBSTITUTE(Tasks[[#This Row],[_Resources]],",",REPT(" ",99)),199,99)))</f>
        <v/>
      </c>
      <c r="DG204" s="42" t="str">
        <f aca="false">IF(Tasks[[#This Row],[_Res3Text]]="","",TRIM(MID(SUBSTITUTE(Tasks[[#This Row],[_Resources]],",",REPT(" ",99)),298,99)))</f>
        <v/>
      </c>
      <c r="DH204" s="42" t="n">
        <f aca="false">IF(Tasks[[#This Row],[_Res1Text]]="",0,IFERROR(MATCH(TRIM(LEFT(Tasks[[#This Row],[_Res1Text]],FIND("[",Tasks[[#This Row],[_Res1Text]]&amp;"[")-1)),res_Name,0),IFERROR(MATCH(TRIM(LEFT(Tasks[[#This Row],[_Res1Text]],FIND("[",Tasks[[#This Row],[_Res1Text]]&amp;"[")-1)),res_Initials,0),0)))</f>
        <v>0</v>
      </c>
      <c r="DI204" s="42" t="n">
        <f aca="false">IF(Tasks[[#This Row],[_Res2Text]]="",0,IFERROR(MATCH(TRIM(LEFT(Tasks[[#This Row],[_Res2Text]],FIND("[",Tasks[[#This Row],[_Res2Text]]&amp;"[")-1)),res_Name,0),IFERROR(MATCH(TRIM(LEFT(Tasks[[#This Row],[_Res2Text]],FIND("[",Tasks[[#This Row],[_Res2Text]]&amp;"[")-1)),res_Initials,0),0)))</f>
        <v>0</v>
      </c>
      <c r="DJ204" s="42" t="n">
        <f aca="false">IF(Tasks[[#This Row],[_Res3Text]]="",0,IFERROR(MATCH(TRIM(LEFT(Tasks[[#This Row],[_Res3Text]],FIND("[",Tasks[[#This Row],[_Res3Text]]&amp;"[")-1)),res_Name,0),IFERROR(MATCH(TRIM(LEFT(Tasks[[#This Row],[_Res3Text]],FIND("[",Tasks[[#This Row],[_Res3Text]]&amp;"[")-1)),res_Initials,0),0)))</f>
        <v>0</v>
      </c>
      <c r="DK204" s="42" t="n">
        <f aca="false">IF(Tasks[[#This Row],[_Res4Text]]="",0,IFERROR(MATCH(TRIM(LEFT(Tasks[[#This Row],[_Res4Text]],FIND("[",Tasks[[#This Row],[_Res4Text]]&amp;"[")-1)),res_Name,0),IFERROR(MATCH(TRIM(LEFT(Tasks[[#This Row],[_Res4Text]],FIND("[",Tasks[[#This Row],[_Res4Text]]&amp;"[")-1)),res_Initials,0),0)))</f>
        <v>0</v>
      </c>
      <c r="DL204" s="42" t="str">
        <f aca="false">IF(Tasks[[#This Row],[_Res1Text]]="","",IF(Tasks[[#This Row],[_Res1Row]]&gt;0,INDEX(res_Name,Tasks[[#This Row],[_Res1Row]]),TRIM(LEFT(Tasks[[#This Row],[_Res1Text]],FIND("[",Tasks[[#This Row],[_Res1Text]]&amp;"[")-1))))</f>
        <v/>
      </c>
      <c r="DM204"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4" s="42" t="n">
        <f aca="false">IF(NOT(Tasks[[#This Row],[_IsLeaf]]=1),0,(Tasks[[#This Row],[_Resource1]]&lt;&gt;"")+(Tasks[[#This Row],[_Res2]]&lt;&gt;"")+(Tasks[[#This Row],[_Res3]]&lt;&gt;"")+(Tasks[[#This Row],[_Res4]]&lt;&gt;""))</f>
        <v>0</v>
      </c>
      <c r="DO204" s="42" t="str">
        <f aca="false">IF(Tasks[[#This Row],[_Res2Text]]="","",IF(Tasks[[#This Row],[_Res2Row]]&gt;0,INDEX(res_Name,Tasks[[#This Row],[_Res2Row]]),TRIM(LEFT(Tasks[[#This Row],[_Res2Text]],FIND("[",Tasks[[#This Row],[_Res2Text]]&amp;"[")-1))))</f>
        <v/>
      </c>
      <c r="DP204"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4" s="42" t="n">
        <f aca="false">IF(OR(NOT(Tasks[[#This Row],[_IsLeaf]]=1),Tasks[[#This Row],[_Res2Row]]=0),0,N(Tasks[[#This Row],[_Days]])*HoursPerDay*IF(Tasks[[#This Row],[_Res2Units]]="",DefaultUnits,Tasks[[#This Row],[_Res2Units]]))</f>
        <v>0</v>
      </c>
      <c r="DR204" s="42" t="n">
        <f aca="false">IF(AND(AND(Tasks[[#This Row],[_IsLeaf]]=1,Tasks[[#This Row],[_LeafTotalWork]]&gt;0),Tasks[[#This Row],[_Res2Work]]&gt;0),Tasks[[#This Row],[_Res2Work]]/(Tasks[[#This Row],[_FinishWorkday]]-Tasks[[#This Row],[_StartWorkday]]+1),0)</f>
        <v>0</v>
      </c>
      <c r="DS204" s="42" t="n">
        <f aca="false">Tasks[[#This Row],[_Res2WorkPerWD]]*MAX(0,Tasks[[#This Row],[_StartWorkday]]-1)</f>
        <v>0</v>
      </c>
      <c r="DT204" s="42" t="n">
        <f aca="false">Tasks[[#This Row],[_Res2Work]]*Tasks[[#This Row],[_LeafProgress]]</f>
        <v>0</v>
      </c>
      <c r="DU204" s="42" t="str">
        <f aca="false">IF(Tasks[[#This Row],[_Res3Text]]="","",IF(Tasks[[#This Row],[_Res3Row]]&gt;0,INDEX(res_Name,Tasks[[#This Row],[_Res3Row]]),TRIM(LEFT(Tasks[[#This Row],[_Res3Text]],FIND("[",Tasks[[#This Row],[_Res3Text]]&amp;"[")-1))))</f>
        <v/>
      </c>
      <c r="DV204"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4" s="42" t="n">
        <f aca="false">IF(OR(NOT(Tasks[[#This Row],[_IsLeaf]]=1),Tasks[[#This Row],[_Res3Row]]=0),0,N(Tasks[[#This Row],[_Days]])*HoursPerDay*IF(Tasks[[#This Row],[_Res3Units]]="",DefaultUnits,Tasks[[#This Row],[_Res3Units]]))</f>
        <v>0</v>
      </c>
      <c r="DX204" s="42" t="n">
        <f aca="false">IF(AND(AND(Tasks[[#This Row],[_IsLeaf]]=1,Tasks[[#This Row],[_LeafTotalWork]]&gt;0),Tasks[[#This Row],[_Res3Work]]&gt;0),Tasks[[#This Row],[_Res3Work]]/(Tasks[[#This Row],[_FinishWorkday]]-Tasks[[#This Row],[_StartWorkday]]+1),0)</f>
        <v>0</v>
      </c>
      <c r="DY204" s="42" t="n">
        <f aca="false">Tasks[[#This Row],[_Res3WorkPerWD]]*MAX(0,Tasks[[#This Row],[_StartWorkday]]-1)</f>
        <v>0</v>
      </c>
      <c r="DZ204" s="42" t="n">
        <f aca="false">Tasks[[#This Row],[_Res3Work]]*Tasks[[#This Row],[_LeafProgress]]</f>
        <v>0</v>
      </c>
      <c r="EA204" s="42" t="str">
        <f aca="false">IF(Tasks[[#This Row],[_Res4Text]]="","",IF(Tasks[[#This Row],[_Res4Row]]&gt;0,INDEX(res_Name,Tasks[[#This Row],[_Res4Row]]),TRIM(LEFT(Tasks[[#This Row],[_Res4Text]],FIND("[",Tasks[[#This Row],[_Res4Text]]&amp;"[")-1))))</f>
        <v/>
      </c>
      <c r="EB204"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4" s="42" t="n">
        <f aca="false">IF(OR(NOT(Tasks[[#This Row],[_IsLeaf]]=1),Tasks[[#This Row],[_Res4Row]]=0),0,N(Tasks[[#This Row],[_Days]])*HoursPerDay*IF(Tasks[[#This Row],[_Res4Units]]="",DefaultUnits,Tasks[[#This Row],[_Res4Units]]))</f>
        <v>0</v>
      </c>
      <c r="ED204" s="42" t="n">
        <f aca="false">IF(AND(AND(Tasks[[#This Row],[_IsLeaf]]=1,Tasks[[#This Row],[_LeafTotalWork]]&gt;0),Tasks[[#This Row],[_Res4Work]]&gt;0),Tasks[[#This Row],[_Res4Work]]/(Tasks[[#This Row],[_FinishWorkday]]-Tasks[[#This Row],[_StartWorkday]]+1),0)</f>
        <v>0</v>
      </c>
      <c r="EE204" s="42" t="n">
        <f aca="false">Tasks[[#This Row],[_Res4WorkPerWD]]*MAX(0,Tasks[[#This Row],[_StartWorkday]]-1)</f>
        <v>0</v>
      </c>
      <c r="EF204" s="42" t="n">
        <f aca="false">Tasks[[#This Row],[_Res4Work]]*Tasks[[#This Row],[_LeafProgress]]</f>
        <v>0</v>
      </c>
      <c r="EG204" s="42" t="n">
        <f aca="false">IF(ISNUMBER(Tasks[[#This Row],[% Complete]]),Tasks[[#This Row],[% Complete]],IF(Tasks[[#This Row],[Stage]]="",0,IFERROR(INDEX(stg_Pct,MATCH(Tasks[[#This Row],[Stage]],stg_Name,0)),0)))</f>
        <v>0</v>
      </c>
      <c r="EH204" s="42" t="n">
        <f aca="false">IF(NOT(Tasks[[#This Row],[_IsLeaf]]=1),0,IF(N(Tasks[[#This Row],[Actual Finish]])&gt;0,1,MIN(1,Tasks[[#This Row],[_Pct]])))</f>
        <v>0</v>
      </c>
      <c r="EI204" s="42" t="n">
        <f aca="false">IF(OR(NOT(Tasks[[#This Row],[_IsLeaf]]=1),Tasks[[#This Row],[_Res1Row]]=0),0,N(Tasks[[#This Row],[_Days]])*HoursPerDay*IF(Tasks[[#This Row],[_Units1]]="",DefaultUnits,Tasks[[#This Row],[_Units1]]))</f>
        <v>0</v>
      </c>
      <c r="EJ204" s="42" t="n">
        <f aca="false">Tasks[[#This Row],[_LeafWork]]+Tasks[[#This Row],[_Res2Work]]+Tasks[[#This Row],[_Res3Work]]+Tasks[[#This Row],[_Res4Work]]</f>
        <v>0</v>
      </c>
      <c r="EK204"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4"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4"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4"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4"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4"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4"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4"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4" s="42" t="n">
        <f aca="false">IF(NOT(Tasks[[#This Row],[_IsLeaf]]=1),0,MAX(_xlfn.MAXIFS(Tasks[_Row],Tasks[_Pred1UID],Tasks[[#This Row],[UID]]),_xlfn.MAXIFS(Tasks[_Row],Tasks[_Pred2UID],Tasks[[#This Row],[UID]]),_xlfn.MAXIFS(Tasks[_Row],Tasks[_Pred3UID],Tasks[[#This Row],[UID]]),_xlfn.MAXIFS(Tasks[_Row],Tasks[_Pred4UID],Tasks[[#This Row],[UID]])))</f>
        <v>0</v>
      </c>
      <c r="ET204"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4"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4" s="89" t="str">
        <f aca="false">IF(NOT(Tasks[[#This Row],[_IsLeaf]]=1),"",IF(N(Tasks[[#This Row],[_Days]])&lt;=0,Tasks[[#This Row],[_LeafLateFinish]],WORKDAY.INTL(Tasks[[#This Row],[_LeafLateFinish]],-(Tasks[[#This Row],[_Days]]-1),WorkWeek,Holidays)))</f>
        <v/>
      </c>
      <c r="EW204"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4" s="88" t="b">
        <f aca="false">AND(Tasks[[#This Row],[_IsLeaf]]=1,Tasks[[#This Row],[_LeafProgress]]&lt;1,N(Tasks[[#This Row],[_LeafTotalSlack]])&lt;=CriticalSlackDays)</f>
        <v>0</v>
      </c>
      <c r="EY204" s="42" t="n">
        <f aca="false">IF(AND(Tasks[[#This Row],[_IsLeaf]]=1,Tasks[[#This Row],[_ConstraintCode]]=1,Tasks[[#This Row],[Mode]]&lt;&gt;"Manual",N(Tasks[[#This Row],[Actual Start]])=0),MAX(0,N(Tasks[[#This Row],[Free Slack]])),0)</f>
        <v>0</v>
      </c>
      <c r="EZ204" s="89" t="str">
        <f aca="false">IF(NOT(Tasks[[#This Row],[_IsLeaf]]=1),"",IF(Tasks[[#This Row],[_AlapShift]]=0,Tasks[[#This Row],[_LeafCalcStart]],WORKDAY.INTL(Tasks[[#This Row],[_LeafCalcStart]],Tasks[[#This Row],[_AlapShift]],WorkWeek,Holidays)))</f>
        <v/>
      </c>
      <c r="FA204" s="89" t="str">
        <f aca="false">IF(NOT(Tasks[[#This Row],[_IsLeaf]]=1),"",IF(Tasks[[#This Row],[_AlapShift]]=0,Tasks[[#This Row],[_LeafCalcFinish]],WORKDAY.INTL(Tasks[[#This Row],[_LeafCalcFinish]],Tasks[[#This Row],[_AlapShift]],WorkWeek,Holidays)))</f>
        <v/>
      </c>
      <c r="FB204" s="89" t="str">
        <f aca="false">IF(NOT(Tasks[[#This Row],[_IsLeaf]]=1),"",IF(Tasks[[#This Row],[_AlapShift]]=0,Tasks[[#This Row],[_LeafFcstStart]],WORKDAY.INTL(Tasks[[#This Row],[_LeafFcstStart]],Tasks[[#This Row],[_AlapShift]],WorkWeek,Holidays)))</f>
        <v/>
      </c>
      <c r="FC204" s="89" t="str">
        <f aca="false">IF(NOT(Tasks[[#This Row],[_IsLeaf]]=1),"",IF(Tasks[[#This Row],[_AlapShift]]=0,Tasks[[#This Row],[_LeafFcstFinish]],WORKDAY.INTL(Tasks[[#This Row],[_LeafFcstFinish]],Tasks[[#This Row],[_AlapShift]],WorkWeek,Holidays)))</f>
        <v/>
      </c>
      <c r="FD204" s="89" t="str">
        <f aca="false">IF(Tasks[[#This Row],[Task Name]]="","",IF(Tasks[[#This Row],[_IsSummary]],MIN(INDEX(Tasks[_ShownCalcStart],Tasks[[#This Row],[_Row]]+1):INDEX(Tasks[_ShownCalcStart],Tasks[[#This Row],[_Row]]+Tasks[[#This Row],[_Descendants]])),Tasks[[#This Row],[_ShownCalcStart]]))</f>
        <v/>
      </c>
      <c r="FE204" s="89" t="str">
        <f aca="false">IF(Tasks[[#This Row],[Task Name]]="","",IF(Tasks[[#This Row],[_IsSummary]],MAX(INDEX(Tasks[_ShownCalcFinish],Tasks[[#This Row],[_Row]]+1):INDEX(Tasks[_ShownCalcFinish],Tasks[[#This Row],[_Row]]+Tasks[[#This Row],[_Descendants]])),Tasks[[#This Row],[_ShownCalcFinish]]))</f>
        <v/>
      </c>
      <c r="FF204"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4"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4"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4"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4"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4"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4"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4"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4"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4"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4"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4"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4" s="42" t="n">
        <f aca="false">IF(AND(Tasks[[#This Row],[_IsLeaf]]=1,Tasks[[#This Row],[_LeafTotalWork]]&gt;0),NETWORKDAYS.INTL(ProjectStart,Tasks[[#This Row],[_ShownFcstStart]],WorkWeek,Holidays),0)</f>
        <v>0</v>
      </c>
      <c r="FS204" s="42" t="n">
        <f aca="false">IF(AND(Tasks[[#This Row],[_IsLeaf]]=1,Tasks[[#This Row],[_LeafTotalWork]]&gt;0),MAX(Tasks[[#This Row],[_StartWorkday]],NETWORKDAYS.INTL(ProjectStart,Tasks[[#This Row],[_ShownFcstFinish]],WorkWeek,Holidays)),0)</f>
        <v>0</v>
      </c>
      <c r="FT204" s="42" t="n">
        <f aca="false">IF(AND(Tasks[[#This Row],[_IsLeaf]]=1,Tasks[[#This Row],[_LeafTotalWork]]&gt;0),Tasks[[#This Row],[_LeafWork]]/(Tasks[[#This Row],[_FinishWorkday]]-Tasks[[#This Row],[_StartWorkday]]+1),0)</f>
        <v>0</v>
      </c>
      <c r="FU204" s="42" t="n">
        <f aca="false">Tasks[[#This Row],[_WorkPerWorkday]]*(Tasks[[#This Row],[_StartWorkday]]-1)</f>
        <v>-0</v>
      </c>
      <c r="FV204" s="42" t="n">
        <f aca="false">IF(Tasks[[#This Row],[_IsLeaf]]=1,MAX(N(Tasks[[#This Row],[_Days]]),0.1),0)</f>
        <v>0</v>
      </c>
      <c r="FW204" s="42" t="n">
        <f aca="false">Tasks[[#This Row],[_WeightDur]]*Tasks[[#This Row],[_LeafProgress]]</f>
        <v>0</v>
      </c>
      <c r="FX204" s="42" t="n">
        <f aca="false">Tasks[[#This Row],[_WeightDur]]*Tasks[[#This Row],[_PlannedPct]]</f>
        <v>0</v>
      </c>
      <c r="FY204"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4" s="42" t="str">
        <f aca="false">IF(AND(Tasks[[#This Row],[_IsLeaf]]=1,N(Tasks[[#This Row],[_Days]])=0,Tasks[[#This Row],[_LeafProgress]]&lt;1),Tasks[[#This Row],[_ShownFcstFinish]]+Tasks[[#This Row],[_Row]]/100000,"")</f>
        <v/>
      </c>
      <c r="GA204"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4" s="42" t="str">
        <f aca="false">IF(Tasks[[#This Row],[Task Name]]="","",LEFT(Tasks[[#This Row],[WBS]],FIND(".",Tasks[[#This Row],[WBS]]&amp;".")-1))</f>
        <v/>
      </c>
      <c r="GC204" s="42" t="str">
        <f aca="false">IF(AND(Tasks[[#This Row],[Task Name]]&lt;&gt;"",Tasks[[#This Row],[_Level]]=1),Tasks[[#This Row],[_Row]],"")</f>
        <v/>
      </c>
      <c r="GD204" s="42" t="str">
        <f aca="false">IF(AND(Tasks[[#This Row],[_IsLeaf]]=1,N(Tasks[[#This Row],[_Days]])=0),Tasks[[#This Row],[Planned Finish]]+Tasks[[#This Row],[_Row]]/100000,"")</f>
        <v/>
      </c>
      <c r="GE204" s="42" t="str">
        <f aca="false">IF(AND(Tasks[[#This Row],[_IsLeaf]]=1,Tasks[[#This Row],[_LeafProgress]]&lt;1,OR(N(Tasks[[#This Row],[Finish Var]])&gt;0,Tasks[[#This Row],[Status]]="Late Start")),MAX(0,Tasks[[#This Row],[Finish Var]])+1-Tasks[[#This Row],[_Row]]/1000000,"")</f>
        <v/>
      </c>
      <c r="GF204" s="42" t="str">
        <f aca="false">IF(AND(Tasks[[#This Row],[_IsLeaf]]=1,N(Tasks[[#This Row],[Actual Start]])=0,Tasks[[#This Row],[_ShownFcstStart]]&gt;=StatusDate,Tasks[[#This Row],[_ShownFcstStart]]&lt;=LookaheadEnd),Tasks[[#This Row],[_ShownFcstStart]]+Tasks[[#This Row],[_Row]]/100000,"")</f>
        <v/>
      </c>
      <c r="GG204" s="42" t="str">
        <f aca="false">IF(AND(Tasks[[#This Row],[_IsLeaf]]=1,Tasks[[#This Row],[_LeafProgress]]&lt;1,Tasks[[#This Row],[_ShownFcstFinish]]&gt;=StatusDate,Tasks[[#This Row],[_ShownFcstFinish]]&lt;=LookaheadEnd),Tasks[[#This Row],[_ShownFcstFinish]]+Tasks[[#This Row],[_Row]]/100000,"")</f>
        <v/>
      </c>
      <c r="GH204" s="42" t="str">
        <f aca="false">IF(Tasks[[#This Row],[_LeafCritical]],Tasks[[#This Row],[_ShownFcstStart]]+Tasks[[#This Row],[_Row]]/100000,"")</f>
        <v/>
      </c>
      <c r="GI204" s="42" t="n">
        <f aca="false">Tasks[[#This Row],[_LeafWork]]*Tasks[[#This Row],[_LeafProgress]]</f>
        <v>0</v>
      </c>
      <c r="GJ204" s="89" t="str">
        <f aca="false">IF(AND(Tasks[[#This Row],[_IsLeaf]]=1,Tasks[[#This Row],[_LeafProgress]]&gt;=1),IF(N(Tasks[[#This Row],[Actual Finish]])&gt;0,Tasks[[#This Row],[Actual Finish]],Tasks[[#This Row],[_ShownFcstFinish]]),"")</f>
        <v/>
      </c>
      <c r="GK204" s="42" t="n">
        <f aca="false">IF(Tasks[[#This Row],[_IsLeaf]]=1,N(Tasks[[#This Row],[Story Points]]),0)</f>
        <v>0</v>
      </c>
      <c r="GL204" s="42" t="str">
        <f aca="false">""</f>
        <v/>
      </c>
      <c r="GM204" s="88" t="b">
        <f aca="false">IF(Tasks[[#This Row],[Task Name]]="",FALSE(),AND(Tasks[[#This Row],[_IsLeaf]]=1,N(Tasks[[#This Row],[_Days]])=0))</f>
        <v>0</v>
      </c>
      <c r="GN204" s="89" t="n">
        <f aca="false">IF(Tasks[[#This Row],[Task Name]]="",0,IF(AND(Tasks[[#This Row],[_IsLeaf]]=1,NOT(Tasks[[#This Row],[_IsMilestone]]),N(Tasks[[#This Row],[Progress]])&gt;0),Tasks[[#This Row],[Start]],0))</f>
        <v>0</v>
      </c>
      <c r="GO204" s="89" t="n">
        <f aca="false">IF(Tasks[[#This Row],[_DoneFrom]]=0,0,IF(Tasks[[#This Row],[Progress]]&gt;=1,Tasks[[#This Row],[Finish]],MAX(Tasks[[#This Row],[_DoneFrom]],Tasks[[#This Row],[Start]]+ROUND((Tasks[[#This Row],[Finish]]-Tasks[[#This Row],[Start]]+1)*Tasks[[#This Row],[Progress]],0)-1)))</f>
        <v>0</v>
      </c>
      <c r="GP204" s="89" t="n">
        <f aca="false">IF(Tasks[[#This Row],[Task Name]]="",0,IF(OR(NOT(Tasks[[#This Row],[_IsLeaf]]=1),Tasks[[#This Row],[_IsMilestone]],N(Tasks[[#This Row],[Progress]])&gt;=1),0,IF(Tasks[[#This Row],[_DoneTo]]&gt;0,Tasks[[#This Row],[_DoneTo]]+1,Tasks[[#This Row],[Start]])))</f>
        <v>0</v>
      </c>
      <c r="GQ204" s="89" t="n">
        <f aca="false">IF(Tasks[[#This Row],[_RemFrom]]=0,0,Tasks[[#This Row],[Finish]])</f>
        <v>0</v>
      </c>
      <c r="GR204" s="88" t="b">
        <f aca="false">IF(Tasks[[#This Row],[Task Name]]="",FALSE(),OR(NOT(BaselineSet),N(Tasks[[#This Row],[Baseline Start]])&gt;0))</f>
        <v>0</v>
      </c>
      <c r="GS204"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4"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4"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4" s="90" t="str">
        <f aca="false">IF(Tasks[[#This Row],[_IsLeaf]]=1,Tasks[[#This Row],[_Row]],"")</f>
        <v/>
      </c>
      <c r="GW204" s="90" t="str">
        <f aca="false">IFERROR(INDEX(Tasks[UID],SMALL(Tasks[_PickKey],Tasks[[#This Row],[_Row]]))&amp;" "&amp;INDEX(Tasks[Task Name],SMALL(Tasks[_PickKey],Tasks[[#This Row],[_Row]])),"")</f>
        <v/>
      </c>
      <c r="GX204" s="42" t="str">
        <f aca="false">IF(Tasks[[#This Row],[Task Name]]="","",IF(Tasks[[#This Row],[_IsSummary]],NETWORKDAYS.INTL(Tasks[[#This Row],[Start]],Tasks[[#This Row],[Finish]],WorkWeek,Holidays),N(Tasks[[#This Row],[_Days]])))</f>
        <v/>
      </c>
    </row>
    <row r="205" customFormat="false" ht="15" hidden="false" customHeight="false" outlineLevel="0" collapsed="false">
      <c r="A205" s="21" t="str">
        <f aca="false">IF(Tasks[[#This Row],[Task Name]]="","",COUNTA(Tasks[[#Headers],[Task Name]]:Tasks[[#This Row],[Task Name]])-1)</f>
        <v/>
      </c>
      <c r="B205" s="22" t="n">
        <v>213</v>
      </c>
      <c r="C205" s="22"/>
      <c r="D205" s="23"/>
      <c r="E205" s="22"/>
      <c r="F205" s="23"/>
      <c r="G205" s="22"/>
      <c r="H205" s="22"/>
      <c r="I205" s="23"/>
      <c r="J205" s="22"/>
      <c r="K205" s="22"/>
      <c r="L205" s="23"/>
      <c r="M205" s="22"/>
      <c r="N205" s="22"/>
      <c r="O205" s="23"/>
      <c r="P205" s="22"/>
      <c r="Q205" s="22"/>
      <c r="R205" s="23"/>
      <c r="S205" s="23"/>
      <c r="T205" s="83"/>
      <c r="U205" s="23"/>
      <c r="V205" s="83"/>
      <c r="W205" s="23"/>
      <c r="X205" s="83"/>
      <c r="Y205" s="23"/>
      <c r="Z205" s="83"/>
      <c r="AA205" s="23"/>
      <c r="AB205" s="23"/>
      <c r="AC205" s="7"/>
      <c r="AD205" s="7"/>
      <c r="AE205" s="62" t="str">
        <f aca="false">IF(Tasks[[#This Row],[Task Name]]="","",IF(Tasks[[#This Row],[_IsSummary]],MIN(INDEX(Tasks[_ShownFcstStart],Tasks[[#This Row],[_Row]]+1):INDEX(Tasks[_ShownFcstStart],Tasks[[#This Row],[_Row]]+Tasks[[#This Row],[_Descendants]])),Tasks[[#This Row],[_ShownFcstStart]]))</f>
        <v/>
      </c>
      <c r="AF205" s="62" t="str">
        <f aca="false">IF(Tasks[[#This Row],[Task Name]]="","",IF(Tasks[[#This Row],[_IsSummary]],MAX(INDEX(Tasks[_ShownFcstFinish],Tasks[[#This Row],[_Row]]+1):INDEX(Tasks[_ShownFcstFinish],Tasks[[#This Row],[_Row]]+Tasks[[#This Row],[_Descendants]])),Tasks[[#This Row],[_ShownFcstFinish]]))</f>
        <v/>
      </c>
      <c r="AG205" s="21" t="str">
        <f aca="false">""</f>
        <v/>
      </c>
      <c r="AH205" s="23"/>
      <c r="AI205" s="2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f>
        <v/>
      </c>
      <c r="AJ205" s="7"/>
      <c r="AK205" s="22"/>
      <c r="AL205" s="23"/>
      <c r="AM205" s="7"/>
      <c r="AN205" s="46" t="str">
        <f aca="false">IF(Tasks[[#This Row],[Task Name]]="","",IF(Tasks[[#This Row],[Finish]]&gt;=Tasks[[#This Row],[Planned Finish]],NETWORKDAYS.INTL(Tasks[[#This Row],[Planned Finish]],Tasks[[#This Row],[Finish]],WorkWeek,Holidays)-1,1-NETWORKDAYS.INTL(Tasks[[#This Row],[Finish]],Tasks[[#This Row],[Planned Finish]],WorkWeek,Holidays)))</f>
        <v/>
      </c>
      <c r="AO205" s="21" t="str">
        <f aca="false">IF(Tasks[[#This Row],[Task Name]]="","",IF(Tasks[[#This Row],[Progress]]&gt;=1,"Complete",IF(OR(N(Tasks[[#This Row],[Actual Start]])&gt;0,Tasks[[#This Row],[Progress]]&gt;0),IF(Tasks[[#This Row],[Finish Var]]&gt;0,"Behind","In Progress"),IF(Tasks[[#This Row],[Planned Start]]&lt;StatusDate,"Late Start","Not Started"))))</f>
        <v/>
      </c>
      <c r="AP205" s="21" t="str">
        <f aca="false">IF(Tasks[[#This Row],[Task Name]]="","",IF(IF(Tasks[[#This Row],[_IsSummary]],COUNTIF(INDEX(Tasks[_LeafCritical],Tasks[[#This Row],[_Row]]+1):INDEX(Tasks[_LeafCritical],Tasks[[#This Row],[_Row]]+Tasks[[#This Row],[_Descendants]]),TRUE())&gt;0,Tasks[[#This Row],[_LeafCritical]]),"Yes",""))</f>
        <v/>
      </c>
      <c r="AQ205" s="62" t="str">
        <f aca="false">IF(Tasks[[#This Row],[Task Name]]="","",IF(N(Tasks[[#This Row],[Baseline Start]])&gt;0,Tasks[[#This Row],[Baseline Start]],Tasks[[#This Row],[_CalcStart]]))</f>
        <v/>
      </c>
      <c r="AR205" s="62" t="str">
        <f aca="false">IF(Tasks[[#This Row],[Task Name]]="","",IF(N(Tasks[[#This Row],[Baseline Finish]])&gt;0,Tasks[[#This Row],[Baseline Finish]],Tasks[[#This Row],[_CalcFinish]]))</f>
        <v/>
      </c>
      <c r="AS205" s="46" t="str">
        <f aca="false">IF(Tasks[[#This Row],[Task Name]]="","",IF(Tasks[[#This Row],[Start]]&gt;=Tasks[[#This Row],[Planned Start]],NETWORKDAYS.INTL(Tasks[[#This Row],[Planned Start]],Tasks[[#This Row],[Start]],WorkWeek,Holidays)-1,1-NETWORKDAYS.INTL(Tasks[[#This Row],[Start]],Tasks[[#This Row],[Planned Start]],WorkWeek,Holidays)))</f>
        <v/>
      </c>
      <c r="AT205" s="62" t="str">
        <f aca="false">IF(Tasks[[#This Row],[Task Name]]="","",IF(Tasks[[#This Row],[_IsSummary]],MIN(INDEX(Tasks[_LeafLateStart],Tasks[[#This Row],[_Row]]+1):INDEX(Tasks[_LeafLateStart],Tasks[[#This Row],[_Row]]+Tasks[[#This Row],[_Descendants]])),Tasks[[#This Row],[_LeafLateStart]]))</f>
        <v/>
      </c>
      <c r="AU205" s="62" t="str">
        <f aca="false">IF(Tasks[[#This Row],[Task Name]]="","",IF(Tasks[[#This Row],[_IsSummary]],MAX(INDEX(Tasks[_LeafLateFinish],Tasks[[#This Row],[_Row]]+1):INDEX(Tasks[_LeafLateFinish],Tasks[[#This Row],[_Row]]+Tasks[[#This Row],[_Descendants]])),Tasks[[#This Row],[_LeafLateFinish]]))</f>
        <v/>
      </c>
      <c r="AV205" s="46" t="str">
        <f aca="false">IF(Tasks[[#This Row],[Task Name]]="","",IF(Tasks[[#This Row],[_IsSummary]],MIN(INDEX(Tasks[_LeafTotalSlack],Tasks[[#This Row],[_Row]]+1):INDEX(Tasks[_LeafTotalSlack],Tasks[[#This Row],[_Row]]+Tasks[[#This Row],[_Descendants]])),Tasks[[#This Row],[_LeafTotalSlack]]))</f>
        <v/>
      </c>
      <c r="AW205" s="21"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4"/>
      <c r="BA205" s="84"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t="str">
        <f aca="false">IF(Tasks[[#This Row],[Task Name]]="","",IF(Tasks[[#This Row],[_Level]]&lt;=OutlineShowLevel,"Yes","No"))</f>
        <v/>
      </c>
      <c r="BE205" s="85" t="str">
        <f aca="false">IF(Tasks[[#This Row],[Task Name]]="","",IF(Tasks[[#This Row],[_IsSummary]],SUM(INDEX(Tasks[_LeafTotalWork],Tasks[[#This Row],[_Row]]+1):INDEX(Tasks[_LeafTotalWork],Tasks[[#This Row],[_Row]]+Tasks[[#This Row],[_Descendants]])),Tasks[[#This Row],[_LeafTotalWork]]))</f>
        <v/>
      </c>
      <c r="BF205" s="23"/>
      <c r="BG205" s="20"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t="str">
        <f aca="false">""</f>
        <v/>
      </c>
      <c r="BI205" s="86"/>
      <c r="BJ205" s="22"/>
      <c r="BK205" s="46" t="str">
        <f aca="false">IF(OR(Tasks[[#This Row],[Task Name]]="",Tasks[[#This Row],[Baseline Duration]]=""),"",Tasks[[#This Row],[_SpanDays]]-N(Tasks[[#This Row],[Baseline Duration]]))</f>
        <v/>
      </c>
      <c r="BL205" s="85" t="str">
        <f aca="false">IF(OR(Tasks[[#This Row],[Task Name]]="",Tasks[[#This Row],[Baseline Work]]=""),"",Tasks[[#This Row],[Work]]-N(Tasks[[#This Row],[Baseline Work]]))</f>
        <v/>
      </c>
      <c r="BM205" s="62" t="str">
        <f aca="false">IF(Tasks[[#This Row],[Task Name]]="","",IF(OR(TakeBaseline="Yes",N(Tasks[[#This Row],[Baseline Start]])=0),Tasks[[#This Row],[Start]],Tasks[[#This Row],[Baseline Start]]))</f>
        <v/>
      </c>
      <c r="BN205" s="62" t="str">
        <f aca="false">IF(Tasks[[#This Row],[Task Name]]="","",IF(OR(TakeBaseline="Yes",N(Tasks[[#This Row],[Baseline Finish]])=0),Tasks[[#This Row],[Finish]],Tasks[[#This Row],[Baseline Finish]]))</f>
        <v/>
      </c>
      <c r="BO205" s="21" t="str">
        <f aca="false">IF(Tasks[[#This Row],[Task Name]]="","",IF(OR(TakeBaseline="Yes",N(Tasks[[#This Row],[Baseline Duration]])=0),Tasks[[#This Row],[_SpanDays]],Tasks[[#This Row],[Baseline Duration]]))</f>
        <v/>
      </c>
      <c r="BP205" s="85" t="str">
        <f aca="false">IF(Tasks[[#This Row],[Task Name]]="","",IF(OR(TakeBaseline="Yes",N(Tasks[[#This Row],[Baseline Work]])=0),Tasks[[#This Row],[Work]],Tasks[[#This Row],[Baseline Work]]))</f>
        <v/>
      </c>
      <c r="BQ205" s="7"/>
      <c r="BR205" s="7"/>
      <c r="BS205" s="22"/>
      <c r="BT205" s="87"/>
      <c r="BU205" s="42" t="str">
        <f aca="false">IF(Tasks[[#This Row],[Task Name]]="","",MAX(1,N(Tasks[[#This Row],[Level]])))</f>
        <v/>
      </c>
      <c r="BV205" s="42" t="n">
        <f aca="false">ROW()-ROW(Tasks[[#Headers],[ID]])</f>
        <v>200</v>
      </c>
      <c r="BW205" s="42" t="n">
        <f aca="false">IF(OR(Tasks[[#This Row],[Task Name]]="",Tasks[[#This Row],[_Level]]&lt;=1),0,IFERROR(LOOKUP(2,1/(Tasks[[#Headers],[_Level]]:Tasks[[#This Row],[_Level]]=Tasks[[#This Row],[_Level]]-1),ROW(Tasks[[#Headers],[_Level]]:Tasks[[#This Row],[_Level]])),0))</f>
        <v>0</v>
      </c>
      <c r="BX205" s="42" t="n">
        <f aca="false">IFERROR(N(INDEX(Tasks[_Level],Tasks[[#This Row],[_Row]]+1)),0)</f>
        <v>0</v>
      </c>
      <c r="BY205" s="88" t="b">
        <f aca="false">AND(Tasks[[#This Row],[Task Name]]&lt;&gt;"",Tasks[[#This Row],[_NextLevel]]&gt;Tasks[[#This Row],[_Level]])</f>
        <v>0</v>
      </c>
      <c r="BZ205" s="42" t="n">
        <f aca="false">IF(Tasks[[#This Row],[_IsSummary]],COUNTIF(Tasks[WBS],Tasks[[#This Row],[WBS]]&amp;".*"),0)</f>
        <v>0</v>
      </c>
      <c r="CA205" s="42" t="n">
        <f aca="false">IF(AND(Tasks[[#This Row],[Task Name]]&lt;&gt;"",NOT(Tasks[[#This Row],[_IsSummary]])),1,0)</f>
        <v>0</v>
      </c>
      <c r="CB205" s="42" t="n">
        <f aca="false">IF(N(Tasks[[#This Row],[_Pred1UID]])=0,0,IFERROR(MATCH(Tasks[[#This Row],[_Pred1UID]],Tasks[UID],0),-1))</f>
        <v>0</v>
      </c>
      <c r="CC205" s="42" t="n">
        <f aca="false">IF(N(Tasks[[#This Row],[_Pred2UID]])=0,0,IFERROR(MATCH(Tasks[[#This Row],[_Pred2UID]],Tasks[UID],0),-1))</f>
        <v>0</v>
      </c>
      <c r="CD205" s="42" t="n">
        <f aca="false">IF(N(Tasks[[#This Row],[_Pred3UID]])=0,0,IFERROR(MATCH(Tasks[[#This Row],[_Pred3UID]],Tasks[UID],0),-1))</f>
        <v>0</v>
      </c>
      <c r="CE205" s="42" t="n">
        <f aca="false">IF(N(Tasks[[#This Row],[_Pred4UID]])=0,0,IFERROR(MATCH(Tasks[[#This Row],[_Pred4UID]],Tasks[UID],0),-1))</f>
        <v>0</v>
      </c>
      <c r="CF205" s="42"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G205" s="89" t="n">
        <f aca="false">IF(N(Tasks[[#This Row],[Constraint Date]])=0,0,IF(AND(OR(Tasks[[#This Row],[_ConstraintCode]]=3,Tasks[[#This Row],[_ConstraintCode]]=6,Tasks[[#This Row],[_ConstraintCode]]=7),N(Tasks[[#This Row],[_Days]])&gt;1),WORKDAY.INTL(N(Tasks[[#This Row],[Constraint Date]]),-(N(Tasks[[#This Row],[_Days]])-1),WorkWeek,Holidays),N(Tasks[[#This Row],[Constraint Date]])))</f>
        <v>0</v>
      </c>
      <c r="CH205" s="89" t="n">
        <f aca="false">IF(OR(Tasks[[#This Row],[_ConstraintCode]]=2,Tasks[[#This Row],[_ConstraintCode]]=3,Tasks[[#This Row],[_ConstraintCode]]=4,Tasks[[#This Row],[_ConstraintCode]]=6),Tasks[[#This Row],[_ConstraintStart]],0)</f>
        <v>0</v>
      </c>
      <c r="CI205" s="89" t="n">
        <f aca="false">IF(OR(Tasks[[#This Row],[_ConstraintCode]]=2,Tasks[[#This Row],[_ConstraintCode]]=3,Tasks[[#This Row],[_ConstraintCode]]=5,Tasks[[#This Row],[_ConstraintCode]]=7),Tasks[[#This Row],[_ConstraintStart]],2958465)</f>
        <v>2958465</v>
      </c>
      <c r="CJ205" s="89"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K205" s="89" t="str">
        <f aca="false">IF(NOT(Tasks[[#This Row],[_IsLeaf]]=1),"",IF(N(Tasks[[#This Row],[_Days]])&lt;=0,Tasks[[#This Row],[_LeafCalcStart]],WORKDAY.INTL(Tasks[[#This Row],[_LeafCalcStart]],Tasks[[#This Row],[_Days]]-1,WorkWeek,Holidays)))</f>
        <v/>
      </c>
      <c r="CL205" s="89"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M205" s="89" t="str">
        <f aca="false">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N205" s="42" t="str">
        <f aca="false">IF(Tasks[[#This Row],[_Predecessors]]="","",TRIM(MID(SUBSTITUTE(SUBSTITUTE(SUBSTITUTE(UPPER(Tasks[[#This Row],[_Predecessors]]),";",",")," ",""),",",REPT(" ",99)),1,99)))</f>
        <v/>
      </c>
      <c r="CO205" s="42" t="str">
        <f aca="false">IF(Tasks[[#This Row],[_Pred1Text]]="","",IFERROR(VALUE(LEFT(Tasks[[#This Row],[_Pred1Text]],MIN(FIND("F",Tasks[[#This Row],[_Pred1Text]]&amp;"F"),FIND("S",Tasks[[#This Row],[_Pred1Text]]&amp;"S"),FIND("+",Tasks[[#This Row],[_Pred1Text]]&amp;"+"),FIND("-",Tasks[[#This Row],[_Pred1Text]]&amp;"-"))-1)),""))</f>
        <v/>
      </c>
      <c r="CP205" s="42"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Q205" s="42"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R205" s="42" t="str">
        <f aca="false">IF(Tasks[[#This Row],[_Pred1Text]]="","",TRIM(MID(SUBSTITUTE(SUBSTITUTE(SUBSTITUTE(UPPER(Tasks[[#This Row],[_Predecessors]]),";",",")," ",""),",",REPT(" ",99)),100,99)))</f>
        <v/>
      </c>
      <c r="CS205" s="42" t="str">
        <f aca="false">IF(Tasks[[#This Row],[_Pred2Text]]="","",IFERROR(VALUE(LEFT(Tasks[[#This Row],[_Pred2Text]],MIN(FIND("F",Tasks[[#This Row],[_Pred2Text]]&amp;"F"),FIND("S",Tasks[[#This Row],[_Pred2Text]]&amp;"S"),FIND("+",Tasks[[#This Row],[_Pred2Text]]&amp;"+"),FIND("-",Tasks[[#This Row],[_Pred2Text]]&amp;"-"))-1)),""))</f>
        <v/>
      </c>
      <c r="CT205" s="42"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U205" s="42"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V205" s="42" t="str">
        <f aca="false">IF(Tasks[[#This Row],[_Pred2Text]]="","",TRIM(MID(SUBSTITUTE(SUBSTITUTE(SUBSTITUTE(UPPER(Tasks[[#This Row],[_Predecessors]]),";",",")," ",""),",",REPT(" ",99)),199,99)))</f>
        <v/>
      </c>
      <c r="CW205" s="42" t="str">
        <f aca="false">IF(Tasks[[#This Row],[_Pred3Text]]="","",IFERROR(VALUE(LEFT(Tasks[[#This Row],[_Pred3Text]],MIN(FIND("F",Tasks[[#This Row],[_Pred3Text]]&amp;"F"),FIND("S",Tasks[[#This Row],[_Pred3Text]]&amp;"S"),FIND("+",Tasks[[#This Row],[_Pred3Text]]&amp;"+"),FIND("-",Tasks[[#This Row],[_Pred3Text]]&amp;"-"))-1)),""))</f>
        <v/>
      </c>
      <c r="CX205" s="42"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Y205" s="42"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Z205" s="42" t="str">
        <f aca="false">IF(Tasks[[#This Row],[_Pred3Text]]="","",TRIM(MID(SUBSTITUTE(SUBSTITUTE(SUBSTITUTE(UPPER(Tasks[[#This Row],[_Predecessors]]),";",",")," ",""),",",REPT(" ",99)),298,99)))</f>
        <v/>
      </c>
      <c r="DA205" s="42" t="str">
        <f aca="false">IF(Tasks[[#This Row],[_Pred4Text]]="","",IFERROR(VALUE(LEFT(Tasks[[#This Row],[_Pred4Text]],MIN(FIND("F",Tasks[[#This Row],[_Pred4Text]]&amp;"F"),FIND("S",Tasks[[#This Row],[_Pred4Text]]&amp;"S"),FIND("+",Tasks[[#This Row],[_Pred4Text]]&amp;"+"),FIND("-",Tasks[[#This Row],[_Pred4Text]]&amp;"-"))-1)),""))</f>
        <v/>
      </c>
      <c r="DB205" s="42"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C205" s="42"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D205" s="42" t="str">
        <f aca="false">IF(OR(Tasks[[#This Row],[Task Name]]="",Tasks[[#This Row],[_Resources]]=""),"",TRIM(MID(SUBSTITUTE(Tasks[[#This Row],[_Resources]],",",REPT(" ",99)),1,99)))</f>
        <v/>
      </c>
      <c r="DE205" s="42" t="str">
        <f aca="false">IF(Tasks[[#This Row],[_Res1Text]]="","",TRIM(MID(SUBSTITUTE(Tasks[[#This Row],[_Resources]],",",REPT(" ",99)),100,99)))</f>
        <v/>
      </c>
      <c r="DF205" s="42" t="str">
        <f aca="false">IF(Tasks[[#This Row],[_Res2Text]]="","",TRIM(MID(SUBSTITUTE(Tasks[[#This Row],[_Resources]],",",REPT(" ",99)),199,99)))</f>
        <v/>
      </c>
      <c r="DG205" s="42" t="str">
        <f aca="false">IF(Tasks[[#This Row],[_Res3Text]]="","",TRIM(MID(SUBSTITUTE(Tasks[[#This Row],[_Resources]],",",REPT(" ",99)),298,99)))</f>
        <v/>
      </c>
      <c r="DH205" s="42" t="n">
        <f aca="false">IF(Tasks[[#This Row],[_Res1Text]]="",0,IFERROR(MATCH(TRIM(LEFT(Tasks[[#This Row],[_Res1Text]],FIND("[",Tasks[[#This Row],[_Res1Text]]&amp;"[")-1)),res_Name,0),IFERROR(MATCH(TRIM(LEFT(Tasks[[#This Row],[_Res1Text]],FIND("[",Tasks[[#This Row],[_Res1Text]]&amp;"[")-1)),res_Initials,0),0)))</f>
        <v>0</v>
      </c>
      <c r="DI205" s="42" t="n">
        <f aca="false">IF(Tasks[[#This Row],[_Res2Text]]="",0,IFERROR(MATCH(TRIM(LEFT(Tasks[[#This Row],[_Res2Text]],FIND("[",Tasks[[#This Row],[_Res2Text]]&amp;"[")-1)),res_Name,0),IFERROR(MATCH(TRIM(LEFT(Tasks[[#This Row],[_Res2Text]],FIND("[",Tasks[[#This Row],[_Res2Text]]&amp;"[")-1)),res_Initials,0),0)))</f>
        <v>0</v>
      </c>
      <c r="DJ205" s="42" t="n">
        <f aca="false">IF(Tasks[[#This Row],[_Res3Text]]="",0,IFERROR(MATCH(TRIM(LEFT(Tasks[[#This Row],[_Res3Text]],FIND("[",Tasks[[#This Row],[_Res3Text]]&amp;"[")-1)),res_Name,0),IFERROR(MATCH(TRIM(LEFT(Tasks[[#This Row],[_Res3Text]],FIND("[",Tasks[[#This Row],[_Res3Text]]&amp;"[")-1)),res_Initials,0),0)))</f>
        <v>0</v>
      </c>
      <c r="DK205" s="42" t="n">
        <f aca="false">IF(Tasks[[#This Row],[_Res4Text]]="",0,IFERROR(MATCH(TRIM(LEFT(Tasks[[#This Row],[_Res4Text]],FIND("[",Tasks[[#This Row],[_Res4Text]]&amp;"[")-1)),res_Name,0),IFERROR(MATCH(TRIM(LEFT(Tasks[[#This Row],[_Res4Text]],FIND("[",Tasks[[#This Row],[_Res4Text]]&amp;"[")-1)),res_Initials,0),0)))</f>
        <v>0</v>
      </c>
      <c r="DL205" s="42" t="str">
        <f aca="false">IF(Tasks[[#This Row],[_Res1Text]]="","",IF(Tasks[[#This Row],[_Res1Row]]&gt;0,INDEX(res_Name,Tasks[[#This Row],[_Res1Row]]),TRIM(LEFT(Tasks[[#This Row],[_Res1Text]],FIND("[",Tasks[[#This Row],[_Res1Text]]&amp;"[")-1))))</f>
        <v/>
      </c>
      <c r="DM205" s="42"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N205" s="42" t="n">
        <f aca="false">IF(NOT(Tasks[[#This Row],[_IsLeaf]]=1),0,(Tasks[[#This Row],[_Resource1]]&lt;&gt;"")+(Tasks[[#This Row],[_Res2]]&lt;&gt;"")+(Tasks[[#This Row],[_Res3]]&lt;&gt;"")+(Tasks[[#This Row],[_Res4]]&lt;&gt;""))</f>
        <v>0</v>
      </c>
      <c r="DO205" s="42" t="str">
        <f aca="false">IF(Tasks[[#This Row],[_Res2Text]]="","",IF(Tasks[[#This Row],[_Res2Row]]&gt;0,INDEX(res_Name,Tasks[[#This Row],[_Res2Row]]),TRIM(LEFT(Tasks[[#This Row],[_Res2Text]],FIND("[",Tasks[[#This Row],[_Res2Text]]&amp;"[")-1))))</f>
        <v/>
      </c>
      <c r="DP205" s="42"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Q205" s="42" t="n">
        <f aca="false">IF(OR(NOT(Tasks[[#This Row],[_IsLeaf]]=1),Tasks[[#This Row],[_Res2Row]]=0),0,N(Tasks[[#This Row],[_Days]])*HoursPerDay*IF(Tasks[[#This Row],[_Res2Units]]="",DefaultUnits,Tasks[[#This Row],[_Res2Units]]))</f>
        <v>0</v>
      </c>
      <c r="DR205" s="42" t="n">
        <f aca="false">IF(AND(AND(Tasks[[#This Row],[_IsLeaf]]=1,Tasks[[#This Row],[_LeafTotalWork]]&gt;0),Tasks[[#This Row],[_Res2Work]]&gt;0),Tasks[[#This Row],[_Res2Work]]/(Tasks[[#This Row],[_FinishWorkday]]-Tasks[[#This Row],[_StartWorkday]]+1),0)</f>
        <v>0</v>
      </c>
      <c r="DS205" s="42" t="n">
        <f aca="false">Tasks[[#This Row],[_Res2WorkPerWD]]*MAX(0,Tasks[[#This Row],[_StartWorkday]]-1)</f>
        <v>0</v>
      </c>
      <c r="DT205" s="42" t="n">
        <f aca="false">Tasks[[#This Row],[_Res2Work]]*Tasks[[#This Row],[_LeafProgress]]</f>
        <v>0</v>
      </c>
      <c r="DU205" s="42" t="str">
        <f aca="false">IF(Tasks[[#This Row],[_Res3Text]]="","",IF(Tasks[[#This Row],[_Res3Row]]&gt;0,INDEX(res_Name,Tasks[[#This Row],[_Res3Row]]),TRIM(LEFT(Tasks[[#This Row],[_Res3Text]],FIND("[",Tasks[[#This Row],[_Res3Text]]&amp;"[")-1))))</f>
        <v/>
      </c>
      <c r="DV205" s="42"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W205" s="42" t="n">
        <f aca="false">IF(OR(NOT(Tasks[[#This Row],[_IsLeaf]]=1),Tasks[[#This Row],[_Res3Row]]=0),0,N(Tasks[[#This Row],[_Days]])*HoursPerDay*IF(Tasks[[#This Row],[_Res3Units]]="",DefaultUnits,Tasks[[#This Row],[_Res3Units]]))</f>
        <v>0</v>
      </c>
      <c r="DX205" s="42" t="n">
        <f aca="false">IF(AND(AND(Tasks[[#This Row],[_IsLeaf]]=1,Tasks[[#This Row],[_LeafTotalWork]]&gt;0),Tasks[[#This Row],[_Res3Work]]&gt;0),Tasks[[#This Row],[_Res3Work]]/(Tasks[[#This Row],[_FinishWorkday]]-Tasks[[#This Row],[_StartWorkday]]+1),0)</f>
        <v>0</v>
      </c>
      <c r="DY205" s="42" t="n">
        <f aca="false">Tasks[[#This Row],[_Res3WorkPerWD]]*MAX(0,Tasks[[#This Row],[_StartWorkday]]-1)</f>
        <v>0</v>
      </c>
      <c r="DZ205" s="42" t="n">
        <f aca="false">Tasks[[#This Row],[_Res3Work]]*Tasks[[#This Row],[_LeafProgress]]</f>
        <v>0</v>
      </c>
      <c r="EA205" s="42" t="str">
        <f aca="false">IF(Tasks[[#This Row],[_Res4Text]]="","",IF(Tasks[[#This Row],[_Res4Row]]&gt;0,INDEX(res_Name,Tasks[[#This Row],[_Res4Row]]),TRIM(LEFT(Tasks[[#This Row],[_Res4Text]],FIND("[",Tasks[[#This Row],[_Res4Text]]&amp;"[")-1))))</f>
        <v/>
      </c>
      <c r="EB205" s="42"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C205" s="42" t="n">
        <f aca="false">IF(OR(NOT(Tasks[[#This Row],[_IsLeaf]]=1),Tasks[[#This Row],[_Res4Row]]=0),0,N(Tasks[[#This Row],[_Days]])*HoursPerDay*IF(Tasks[[#This Row],[_Res4Units]]="",DefaultUnits,Tasks[[#This Row],[_Res4Units]]))</f>
        <v>0</v>
      </c>
      <c r="ED205" s="42" t="n">
        <f aca="false">IF(AND(AND(Tasks[[#This Row],[_IsLeaf]]=1,Tasks[[#This Row],[_LeafTotalWork]]&gt;0),Tasks[[#This Row],[_Res4Work]]&gt;0),Tasks[[#This Row],[_Res4Work]]/(Tasks[[#This Row],[_FinishWorkday]]-Tasks[[#This Row],[_StartWorkday]]+1),0)</f>
        <v>0</v>
      </c>
      <c r="EE205" s="42" t="n">
        <f aca="false">Tasks[[#This Row],[_Res4WorkPerWD]]*MAX(0,Tasks[[#This Row],[_StartWorkday]]-1)</f>
        <v>0</v>
      </c>
      <c r="EF205" s="42" t="n">
        <f aca="false">Tasks[[#This Row],[_Res4Work]]*Tasks[[#This Row],[_LeafProgress]]</f>
        <v>0</v>
      </c>
      <c r="EG205" s="42" t="n">
        <f aca="false">IF(ISNUMBER(Tasks[[#This Row],[% Complete]]),Tasks[[#This Row],[% Complete]],IF(Tasks[[#This Row],[Stage]]="",0,IFERROR(INDEX(stg_Pct,MATCH(Tasks[[#This Row],[Stage]],stg_Name,0)),0)))</f>
        <v>0</v>
      </c>
      <c r="EH205" s="42" t="n">
        <f aca="false">IF(NOT(Tasks[[#This Row],[_IsLeaf]]=1),0,IF(N(Tasks[[#This Row],[Actual Finish]])&gt;0,1,MIN(1,Tasks[[#This Row],[_Pct]])))</f>
        <v>0</v>
      </c>
      <c r="EI205" s="42" t="n">
        <f aca="false">IF(OR(NOT(Tasks[[#This Row],[_IsLeaf]]=1),Tasks[[#This Row],[_Res1Row]]=0),0,N(Tasks[[#This Row],[_Days]])*HoursPerDay*IF(Tasks[[#This Row],[_Units1]]="",DefaultUnits,Tasks[[#This Row],[_Units1]]))</f>
        <v>0</v>
      </c>
      <c r="EJ205" s="42" t="n">
        <f aca="false">Tasks[[#This Row],[_LeafWork]]+Tasks[[#This Row],[_Res2Work]]+Tasks[[#This Row],[_Res3Work]]+Tasks[[#This Row],[_Res4Work]]</f>
        <v>0</v>
      </c>
      <c r="EK205" s="42" t="str">
        <f aca="false">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L205" s="42" t="str">
        <f aca="false">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M205" s="42" t="str">
        <f aca="false">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N205" s="42" t="str">
        <f aca="false">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O205" s="42"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P205" s="42"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Q205" s="42"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R205" s="42"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S205" s="42" t="n">
        <f aca="false">IF(NOT(Tasks[[#This Row],[_IsLeaf]]=1),0,MAX(_xlfn.MAXIFS(Tasks[_Row],Tasks[_Pred1UID],Tasks[[#This Row],[UID]]),_xlfn.MAXIFS(Tasks[_Row],Tasks[_Pred2UID],Tasks[[#This Row],[UID]]),_xlfn.MAXIFS(Tasks[_Row],Tasks[_Pred3UID],Tasks[[#This Row],[UID]]),_xlfn.MAXIFS(Tasks[_Row],Tasks[_Pred4UID],Tasks[[#This Row],[UID]])))</f>
        <v>0</v>
      </c>
      <c r="ET205" s="89"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U205" s="89" t="str">
        <f aca="false">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EV205" s="89" t="str">
        <f aca="false">IF(NOT(Tasks[[#This Row],[_IsLeaf]]=1),"",IF(N(Tasks[[#This Row],[_Days]])&lt;=0,Tasks[[#This Row],[_LeafLateFinish]],WORKDAY.INTL(Tasks[[#This Row],[_LeafLateFinish]],-(Tasks[[#This Row],[_Days]]-1),WorkWeek,Holidays)))</f>
        <v/>
      </c>
      <c r="EW205" s="42"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X205" s="88" t="b">
        <f aca="false">AND(Tasks[[#This Row],[_IsLeaf]]=1,Tasks[[#This Row],[_LeafProgress]]&lt;1,N(Tasks[[#This Row],[_LeafTotalSlack]])&lt;=CriticalSlackDays)</f>
        <v>0</v>
      </c>
      <c r="EY205" s="42" t="n">
        <f aca="false">IF(AND(Tasks[[#This Row],[_IsLeaf]]=1,Tasks[[#This Row],[_ConstraintCode]]=1,Tasks[[#This Row],[Mode]]&lt;&gt;"Manual",N(Tasks[[#This Row],[Actual Start]])=0),MAX(0,N(Tasks[[#This Row],[Free Slack]])),0)</f>
        <v>0</v>
      </c>
      <c r="EZ205" s="89" t="str">
        <f aca="false">IF(NOT(Tasks[[#This Row],[_IsLeaf]]=1),"",IF(Tasks[[#This Row],[_AlapShift]]=0,Tasks[[#This Row],[_LeafCalcStart]],WORKDAY.INTL(Tasks[[#This Row],[_LeafCalcStart]],Tasks[[#This Row],[_AlapShift]],WorkWeek,Holidays)))</f>
        <v/>
      </c>
      <c r="FA205" s="89" t="str">
        <f aca="false">IF(NOT(Tasks[[#This Row],[_IsLeaf]]=1),"",IF(Tasks[[#This Row],[_AlapShift]]=0,Tasks[[#This Row],[_LeafCalcFinish]],WORKDAY.INTL(Tasks[[#This Row],[_LeafCalcFinish]],Tasks[[#This Row],[_AlapShift]],WorkWeek,Holidays)))</f>
        <v/>
      </c>
      <c r="FB205" s="89" t="str">
        <f aca="false">IF(NOT(Tasks[[#This Row],[_IsLeaf]]=1),"",IF(Tasks[[#This Row],[_AlapShift]]=0,Tasks[[#This Row],[_LeafFcstStart]],WORKDAY.INTL(Tasks[[#This Row],[_LeafFcstStart]],Tasks[[#This Row],[_AlapShift]],WorkWeek,Holidays)))</f>
        <v/>
      </c>
      <c r="FC205" s="89" t="str">
        <f aca="false">IF(NOT(Tasks[[#This Row],[_IsLeaf]]=1),"",IF(Tasks[[#This Row],[_AlapShift]]=0,Tasks[[#This Row],[_LeafFcstFinish]],WORKDAY.INTL(Tasks[[#This Row],[_LeafFcstFinish]],Tasks[[#This Row],[_AlapShift]],WorkWeek,Holidays)))</f>
        <v/>
      </c>
      <c r="FD205" s="89" t="str">
        <f aca="false">IF(Tasks[[#This Row],[Task Name]]="","",IF(Tasks[[#This Row],[_IsSummary]],MIN(INDEX(Tasks[_ShownCalcStart],Tasks[[#This Row],[_Row]]+1):INDEX(Tasks[_ShownCalcStart],Tasks[[#This Row],[_Row]]+Tasks[[#This Row],[_Descendants]])),Tasks[[#This Row],[_ShownCalcStart]]))</f>
        <v/>
      </c>
      <c r="FE205" s="89" t="str">
        <f aca="false">IF(Tasks[[#This Row],[Task Name]]="","",IF(Tasks[[#This Row],[_IsSummary]],MAX(INDEX(Tasks[_ShownCalcFinish],Tasks[[#This Row],[_Row]]+1):INDEX(Tasks[_ShownCalcFinish],Tasks[[#This Row],[_Row]]+Tasks[[#This Row],[_Descendants]])),Tasks[[#This Row],[_ShownCalcFinish]]))</f>
        <v/>
      </c>
      <c r="FF205" s="42"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G205" s="42"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H205" s="42"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I205" s="42"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J205" s="89" t="n">
        <f aca="false">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0</v>
      </c>
      <c r="FK205" s="89" t="n">
        <f aca="false">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0</v>
      </c>
      <c r="FL205" s="89" t="n">
        <f aca="false">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0</v>
      </c>
      <c r="FM205" s="89" t="n">
        <f aca="false">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0</v>
      </c>
      <c r="FN205" s="89" t="n">
        <f aca="false">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0</v>
      </c>
      <c r="FO205" s="89" t="n">
        <f aca="false">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0</v>
      </c>
      <c r="FP205" s="89" t="n">
        <f aca="false">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0</v>
      </c>
      <c r="FQ205" s="89" t="n">
        <f aca="false">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0</v>
      </c>
      <c r="FR205" s="42" t="n">
        <f aca="false">IF(AND(Tasks[[#This Row],[_IsLeaf]]=1,Tasks[[#This Row],[_LeafTotalWork]]&gt;0),NETWORKDAYS.INTL(ProjectStart,Tasks[[#This Row],[_ShownFcstStart]],WorkWeek,Holidays),0)</f>
        <v>0</v>
      </c>
      <c r="FS205" s="42" t="n">
        <f aca="false">IF(AND(Tasks[[#This Row],[_IsLeaf]]=1,Tasks[[#This Row],[_LeafTotalWork]]&gt;0),MAX(Tasks[[#This Row],[_StartWorkday]],NETWORKDAYS.INTL(ProjectStart,Tasks[[#This Row],[_ShownFcstFinish]],WorkWeek,Holidays)),0)</f>
        <v>0</v>
      </c>
      <c r="FT205" s="42" t="n">
        <f aca="false">IF(AND(Tasks[[#This Row],[_IsLeaf]]=1,Tasks[[#This Row],[_LeafTotalWork]]&gt;0),Tasks[[#This Row],[_LeafWork]]/(Tasks[[#This Row],[_FinishWorkday]]-Tasks[[#This Row],[_StartWorkday]]+1),0)</f>
        <v>0</v>
      </c>
      <c r="FU205" s="42" t="n">
        <f aca="false">Tasks[[#This Row],[_WorkPerWorkday]]*(Tasks[[#This Row],[_StartWorkday]]-1)</f>
        <v>-0</v>
      </c>
      <c r="FV205" s="42" t="n">
        <f aca="false">IF(Tasks[[#This Row],[_IsLeaf]]=1,MAX(N(Tasks[[#This Row],[_Days]]),0.1),0)</f>
        <v>0</v>
      </c>
      <c r="FW205" s="42" t="n">
        <f aca="false">Tasks[[#This Row],[_WeightDur]]*Tasks[[#This Row],[_LeafProgress]]</f>
        <v>0</v>
      </c>
      <c r="FX205" s="42" t="n">
        <f aca="false">Tasks[[#This Row],[_WeightDur]]*Tasks[[#This Row],[_PlannedPct]]</f>
        <v>0</v>
      </c>
      <c r="FY205" s="42"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Z205" s="42" t="str">
        <f aca="false">IF(AND(Tasks[[#This Row],[_IsLeaf]]=1,N(Tasks[[#This Row],[_Days]])=0,Tasks[[#This Row],[_LeafProgress]]&lt;1),Tasks[[#This Row],[_ShownFcstFinish]]+Tasks[[#This Row],[_Row]]/100000,"")</f>
        <v/>
      </c>
      <c r="GA205" s="42"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GB205" s="42" t="str">
        <f aca="false">IF(Tasks[[#This Row],[Task Name]]="","",LEFT(Tasks[[#This Row],[WBS]],FIND(".",Tasks[[#This Row],[WBS]]&amp;".")-1))</f>
        <v/>
      </c>
      <c r="GC205" s="42" t="str">
        <f aca="false">IF(AND(Tasks[[#This Row],[Task Name]]&lt;&gt;"",Tasks[[#This Row],[_Level]]=1),Tasks[[#This Row],[_Row]],"")</f>
        <v/>
      </c>
      <c r="GD205" s="42" t="str">
        <f aca="false">IF(AND(Tasks[[#This Row],[_IsLeaf]]=1,N(Tasks[[#This Row],[_Days]])=0),Tasks[[#This Row],[Planned Finish]]+Tasks[[#This Row],[_Row]]/100000,"")</f>
        <v/>
      </c>
      <c r="GE205" s="42" t="str">
        <f aca="false">IF(AND(Tasks[[#This Row],[_IsLeaf]]=1,Tasks[[#This Row],[_LeafProgress]]&lt;1,OR(N(Tasks[[#This Row],[Finish Var]])&gt;0,Tasks[[#This Row],[Status]]="Late Start")),MAX(0,Tasks[[#This Row],[Finish Var]])+1-Tasks[[#This Row],[_Row]]/1000000,"")</f>
        <v/>
      </c>
      <c r="GF205" s="42" t="str">
        <f aca="false">IF(AND(Tasks[[#This Row],[_IsLeaf]]=1,N(Tasks[[#This Row],[Actual Start]])=0,Tasks[[#This Row],[_ShownFcstStart]]&gt;=StatusDate,Tasks[[#This Row],[_ShownFcstStart]]&lt;=LookaheadEnd),Tasks[[#This Row],[_ShownFcstStart]]+Tasks[[#This Row],[_Row]]/100000,"")</f>
        <v/>
      </c>
      <c r="GG205" s="42" t="str">
        <f aca="false">IF(AND(Tasks[[#This Row],[_IsLeaf]]=1,Tasks[[#This Row],[_LeafProgress]]&lt;1,Tasks[[#This Row],[_ShownFcstFinish]]&gt;=StatusDate,Tasks[[#This Row],[_ShownFcstFinish]]&lt;=LookaheadEnd),Tasks[[#This Row],[_ShownFcstFinish]]+Tasks[[#This Row],[_Row]]/100000,"")</f>
        <v/>
      </c>
      <c r="GH205" s="42" t="str">
        <f aca="false">IF(Tasks[[#This Row],[_LeafCritical]],Tasks[[#This Row],[_ShownFcstStart]]+Tasks[[#This Row],[_Row]]/100000,"")</f>
        <v/>
      </c>
      <c r="GI205" s="42" t="n">
        <f aca="false">Tasks[[#This Row],[_LeafWork]]*Tasks[[#This Row],[_LeafProgress]]</f>
        <v>0</v>
      </c>
      <c r="GJ205" s="89" t="str">
        <f aca="false">IF(AND(Tasks[[#This Row],[_IsLeaf]]=1,Tasks[[#This Row],[_LeafProgress]]&gt;=1),IF(N(Tasks[[#This Row],[Actual Finish]])&gt;0,Tasks[[#This Row],[Actual Finish]],Tasks[[#This Row],[_ShownFcstFinish]]),"")</f>
        <v/>
      </c>
      <c r="GK205" s="42" t="n">
        <f aca="false">IF(Tasks[[#This Row],[_IsLeaf]]=1,N(Tasks[[#This Row],[Story Points]]),0)</f>
        <v>0</v>
      </c>
      <c r="GL205" s="42" t="str">
        <f aca="false">""</f>
        <v/>
      </c>
      <c r="GM205" s="88" t="b">
        <f aca="false">IF(Tasks[[#This Row],[Task Name]]="",FALSE(),AND(Tasks[[#This Row],[_IsLeaf]]=1,N(Tasks[[#This Row],[_Days]])=0))</f>
        <v>0</v>
      </c>
      <c r="GN205" s="89" t="n">
        <f aca="false">IF(Tasks[[#This Row],[Task Name]]="",0,IF(AND(Tasks[[#This Row],[_IsLeaf]]=1,NOT(Tasks[[#This Row],[_IsMilestone]]),N(Tasks[[#This Row],[Progress]])&gt;0),Tasks[[#This Row],[Start]],0))</f>
        <v>0</v>
      </c>
      <c r="GO205" s="89" t="n">
        <f aca="false">IF(Tasks[[#This Row],[_DoneFrom]]=0,0,IF(Tasks[[#This Row],[Progress]]&gt;=1,Tasks[[#This Row],[Finish]],MAX(Tasks[[#This Row],[_DoneFrom]],Tasks[[#This Row],[Start]]+ROUND((Tasks[[#This Row],[Finish]]-Tasks[[#This Row],[Start]]+1)*Tasks[[#This Row],[Progress]],0)-1)))</f>
        <v>0</v>
      </c>
      <c r="GP205" s="89" t="n">
        <f aca="false">IF(Tasks[[#This Row],[Task Name]]="",0,IF(OR(NOT(Tasks[[#This Row],[_IsLeaf]]=1),Tasks[[#This Row],[_IsMilestone]],N(Tasks[[#This Row],[Progress]])&gt;=1),0,IF(Tasks[[#This Row],[_DoneTo]]&gt;0,Tasks[[#This Row],[_DoneTo]]+1,Tasks[[#This Row],[Start]])))</f>
        <v>0</v>
      </c>
      <c r="GQ205" s="89" t="n">
        <f aca="false">IF(Tasks[[#This Row],[_RemFrom]]=0,0,Tasks[[#This Row],[Finish]])</f>
        <v>0</v>
      </c>
      <c r="GR205" s="88" t="b">
        <f aca="false">IF(Tasks[[#This Row],[Task Name]]="",FALSE(),OR(NOT(BaselineSet),N(Tasks[[#This Row],[Baseline Start]])&gt;0))</f>
        <v>0</v>
      </c>
      <c r="GS205" s="42" t="str">
        <f aca="false">IF(Tasks[[#This Row],[Duration]]="","",IF(ISNUMBER(Tasks[[#This Row],[Duration]]),Tasks[[#This Row],[Duration]],IFERROR(VALUE(LOWER(TRIM(Tasks[[#This Row],[Duration]]))),IFERROR(VALUE(LEFT(LOWER(TRIM(Tasks[[#This Row],[Duration]])),LEN(LOWER(TRIM(Tasks[[#This Row],[Duration]])))-1))*IF(RIGHT(LOWER(TRIM(Tasks[[#This Row],[Duration]])),1)="w",5,IF(RIGHT(LOWER(TRIM(Tasks[[#This Row],[Duration]])),1)="d",1,NA())),""))))</f>
        <v/>
      </c>
      <c r="GT205" s="42" t="str">
        <f aca="false">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GU205" s="42" t="str">
        <f aca="false">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GV205" s="90" t="str">
        <f aca="false">IF(Tasks[[#This Row],[_IsLeaf]]=1,Tasks[[#This Row],[_Row]],"")</f>
        <v/>
      </c>
      <c r="GW205" s="90" t="str">
        <f aca="false">IFERROR(INDEX(Tasks[UID],SMALL(Tasks[_PickKey],Tasks[[#This Row],[_Row]]))&amp;" "&amp;INDEX(Tasks[Task Name],SMALL(Tasks[_PickKey],Tasks[[#This Row],[_Row]])),"")</f>
        <v/>
      </c>
      <c r="GX205" s="42" t="str">
        <f aca="false">IF(Tasks[[#This Row],[Task Name]]="","",IF(Tasks[[#This Row],[_IsSummary]],NETWORKDAYS.INTL(Tasks[[#This Row],[Start]],Tasks[[#This Row],[Finish]],WorkWeek,Holidays),N(Tasks[[#This Row],[_Days]])))</f>
        <v/>
      </c>
    </row>
  </sheetData>
  <conditionalFormatting sqref="A6:BT205">
    <cfRule type="expression" priority="2" aboveAverage="0" equalAverage="0" bottom="0" percent="0" rank="0" text="" dxfId="35">
      <formula>$BY6=1</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GV6:GV205 GW6:GW205">
    <cfRule type="expression" priority="3" aboveAverage="0" equalAverage="0" bottom="0" percent="0" rank="0" text="" dxfId="36">
      <formula>$BY6=1</formula>
    </cfRule>
  </conditionalFormatting>
  <conditionalFormatting sqref="AO6:AO205">
    <cfRule type="expression" priority="4" aboveAverage="0" equalAverage="0" bottom="0" percent="0" rank="0" text="" dxfId="22">
      <formula>$AO6="Complete"</formula>
    </cfRule>
    <cfRule type="expression" priority="5" aboveAverage="0" equalAverage="0" bottom="0" percent="0" rank="0" text="" dxfId="37">
      <formula>$AO6="In Progress"</formula>
    </cfRule>
    <cfRule type="expression" priority="6" aboveAverage="0" equalAverage="0" bottom="0" percent="0" rank="0" text="" dxfId="23">
      <formula>$AO6="Behind"</formula>
    </cfRule>
    <cfRule type="expression" priority="7" aboveAverage="0" equalAverage="0" bottom="0" percent="0" rank="0" text="" dxfId="38">
      <formula>$AO6="Late Start"</formula>
    </cfRule>
    <cfRule type="expression" priority="8" aboveAverage="0" equalAverage="0" bottom="0" percent="0" rank="0" text="" dxfId="39">
      <formula>$AO6="Not Started"</formula>
    </cfRule>
  </conditionalFormatting>
  <conditionalFormatting sqref="AS6:AS205">
    <cfRule type="expression" priority="9" aboveAverage="0" equalAverage="0" bottom="0" percent="0" rank="0" text="" dxfId="23">
      <formula>AND(ISNUMBER($AS6),$AS6&gt;0)</formula>
    </cfRule>
    <cfRule type="expression" priority="10" aboveAverage="0" equalAverage="0" bottom="0" percent="0" rank="0" text="" dxfId="22">
      <formula>AND(ISNUMBER($AS6),$AS6&lt;0)</formula>
    </cfRule>
  </conditionalFormatting>
  <conditionalFormatting sqref="AN6:AN205">
    <cfRule type="expression" priority="11" aboveAverage="0" equalAverage="0" bottom="0" percent="0" rank="0" text="" dxfId="23">
      <formula>AND(ISNUMBER($AN6),$AN6&gt;0)</formula>
    </cfRule>
    <cfRule type="expression" priority="12" aboveAverage="0" equalAverage="0" bottom="0" percent="0" rank="0" text="" dxfId="22">
      <formula>AND(ISNUMBER($AN6),$AN6&lt;0)</formula>
    </cfRule>
  </conditionalFormatting>
  <conditionalFormatting sqref="BK6:BK205">
    <cfRule type="expression" priority="13" aboveAverage="0" equalAverage="0" bottom="0" percent="0" rank="0" text="" dxfId="23">
      <formula>AND(ISNUMBER($BK6),$BK6&gt;0)</formula>
    </cfRule>
    <cfRule type="expression" priority="14" aboveAverage="0" equalAverage="0" bottom="0" percent="0" rank="0" text="" dxfId="22">
      <formula>AND(ISNUMBER($BK6),$BK6&lt;0)</formula>
    </cfRule>
  </conditionalFormatting>
  <conditionalFormatting sqref="BL6:BL205">
    <cfRule type="expression" priority="15" aboveAverage="0" equalAverage="0" bottom="0" percent="0" rank="0" text="" dxfId="23">
      <formula>AND(ISNUMBER($BL6),$BL6&gt;0)</formula>
    </cfRule>
    <cfRule type="expression" priority="16" aboveAverage="0" equalAverage="0" bottom="0" percent="0" rank="0" text="" dxfId="22">
      <formula>AND(ISNUMBER($BL6),$BL6&lt;0)</formula>
    </cfRule>
  </conditionalFormatting>
  <conditionalFormatting sqref="D6:D205">
    <cfRule type="expression" priority="17" aboveAverage="0" equalAverage="0" bottom="0" percent="0" rank="0" text="" dxfId="40">
      <formula>AND($CA6=1,N($E6)=0)</formula>
    </cfRule>
  </conditionalFormatting>
  <conditionalFormatting sqref="BC6:BC205">
    <cfRule type="expression" priority="18" aboveAverage="0" equalAverage="0" bottom="0" percent="0" rank="0" text="" dxfId="41">
      <formula>$BC6="?"</formula>
    </cfRule>
  </conditionalFormatting>
  <conditionalFormatting sqref="B6:B205">
    <cfRule type="expression" priority="19" aboveAverage="0" equalAverage="0" bottom="0" percent="0" rank="0" text="" dxfId="20">
      <formula>OR(AND($D6&lt;&gt;"",$B6=""),AND($B6&lt;&gt;"",COUNTIF(tsk_UID,$B6)&gt;1))</formula>
    </cfRule>
  </conditionalFormatting>
  <conditionalFormatting sqref="AY6:AY205">
    <cfRule type="expression" priority="20" aboveAverage="0" equalAverage="0" bottom="0" percent="0" rank="0" text="" dxfId="42">
      <formula>$AY6&lt;&gt;""</formula>
    </cfRule>
  </conditionalFormatting>
  <conditionalFormatting sqref="AX6:AX205">
    <cfRule type="expression" priority="21" aboveAverage="0" equalAverage="0" bottom="0" percent="0" rank="0" text="" dxfId="23">
      <formula>LEFT($AX6,4)="Late"</formula>
    </cfRule>
    <cfRule type="expression" priority="22" aboveAverage="0" equalAverage="0" bottom="0" percent="0" rank="0" text="" dxfId="22">
      <formula>$AX6="OK"</formula>
    </cfRule>
  </conditionalFormatting>
  <conditionalFormatting sqref="BH6:BH205">
    <cfRule type="expression" priority="23" aboveAverage="0" equalAverage="0" bottom="0" percent="0" rank="0" text="" dxfId="20">
      <formula>$BH6="Yes"</formula>
    </cfRule>
  </conditionalFormatting>
  <conditionalFormatting sqref="AP6:AP205">
    <cfRule type="expression" priority="24" aboveAverage="0" equalAverage="0" bottom="0" percent="0" rank="0" text="" dxfId="24">
      <formula>$AP6="Yes"</formula>
    </cfRule>
  </conditionalFormatting>
  <conditionalFormatting sqref="AV6:AV205">
    <cfRule type="expression" priority="25" aboveAverage="0" equalAverage="0" bottom="0" percent="0" rank="0" text="" dxfId="23">
      <formula>AND(ISNUMBER($AV6),$AV6&lt;0)</formula>
    </cfRule>
  </conditionalFormatting>
  <conditionalFormatting sqref="AW6:AW205">
    <cfRule type="expression" priority="26" aboveAverage="0" equalAverage="0" bottom="0" percent="0" rank="0" text="" dxfId="23">
      <formula>AND(ISNUMBER($AW6),$AW6&lt;0)</formula>
    </cfRule>
  </conditionalFormatting>
  <conditionalFormatting sqref="GZ6:MS205">
    <cfRule type="expression" priority="27" aboveAverage="0" equalAverage="0" bottom="0" percent="0" rank="0" text="" dxfId="30">
      <formula>AND(N($AJ6)&gt;0,N($AJ6)&gt;=GZ$5,N($AJ6)&lt;IF(GanttPeriod&lt;28,GZ$5+GanttPeriod,EDATE(GZ$5,IF(GanttPeriod&gt;=90,3,1))))</formula>
    </cfRule>
    <cfRule type="expression" priority="28" aboveAverage="0" equalAverage="0" bottom="0" percent="0" rank="0" text="" dxfId="43">
      <formula>AND($BY6,AND($AE6&gt;0,GZ$5&lt;=$AF6,IF(GanttPeriod&lt;28,GZ$5+GanttPeriod,EDATE(GZ$5,IF(GanttPeriod&gt;=90,3,1)))-1&gt;=$AE6))</formula>
    </cfRule>
    <cfRule type="expression" priority="29" aboveAverage="0" equalAverage="0" bottom="0" percent="0" rank="0" text="" dxfId="31">
      <formula>AND($GM6,AND($AE6&gt;0,$AE6&gt;=GZ$5,$AE6&lt;IF(GanttPeriod&lt;28,GZ$5+GanttPeriod,EDATE(GZ$5,IF(GanttPeriod&gt;=90,3,1)))))</formula>
    </cfRule>
    <cfRule type="expression" priority="30" aboveAverage="0" equalAverage="0" bottom="0" percent="0" rank="0" text="" dxfId="25">
      <formula>AND($GN6&gt;0,GZ$5&lt;=$GO6,IF(GanttPeriod&lt;28,GZ$5+GanttPeriod,EDATE(GZ$5,IF(GanttPeriod&gt;=90,3,1)))-1&gt;=$GN6)</formula>
    </cfRule>
    <cfRule type="expression" priority="31" aboveAverage="0" equalAverage="0" bottom="0" percent="0" rank="0" text="" dxfId="44">
      <formula>AND($GR6,ISNUMBER($AR6),GZ$5&gt;$AR6,AND($GP6&gt;0,GZ$5&lt;=$GQ6,IF(GanttPeriod&lt;28,GZ$5+GanttPeriod,EDATE(GZ$5,IF(GanttPeriod&gt;=90,3,1)))-1&gt;=$GP6))</formula>
    </cfRule>
    <cfRule type="expression" priority="32" aboveAverage="0" equalAverage="0" bottom="0" percent="0" rank="0" text="" dxfId="26">
      <formula>AND($AP6="Yes",AND($GP6&gt;0,GZ$5&lt;=$GQ6,IF(GanttPeriod&lt;28,GZ$5+GanttPeriod,EDATE(GZ$5,IF(GanttPeriod&gt;=90,3,1)))-1&gt;=$GP6))</formula>
    </cfRule>
    <cfRule type="expression" priority="33" aboveAverage="0" equalAverage="0" bottom="0" percent="0" rank="0" text="" dxfId="45">
      <formula>AND($GP6&gt;0,GZ$5&lt;=$GQ6,IF(GanttPeriod&lt;28,GZ$5+GanttPeriod,EDATE(GZ$5,IF(GanttPeriod&gt;=90,3,1)))-1&gt;=$GP6)</formula>
    </cfRule>
    <cfRule type="expression" priority="34" aboveAverage="0" equalAverage="0" bottom="0" percent="0" rank="0" text="" dxfId="46">
      <formula>AND($GR6,ISNUMBER($AQ6),AND($AQ6&gt;0,GZ$5&lt;=$AR6,IF(GanttPeriod&lt;28,GZ$5+GanttPeriod,EDATE(GZ$5,IF(GanttPeriod&gt;=90,3,1)))-1&gt;=$AQ6))</formula>
    </cfRule>
    <cfRule type="expression" priority="35" aboveAverage="0" equalAverage="0" bottom="0" percent="0" rank="0" text="" dxfId="47">
      <formula>AND(AND($GR6,ISNUMBER($AQ6),AND($AQ6&gt;0,GZ$5&lt;=$AR6,IF(GanttPeriod&lt;28,GZ$5+GanttPeriod,EDATE(GZ$5,IF(GanttPeriod&gt;=90,3,1)))-1&gt;=$AQ6)),AND($AQ6&gt;0,$AQ6&gt;=GZ$5,$AQ6&lt;IF(GanttPeriod&lt;28,GZ$5+GanttPeriod,EDATE(GZ$5,IF(GanttPeriod&gt;=90,3,1)))),AND($AR6&gt;0,$AR6&gt;=GZ$5,$AR6&lt;IF(GanttPeriod&lt;28,GZ$5+GanttPeriod,EDATE(GZ$5,IF(GanttPeriod&gt;=90,3,1)))))</formula>
    </cfRule>
    <cfRule type="expression" priority="36" aboveAverage="0" equalAverage="0" bottom="0" percent="0" rank="0" text="" dxfId="48">
      <formula>AND(AND($GR6,ISNUMBER($AQ6),AND($AQ6&gt;0,GZ$5&lt;=$AR6,IF(GanttPeriod&lt;28,GZ$5+GanttPeriod,EDATE(GZ$5,IF(GanttPeriod&gt;=90,3,1)))-1&gt;=$AQ6)),AND($AQ6&gt;0,$AQ6&gt;=GZ$5,$AQ6&lt;IF(GanttPeriod&lt;28,GZ$5+GanttPeriod,EDATE(GZ$5,IF(GanttPeriod&gt;=90,3,1)))))</formula>
    </cfRule>
    <cfRule type="expression" priority="37" aboveAverage="0" equalAverage="0" bottom="0" percent="0" rank="0" text="" dxfId="49">
      <formula>AND(AND($GR6,ISNUMBER($AQ6),AND($AQ6&gt;0,GZ$5&lt;=$AR6,IF(GanttPeriod&lt;28,GZ$5+GanttPeriod,EDATE(GZ$5,IF(GanttPeriod&gt;=90,3,1)))-1&gt;=$AQ6)),AND($AR6&gt;0,$AR6&gt;=GZ$5,$AR6&lt;IF(GanttPeriod&lt;28,GZ$5+GanttPeriod,EDATE(GZ$5,IF(GanttPeriod&gt;=90,3,1)))))</formula>
    </cfRule>
    <cfRule type="expression" priority="38" aboveAverage="0" equalAverage="0" bottom="0" percent="0" rank="0" text="" dxfId="50">
      <formula>AND($GR6,ISNUMBER($AQ6),AND($AQ6&gt;0,GZ$5&lt;=$AR6,IF(GanttPeriod&lt;28,GZ$5+GanttPeriod,EDATE(GZ$5,IF(GanttPeriod&gt;=90,3,1)))-1&gt;=$AQ6))</formula>
    </cfRule>
    <cfRule type="expression" priority="39" aboveAverage="0" equalAverage="0" bottom="0" percent="0" rank="0" text="" dxfId="29">
      <formula>AND(StatusDate&gt;0,StatusDate&gt;=GZ$5,StatusDate&lt;IF(GanttPeriod&lt;28,GZ$5+GanttPeriod,EDATE(GZ$5,IF(GanttPeriod&gt;=90,3,1))))</formula>
    </cfRule>
    <cfRule type="expression" priority="40" aboveAverage="0" equalAverage="0" bottom="0" percent="0" rank="0" text="" dxfId="51">
      <formula>AND(GanttPeriod=1,NETWORKDAYS.INTL(GZ$5,GZ$5,WorkWeek,Holidays)=0)</formula>
    </cfRule>
  </conditionalFormatting>
  <conditionalFormatting sqref="GZ5:MS5">
    <cfRule type="expression" priority="41" aboveAverage="0" equalAverage="0" bottom="0" percent="0" rank="0" text="" dxfId="30">
      <formula>AND(StatusDate&gt;0,StatusDate&gt;=GZ$5,StatusDate&lt;IF(GanttPeriod&lt;28,GZ$5+GanttPeriod,EDATE(GZ$5,IF(GanttPeriod&gt;=90,3,1))))</formula>
    </cfRule>
    <cfRule type="expression" priority="42" aboveAverage="0" equalAverage="0" bottom="0" percent="0" rank="0" text="" dxfId="52">
      <formula>GanttPeriod&gt;=28</formula>
    </cfRule>
  </conditionalFormatting>
  <dataValidations count="37">
    <dataValidation allowBlank="false" error="A UID is a whole number used by no other task: type Settings &gt; NextFreeUID (also at the top of this sheet)." errorStyle="stop" errorTitle="UID" operator="between" prompt="Pre-filled and permanent: predecessors point at it. A new row: type the Next free UID shown at the top of this sheet. A duplicate is refused." promptTitle="UID" showDropDown="false" showErrorMessage="true" showInputMessage="true" sqref="B6:B205" type="custom">
      <formula1>AND(ISNUMBER(B6),B6&gt;=1,B6=INT(B6),COUNTIF(tsk_UID,B6)=1)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AK6:AK205" type="list">
      <formula1>L_Mode</formula1>
      <formula2>0</formula2>
    </dataValidation>
    <dataValidation allowBlank="false" error="Working days: 3, 3d or 2w (a week = 5 days). 0 = a milestone." errorStyle="stop" errorTitle="Duration" operator="between" prompt="e.g. 5, 5d or 2w (a week = 5 days). 0 = a milestone. Summaries roll up: leave them blank." promptTitle="Duration (working days)" showDropDown="false" showErrorMessage="true" showInputMessage="true" sqref="E6:E205" type="custom">
      <formula1>OR(AND(ISNUMBER(E6),E6&gt;=0),IFERROR(AND(OR(LOWER(RIGHT(E6,1))="d",LOWER(RIGHT(E6,1))="w"),VALUE(LEFT(E6,LEN(E6)-1))&gt;=0),0))</formula1>
      <formula2>0</formula2>
    </dataValidation>
    <dataValidation allowBlank="false" error="Type a date on or after the project start (Start sheet)." errorStyle="stop" errorTitle="Date" operator="greaterThanOrEqual" showDropDown="false" showErrorMessage="true" showInputMessage="false" sqref="AM6:AM205" type="date">
      <formula1>ProjectStart</formula1>
      <formula2>0</formula2>
    </dataValidation>
    <dataValidation allowBlank="false" error="Type a date on or after the project start (Start sheet)." errorStyle="stop" errorTitle="Date" operator="greaterThanOrEqual" prompt="Optional: the date it must be done by. Issues and the Gantt flag a forecast after it." promptTitle="Deadline" showDropDown="false" showErrorMessage="true" showInputMessage="true" sqref="AJ6:AJ205" type="date">
      <formula1>ProjectStart</formula1>
      <formula2>0</formula2>
    </dataValidation>
    <dataValidation allowBlank="false" error="Type a date on or after the project start (Start sheet)." errorStyle="stop" errorTitle="Date" operator="greaterThanOrEqual" prompt="The day work really started. Leave blank until it starts." promptTitle="Actual Start" showDropDown="false" showErrorMessage="true" showInputMessage="true" sqref="AC6:AC205" type="date">
      <formula1>ProjectStart</formula1>
      <formula2>0</formula2>
    </dataValidation>
    <dataValidation allowBlank="false" error="Type a date on or after the project start (Start sheet)." errorStyle="stop" errorTitle="Date" operator="greaterThanOrEqual" prompt="The day it really finished: the task counts as 100% complete." promptTitle="Actual Finish" showDropDown="false" showErrorMessage="true" showInputMessage="true" sqref="AD6:AD205" type="date">
      <formula1>ProjectStart</formula1>
      <formula2>0</formula2>
    </dataValidation>
    <dataValidation allowBlank="false" errorStyle="stop" operator="between" showDropDown="false" showErrorMessage="false" showInputMessage="false" sqref="AL6:AL205" type="list">
      <formula1>L_Constraint</formula1>
      <formula2>0</formula2>
    </dataValidation>
    <dataValidation allowBlank="false" error="Enter 0% - 100%." errorStyle="stop" operator="between" prompt="Only to override the Stage's %: 0% - 100%. Blank = the Stage's %." promptTitle="% Complete (optional)" showDropDown="false" showErrorMessage="true" showInputMessage="true" sqref="AZ6:AZ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AB6:AB205" type="list">
      <formula1>L_Stage</formula1>
      <formula2>0</formula2>
    </dataValidation>
    <dataValidation allowBlank="false" errorStyle="stop" operator="between" prompt="Used only while Res1-4 are blank: e.g. Alex Chen, JL[50%]. Pasted or imported plans land here." promptTitle="Resources (typed)" showDropDown="false" showErrorMessage="false" showInputMessage="true" sqref="AA6:AA205" type="list">
      <formula1>res_Name</formula1>
      <formula2>0</formula2>
    </dataValidation>
    <dataValidation allowBlank="false" errorStyle="stop" operator="greaterThanOrEqual" showDropDown="false" showErrorMessage="false" showInputMessage="false" sqref="BI6:BI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AH6:AH205" type="none">
      <formula1>0</formula1>
      <formula2>0</formula2>
    </dataValidation>
    <dataValidation allowBlank="true" errorStyle="stop" operator="between" prompt="Used only while Pred1-4 are blank: e.g. 12, 14SS+2d (by UID). Pasted or imported plans land here." promptTitle="Predecessors (typed)" showDropDown="false" showErrorMessage="false" showInputMessage="true" sqref="R6:R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BF6:BF205" type="none">
      <formula1>0</formula1>
      <formula2>0</formula2>
    </dataValidation>
    <dataValidation allowBlank="false" errorStyle="stop" operator="between" prompt="Pick the task that must come first (UID and name), or type its UID. It must be a detail task listed above this one." promptTitle="Predecessor 1" showDropDown="false" showErrorMessage="false" showInputMessage="true" sqref="F6:F205" type="list">
      <formula1>tsk_PickList</formula1>
      <formula2>0</formula2>
    </dataValidation>
    <dataValidation allowBlank="false" errorStyle="stop" operator="between" prompt="Pick the task that must come first (UID and name), or type its UID. It must be a detail task listed above this one." promptTitle="Predecessor 2" showDropDown="false" showErrorMessage="false" showInputMessage="true" sqref="I6:I205" type="list">
      <formula1>tsk_PickList</formula1>
      <formula2>0</formula2>
    </dataValidation>
    <dataValidation allowBlank="false" errorStyle="stop" operator="between" prompt="Pick the task that must come first (UID and name), or type its UID. It must be a detail task listed above this one." promptTitle="Predecessor 3" showDropDown="false" showErrorMessage="false" showInputMessage="true" sqref="L6:L205" type="list">
      <formula1>tsk_PickList</formula1>
      <formula2>0</formula2>
    </dataValidation>
    <dataValidation allowBlank="false" errorStyle="stop" operator="between" prompt="Pick the task that must come first (UID and name), or type its UID. It must be a detail task listed above this one." promptTitle="Predecessor 4" showDropDown="false" showErrorMessage="false" showInputMessage="true" sqref="O6:O205" type="list">
      <formula1>tsk_PickList</formula1>
      <formula2>0</formula2>
    </dataValidation>
    <dataValidation allowBlank="false" errorStyle="stop" operator="between" prompt="Blank or FS = after it finishes; SS = after it starts; FF = finish together; SF = finish after it starts." promptTitle="Link type 1" showDropDown="false" showErrorMessage="false" showInputMessage="true" sqref="G6:G205" type="list">
      <formula1>L_DepType</formula1>
      <formula2>0</formula2>
    </dataValidation>
    <dataValidation allowBlank="false" errorStyle="stop" operator="between" prompt="Blank or FS = after it finishes; SS = after it starts; FF = finish together; SF = finish after it starts." promptTitle="Link type 2" showDropDown="false" showErrorMessage="false" showInputMessage="true" sqref="J6:J205" type="list">
      <formula1>L_DepType</formula1>
      <formula2>0</formula2>
    </dataValidation>
    <dataValidation allowBlank="false" errorStyle="stop" operator="between" prompt="Blank or FS = after it finishes; SS = after it starts; FF = finish together; SF = finish after it starts." promptTitle="Link type 3" showDropDown="false" showErrorMessage="false" showInputMessage="true" sqref="M6:M205" type="list">
      <formula1>L_DepType</formula1>
      <formula2>0</formula2>
    </dataValidation>
    <dataValidation allowBlank="false" errorStyle="stop" operator="between" prompt="Blank or FS = after it finishes; SS = after it starts; FF = finish together; SF = finish after it starts." promptTitle="Link type 4" showDropDown="false" showErrorMessage="false" showInputMessage="true" sqref="P6:P205" type="list">
      <formula1>L_DepType</formula1>
      <formula2>0</formula2>
    </dataValidation>
    <dataValidation allowBlank="false" error="Lag in working days, e.g. 2 or -1." errorStyle="stop" operator="between" prompt="Optional: days to wait after the link, e.g. 2. Negative = a lead (overlap), e.g. -1." promptTitle="Lag 1 (working days)" showDropDown="false" showErrorMessage="true" showInputMessage="true" sqref="H6:H205" type="decimal">
      <formula1>-999</formula1>
      <formula2>999</formula2>
    </dataValidation>
    <dataValidation allowBlank="false" error="Lag in working days, e.g. 2 or -1." errorStyle="stop" operator="between" prompt="Optional: days to wait after the link, e.g. 2. Negative = a lead (overlap), e.g. -1." promptTitle="Lag 2 (working days)" showDropDown="false" showErrorMessage="true" showInputMessage="true" sqref="K6:K205" type="decimal">
      <formula1>-999</formula1>
      <formula2>999</formula2>
    </dataValidation>
    <dataValidation allowBlank="false" error="Lag in working days, e.g. 2 or -1." errorStyle="stop" operator="between" prompt="Optional: days to wait after the link, e.g. 2. Negative = a lead (overlap), e.g. -1." promptTitle="Lag 3 (working days)" showDropDown="false" showErrorMessage="true" showInputMessage="true" sqref="N6:N205" type="decimal">
      <formula1>-999</formula1>
      <formula2>999</formula2>
    </dataValidation>
    <dataValidation allowBlank="false" error="Lag in working days, e.g. 2 or -1." errorStyle="stop" operator="between" prompt="Optional: days to wait after the link, e.g. 2. Negative = a lead (overlap), e.g. -1." promptTitle="Lag 4 (working days)" showDropDown="false" showErrorMessage="true" showInputMessage="true" sqref="Q6:Q205" type="decimal">
      <formula1>-999</formula1>
      <formula2>999</formula2>
    </dataValidation>
    <dataValidation allowBlank="false" errorStyle="stop" operator="between" prompt="Pick a person from Resources (add people there first)." promptTitle="Resource 1" showDropDown="false" showErrorMessage="false" showInputMessage="true" sqref="S6:S205" type="list">
      <formula1>res_Name</formula1>
      <formula2>0</formula2>
    </dataValidation>
    <dataValidation allowBlank="false" errorStyle="stop" operator="between" prompt="Pick a person from Resources (add people there first)." promptTitle="Resource 2" showDropDown="false" showErrorMessage="false" showInputMessage="true" sqref="U6:U205" type="list">
      <formula1>res_Name</formula1>
      <formula2>0</formula2>
    </dataValidation>
    <dataValidation allowBlank="false" errorStyle="stop" operator="between" prompt="Pick a person from Resources (add people there first)." promptTitle="Resource 3" showDropDown="false" showErrorMessage="false" showInputMessage="true" sqref="W6:W205" type="list">
      <formula1>res_Name</formula1>
      <formula2>0</formula2>
    </dataValidation>
    <dataValidation allowBlank="false" errorStyle="stop" operator="between" prompt="Pick a person from Resources (add people there first)." promptTitle="Resource 4" showDropDown="false" showErrorMessage="false" showInputMessage="true" sqref="Y6:Y205" type="list">
      <formula1>res_Name</formula1>
      <formula2>0</formula2>
    </dataValidation>
    <dataValidation allowBlank="false" error="A share of their time: 0% - 100%." errorStyle="stop" operator="between" prompt="Optional: their share of time on this task, e.g. 50%. Blank = Settings &gt; DefaultUnits." promptTitle="Units 1" showDropDown="false" showErrorMessage="true" showInputMessage="true" sqref="T6:T205" type="decimal">
      <formula1>0</formula1>
      <formula2>1</formula2>
    </dataValidation>
    <dataValidation allowBlank="false" error="A share of their time: 0% - 100%." errorStyle="stop" operator="between" prompt="Optional: their share of time on this task, e.g. 50%. Blank = Settings &gt; DefaultUnits." promptTitle="Units 2" showDropDown="false" showErrorMessage="true" showInputMessage="true" sqref="V6:V205" type="decimal">
      <formula1>0</formula1>
      <formula2>1</formula2>
    </dataValidation>
    <dataValidation allowBlank="false" error="A share of their time: 0% - 100%." errorStyle="stop" operator="between" prompt="Optional: their share of time on this task, e.g. 50%. Blank = Settings &gt; DefaultUnits." promptTitle="Units 3" showDropDown="false" showErrorMessage="true" showInputMessage="true" sqref="X6:X205" type="decimal">
      <formula1>0</formula1>
      <formula2>1</formula2>
    </dataValidation>
    <dataValidation allowBlank="false" error="A share of their time: 0% - 100%." errorStyle="stop" operator="between" prompt="Optional: their share of time on this task, e.g. 50%. Blank = Settings &gt; DefaultUnits." promptTitle="Units 4" showDropDown="false" showErrorMessage="true" showInputMessage="true" sqref="Z6:Z205" type="decimal">
      <formula1>0</formula1>
      <formula2>1</formula2>
    </dataValidation>
  </dataValidations>
  <hyperlinks>
    <hyperlink ref="AA3" location="Tasks!GZ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X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13" min="4" style="0" width="3.61"/>
    <col collapsed="false" customWidth="true" hidden="true" outlineLevel="0" max="14" min="14" style="0" width="3.61"/>
    <col collapsed="false" customWidth="true" hidden="false" outlineLevel="0" max="34" min="15" style="0" width="3.61"/>
    <col collapsed="false" customWidth="true" hidden="false" outlineLevel="0" max="35" min="35" style="0" width="26"/>
    <col collapsed="false" customWidth="true" hidden="true" outlineLevel="0" max="36" min="36" style="0" width="6"/>
    <col collapsed="false" customWidth="true" hidden="false" outlineLevel="0" max="50" min="37" style="0" width="11"/>
  </cols>
  <sheetData>
    <row r="1" customFormat="false" ht="19.7" hidden="false" customHeight="false" outlineLevel="0" collapsed="false">
      <c r="A1" s="14" t="s">
        <v>631</v>
      </c>
    </row>
    <row r="2" customFormat="false" ht="15" hidden="false" customHeight="false" outlineLevel="0" collapsed="false">
      <c r="A2" s="2" t="s">
        <v>632</v>
      </c>
    </row>
    <row r="5" customFormat="false" ht="135.8" hidden="false" customHeight="false" outlineLevel="0" collapsed="false">
      <c r="B5" s="18" t="s">
        <v>633</v>
      </c>
      <c r="C5" s="18" t="s">
        <v>634</v>
      </c>
      <c r="D5" s="18" t="s">
        <v>635</v>
      </c>
      <c r="E5" s="18" t="s">
        <v>636</v>
      </c>
      <c r="F5" s="18" t="s">
        <v>637</v>
      </c>
      <c r="G5" s="18" t="s">
        <v>169</v>
      </c>
      <c r="H5" s="18" t="s">
        <v>638</v>
      </c>
      <c r="I5" s="18" t="s">
        <v>639</v>
      </c>
      <c r="J5" s="18" t="s">
        <v>640</v>
      </c>
      <c r="K5" s="17" t="s">
        <v>138</v>
      </c>
      <c r="L5" s="17" t="s">
        <v>238</v>
      </c>
      <c r="M5" s="18" t="s">
        <v>173</v>
      </c>
      <c r="N5" s="41" t="s">
        <v>641</v>
      </c>
      <c r="O5" s="18" t="s">
        <v>642</v>
      </c>
      <c r="P5" s="18" t="s">
        <v>643</v>
      </c>
      <c r="Q5" s="18" t="s">
        <v>644</v>
      </c>
      <c r="R5" s="18" t="s">
        <v>645</v>
      </c>
      <c r="S5" s="18" t="s">
        <v>646</v>
      </c>
      <c r="T5" s="18" t="s">
        <v>647</v>
      </c>
      <c r="U5" s="18" t="s">
        <v>648</v>
      </c>
      <c r="V5" s="18" t="s">
        <v>649</v>
      </c>
      <c r="W5" s="18" t="s">
        <v>650</v>
      </c>
      <c r="X5" s="18" t="s">
        <v>651</v>
      </c>
      <c r="Y5" s="18" t="s">
        <v>652</v>
      </c>
      <c r="Z5" s="18" t="s">
        <v>653</v>
      </c>
      <c r="AA5" s="18" t="s">
        <v>654</v>
      </c>
      <c r="AB5" s="18" t="s">
        <v>655</v>
      </c>
      <c r="AC5" s="18" t="s">
        <v>656</v>
      </c>
      <c r="AD5" s="18" t="s">
        <v>657</v>
      </c>
      <c r="AE5" s="18" t="s">
        <v>658</v>
      </c>
      <c r="AF5" s="18" t="s">
        <v>659</v>
      </c>
      <c r="AG5" s="18" t="s">
        <v>660</v>
      </c>
      <c r="AH5" s="18" t="s">
        <v>661</v>
      </c>
      <c r="AI5" s="18" t="s">
        <v>662</v>
      </c>
      <c r="AJ5" s="18" t="s">
        <v>663</v>
      </c>
      <c r="AK5" s="18" t="s">
        <v>664</v>
      </c>
      <c r="AL5" s="18" t="s">
        <v>665</v>
      </c>
      <c r="AM5" s="18" t="s">
        <v>666</v>
      </c>
      <c r="AN5" s="18" t="s">
        <v>667</v>
      </c>
      <c r="AO5" s="18" t="s">
        <v>668</v>
      </c>
      <c r="AP5" s="18" t="s">
        <v>669</v>
      </c>
      <c r="AQ5" s="18" t="s">
        <v>670</v>
      </c>
      <c r="AR5" s="18" t="s">
        <v>671</v>
      </c>
      <c r="AS5" s="18" t="s">
        <v>672</v>
      </c>
      <c r="AT5" s="18" t="s">
        <v>673</v>
      </c>
      <c r="AU5" s="18" t="s">
        <v>674</v>
      </c>
      <c r="AV5" s="18" t="s">
        <v>675</v>
      </c>
      <c r="AW5" s="18" t="s">
        <v>676</v>
      </c>
      <c r="AX5" s="18" t="s">
        <v>677</v>
      </c>
    </row>
    <row r="6" customFormat="false" ht="15" hidden="false" customHeight="false" outlineLevel="0" collapsed="false">
      <c r="B6" s="23" t="s">
        <v>6</v>
      </c>
      <c r="C6" s="23" t="s">
        <v>678</v>
      </c>
      <c r="D6" s="23" t="s">
        <v>679</v>
      </c>
      <c r="E6" s="23" t="s">
        <v>238</v>
      </c>
      <c r="F6" s="64" t="n">
        <v>0.5</v>
      </c>
      <c r="G6" s="7"/>
      <c r="H6" s="7"/>
      <c r="I6" s="64" t="n">
        <v>0</v>
      </c>
      <c r="J6" s="23" t="s">
        <v>680</v>
      </c>
      <c r="K6"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6"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32</v>
      </c>
      <c r="M6" s="23"/>
      <c r="N6" s="92" t="n">
        <f aca="false">IF(ResourceTable[[#This Row],[Focus %]]="",FocusFactor,N(ResourceTable[[#This Row],[Focus %]]))</f>
        <v>0</v>
      </c>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row>
    <row r="7" customFormat="false" ht="15" hidden="false" customHeight="false" outlineLevel="0" collapsed="false">
      <c r="B7" s="23" t="s">
        <v>613</v>
      </c>
      <c r="C7" s="23" t="s">
        <v>681</v>
      </c>
      <c r="D7" s="23" t="s">
        <v>682</v>
      </c>
      <c r="E7" s="23" t="s">
        <v>238</v>
      </c>
      <c r="F7" s="64" t="n">
        <v>1</v>
      </c>
      <c r="G7" s="7"/>
      <c r="H7" s="7"/>
      <c r="I7" s="64"/>
      <c r="J7" s="23" t="s">
        <v>683</v>
      </c>
      <c r="K7"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7"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80</v>
      </c>
      <c r="M7" s="23"/>
      <c r="N7" s="92" t="n">
        <f aca="false">IF(ResourceTable[[#This Row],[Focus %]]="",FocusFactor,N(ResourceTable[[#This Row],[Focus %]]))</f>
        <v>0.8</v>
      </c>
      <c r="O7" s="23"/>
      <c r="P7" s="23"/>
      <c r="Q7" s="23"/>
      <c r="R7" s="23"/>
      <c r="S7" s="23"/>
      <c r="T7" s="23"/>
      <c r="U7" s="23"/>
      <c r="V7" s="23"/>
      <c r="W7" s="23"/>
      <c r="X7" s="23"/>
      <c r="Y7" s="23"/>
      <c r="Z7" s="23" t="s">
        <v>684</v>
      </c>
      <c r="AA7" s="23"/>
      <c r="AB7" s="23"/>
      <c r="AC7" s="23"/>
      <c r="AD7" s="23"/>
      <c r="AE7" s="23"/>
      <c r="AF7" s="23"/>
      <c r="AG7" s="23"/>
      <c r="AH7" s="23"/>
      <c r="AI7" s="23"/>
      <c r="AJ7" s="23"/>
      <c r="AK7" s="23"/>
      <c r="AL7" s="23"/>
      <c r="AM7" s="23"/>
      <c r="AN7" s="23"/>
      <c r="AO7" s="23"/>
      <c r="AP7" s="23"/>
      <c r="AQ7" s="23"/>
      <c r="AR7" s="23"/>
      <c r="AS7" s="23"/>
      <c r="AT7" s="23"/>
      <c r="AU7" s="23"/>
      <c r="AV7" s="23"/>
      <c r="AW7" s="23"/>
      <c r="AX7" s="23"/>
    </row>
    <row r="8" customFormat="false" ht="15" hidden="false" customHeight="false" outlineLevel="0" collapsed="false">
      <c r="B8" s="23" t="s">
        <v>685</v>
      </c>
      <c r="C8" s="23" t="s">
        <v>686</v>
      </c>
      <c r="D8" s="23" t="s">
        <v>687</v>
      </c>
      <c r="E8" s="23" t="s">
        <v>238</v>
      </c>
      <c r="F8" s="64" t="n">
        <v>0.5</v>
      </c>
      <c r="G8" s="7"/>
      <c r="H8" s="7"/>
      <c r="I8" s="64" t="n">
        <v>0</v>
      </c>
      <c r="J8" s="23" t="s">
        <v>688</v>
      </c>
      <c r="K8"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8"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8" s="23"/>
      <c r="N8" s="92" t="n">
        <f aca="false">IF(ResourceTable[[#This Row],[Focus %]]="",FocusFactor,N(ResourceTable[[#This Row],[Focus %]]))</f>
        <v>0</v>
      </c>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row>
    <row r="9" customFormat="false" ht="15" hidden="false" customHeight="false" outlineLevel="0" collapsed="false">
      <c r="B9" s="23" t="s">
        <v>619</v>
      </c>
      <c r="C9" s="23" t="s">
        <v>689</v>
      </c>
      <c r="D9" s="23" t="s">
        <v>690</v>
      </c>
      <c r="E9" s="23" t="s">
        <v>238</v>
      </c>
      <c r="F9" s="64" t="n">
        <v>1</v>
      </c>
      <c r="G9" s="7"/>
      <c r="H9" s="7"/>
      <c r="I9" s="64"/>
      <c r="J9" s="23" t="s">
        <v>691</v>
      </c>
      <c r="K9"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9"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48</v>
      </c>
      <c r="M9" s="23"/>
      <c r="N9" s="92" t="n">
        <f aca="false">IF(ResourceTable[[#This Row],[Focus %]]="",FocusFactor,N(ResourceTable[[#This Row],[Focus %]]))</f>
        <v>0.8</v>
      </c>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row>
    <row r="10" customFormat="false" ht="15" hidden="false" customHeight="false" outlineLevel="0" collapsed="false">
      <c r="B10" s="23" t="s">
        <v>692</v>
      </c>
      <c r="C10" s="23" t="s">
        <v>693</v>
      </c>
      <c r="D10" s="23" t="s">
        <v>694</v>
      </c>
      <c r="E10" s="23" t="s">
        <v>238</v>
      </c>
      <c r="F10" s="64" t="n">
        <v>1</v>
      </c>
      <c r="G10" s="7"/>
      <c r="H10" s="7"/>
      <c r="I10" s="64"/>
      <c r="J10" s="23" t="s">
        <v>695</v>
      </c>
      <c r="K10"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0</v>
      </c>
      <c r="L10"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0</v>
      </c>
      <c r="M10" s="23"/>
      <c r="N10" s="92" t="n">
        <f aca="false">IF(ResourceTable[[#This Row],[Focus %]]="",FocusFactor,N(ResourceTable[[#This Row],[Focus %]]))</f>
        <v>0.8</v>
      </c>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row>
    <row r="11" customFormat="false" ht="15" hidden="false" customHeight="false" outlineLevel="0" collapsed="false">
      <c r="B11" s="23" t="s">
        <v>625</v>
      </c>
      <c r="C11" s="23" t="s">
        <v>696</v>
      </c>
      <c r="D11" s="23" t="s">
        <v>697</v>
      </c>
      <c r="E11" s="23" t="s">
        <v>238</v>
      </c>
      <c r="F11" s="64" t="n">
        <v>1</v>
      </c>
      <c r="G11" s="7"/>
      <c r="H11" s="7"/>
      <c r="I11" s="64"/>
      <c r="J11" s="23" t="s">
        <v>698</v>
      </c>
      <c r="K11"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1"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60</v>
      </c>
      <c r="M11" s="23"/>
      <c r="N11" s="92" t="n">
        <f aca="false">IF(ResourceTable[[#This Row],[Focus %]]="",FocusFactor,N(ResourceTable[[#This Row],[Focus %]]))</f>
        <v>0.8</v>
      </c>
      <c r="O11" s="23"/>
      <c r="P11" s="23"/>
      <c r="Q11" s="23"/>
      <c r="R11" s="23"/>
      <c r="S11" s="23"/>
      <c r="T11" s="23"/>
      <c r="U11" s="23"/>
      <c r="V11" s="23"/>
      <c r="W11" s="23"/>
      <c r="X11" s="23"/>
      <c r="Y11" s="23" t="s">
        <v>699</v>
      </c>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row>
    <row r="12" customFormat="false" ht="15" hidden="false" customHeight="false" outlineLevel="0" collapsed="false">
      <c r="B12" s="23" t="s">
        <v>623</v>
      </c>
      <c r="C12" s="23" t="s">
        <v>700</v>
      </c>
      <c r="D12" s="23" t="s">
        <v>701</v>
      </c>
      <c r="E12" s="23" t="s">
        <v>238</v>
      </c>
      <c r="F12" s="64" t="n">
        <v>1</v>
      </c>
      <c r="G12" s="7"/>
      <c r="H12" s="7"/>
      <c r="I12" s="64"/>
      <c r="J12" s="23" t="s">
        <v>702</v>
      </c>
      <c r="K12" s="68"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12" s="85"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120</v>
      </c>
      <c r="M12" s="23"/>
      <c r="N12" s="92" t="n">
        <f aca="false">IF(ResourceTable[[#This Row],[Focus %]]="",FocusFactor,N(ResourceTable[[#This Row],[Focus %]]))</f>
        <v>0.8</v>
      </c>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row>
    <row r="13" customFormat="false" ht="15" hidden="false" customHeight="false" outlineLevel="0" collapsed="false">
      <c r="B13" s="23"/>
      <c r="C13" s="23"/>
      <c r="D13" s="23"/>
      <c r="E13" s="23"/>
      <c r="F13" s="64"/>
      <c r="G13" s="7"/>
      <c r="H13" s="7"/>
      <c r="I13" s="64"/>
      <c r="J13" s="23"/>
      <c r="K1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c r="N13" s="92" t="n">
        <f aca="false">IF(ResourceTable[[#This Row],[Focus %]]="",FocusFactor,N(ResourceTable[[#This Row],[Focus %]]))</f>
        <v>0.8</v>
      </c>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row>
    <row r="14" customFormat="false" ht="15" hidden="false" customHeight="false" outlineLevel="0" collapsed="false">
      <c r="B14" s="23"/>
      <c r="C14" s="23"/>
      <c r="D14" s="23"/>
      <c r="E14" s="23"/>
      <c r="F14" s="64"/>
      <c r="G14" s="7"/>
      <c r="H14" s="7"/>
      <c r="I14" s="64"/>
      <c r="J14" s="23"/>
      <c r="K1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c r="N14" s="92" t="n">
        <f aca="false">IF(ResourceTable[[#This Row],[Focus %]]="",FocusFactor,N(ResourceTable[[#This Row],[Focus %]]))</f>
        <v>0.8</v>
      </c>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row>
    <row r="15" customFormat="false" ht="15" hidden="false" customHeight="false" outlineLevel="0" collapsed="false">
      <c r="B15" s="23"/>
      <c r="C15" s="23"/>
      <c r="D15" s="23"/>
      <c r="E15" s="23"/>
      <c r="F15" s="64"/>
      <c r="G15" s="7"/>
      <c r="H15" s="7"/>
      <c r="I15" s="64"/>
      <c r="J15" s="23"/>
      <c r="K1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c r="N15" s="92" t="n">
        <f aca="false">IF(ResourceTable[[#This Row],[Focus %]]="",FocusFactor,N(ResourceTable[[#This Row],[Focus %]]))</f>
        <v>0.8</v>
      </c>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row>
    <row r="16" customFormat="false" ht="15" hidden="false" customHeight="false" outlineLevel="0" collapsed="false">
      <c r="B16" s="23"/>
      <c r="C16" s="23"/>
      <c r="D16" s="23"/>
      <c r="E16" s="23"/>
      <c r="F16" s="64"/>
      <c r="G16" s="7"/>
      <c r="H16" s="7"/>
      <c r="I16" s="64"/>
      <c r="J16" s="23"/>
      <c r="K1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c r="N16" s="92" t="n">
        <f aca="false">IF(ResourceTable[[#This Row],[Focus %]]="",FocusFactor,N(ResourceTable[[#This Row],[Focus %]]))</f>
        <v>0.8</v>
      </c>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row>
    <row r="17" customFormat="false" ht="15" hidden="false" customHeight="false" outlineLevel="0" collapsed="false">
      <c r="B17" s="23"/>
      <c r="C17" s="23"/>
      <c r="D17" s="23"/>
      <c r="E17" s="23"/>
      <c r="F17" s="64"/>
      <c r="G17" s="7"/>
      <c r="H17" s="7"/>
      <c r="I17" s="64"/>
      <c r="J17" s="23"/>
      <c r="K1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c r="N17" s="92" t="n">
        <f aca="false">IF(ResourceTable[[#This Row],[Focus %]]="",FocusFactor,N(ResourceTable[[#This Row],[Focus %]]))</f>
        <v>0.8</v>
      </c>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row>
    <row r="18" customFormat="false" ht="15" hidden="false" customHeight="false" outlineLevel="0" collapsed="false">
      <c r="B18" s="23"/>
      <c r="C18" s="23"/>
      <c r="D18" s="23"/>
      <c r="E18" s="23"/>
      <c r="F18" s="64"/>
      <c r="G18" s="7"/>
      <c r="H18" s="7"/>
      <c r="I18" s="64"/>
      <c r="J18" s="23"/>
      <c r="K1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c r="N18" s="92" t="n">
        <f aca="false">IF(ResourceTable[[#This Row],[Focus %]]="",FocusFactor,N(ResourceTable[[#This Row],[Focus %]]))</f>
        <v>0.8</v>
      </c>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row>
    <row r="19" customFormat="false" ht="15" hidden="false" customHeight="false" outlineLevel="0" collapsed="false">
      <c r="B19" s="23"/>
      <c r="C19" s="23"/>
      <c r="D19" s="23"/>
      <c r="E19" s="23"/>
      <c r="F19" s="64"/>
      <c r="G19" s="7"/>
      <c r="H19" s="7"/>
      <c r="I19" s="64"/>
      <c r="J19" s="23"/>
      <c r="K1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c r="N19" s="92" t="n">
        <f aca="false">IF(ResourceTable[[#This Row],[Focus %]]="",FocusFactor,N(ResourceTable[[#This Row],[Focus %]]))</f>
        <v>0.8</v>
      </c>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row>
    <row r="20" customFormat="false" ht="15" hidden="false" customHeight="false" outlineLevel="0" collapsed="false">
      <c r="B20" s="23"/>
      <c r="C20" s="23"/>
      <c r="D20" s="23"/>
      <c r="E20" s="23"/>
      <c r="F20" s="64"/>
      <c r="G20" s="7"/>
      <c r="H20" s="7"/>
      <c r="I20" s="64"/>
      <c r="J20" s="23"/>
      <c r="K2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c r="N20" s="92" t="n">
        <f aca="false">IF(ResourceTable[[#This Row],[Focus %]]="",FocusFactor,N(ResourceTable[[#This Row],[Focus %]]))</f>
        <v>0.8</v>
      </c>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row>
    <row r="21" customFormat="false" ht="15" hidden="false" customHeight="false" outlineLevel="0" collapsed="false">
      <c r="B21" s="23"/>
      <c r="C21" s="23"/>
      <c r="D21" s="23"/>
      <c r="E21" s="23"/>
      <c r="F21" s="64"/>
      <c r="G21" s="7"/>
      <c r="H21" s="7"/>
      <c r="I21" s="64"/>
      <c r="J21" s="23"/>
      <c r="K2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c r="N21" s="92" t="n">
        <f aca="false">IF(ResourceTable[[#This Row],[Focus %]]="",FocusFactor,N(ResourceTable[[#This Row],[Focus %]]))</f>
        <v>0.8</v>
      </c>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row>
    <row r="22" customFormat="false" ht="15" hidden="false" customHeight="false" outlineLevel="0" collapsed="false">
      <c r="B22" s="23"/>
      <c r="C22" s="23"/>
      <c r="D22" s="23"/>
      <c r="E22" s="23"/>
      <c r="F22" s="64"/>
      <c r="G22" s="7"/>
      <c r="H22" s="7"/>
      <c r="I22" s="64"/>
      <c r="J22" s="23"/>
      <c r="K2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c r="N22" s="92" t="n">
        <f aca="false">IF(ResourceTable[[#This Row],[Focus %]]="",FocusFactor,N(ResourceTable[[#This Row],[Focus %]]))</f>
        <v>0.8</v>
      </c>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row>
    <row r="23" customFormat="false" ht="15" hidden="false" customHeight="false" outlineLevel="0" collapsed="false">
      <c r="B23" s="23"/>
      <c r="C23" s="23"/>
      <c r="D23" s="23"/>
      <c r="E23" s="23"/>
      <c r="F23" s="64"/>
      <c r="G23" s="7"/>
      <c r="H23" s="7"/>
      <c r="I23" s="64"/>
      <c r="J23" s="23"/>
      <c r="K2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c r="N23" s="92" t="n">
        <f aca="false">IF(ResourceTable[[#This Row],[Focus %]]="",FocusFactor,N(ResourceTable[[#This Row],[Focus %]]))</f>
        <v>0.8</v>
      </c>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row>
    <row r="24" customFormat="false" ht="15" hidden="false" customHeight="false" outlineLevel="0" collapsed="false">
      <c r="B24" s="23"/>
      <c r="C24" s="23"/>
      <c r="D24" s="23"/>
      <c r="E24" s="23"/>
      <c r="F24" s="64"/>
      <c r="G24" s="7"/>
      <c r="H24" s="7"/>
      <c r="I24" s="64"/>
      <c r="J24" s="23"/>
      <c r="K2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c r="N24" s="92" t="n">
        <f aca="false">IF(ResourceTable[[#This Row],[Focus %]]="",FocusFactor,N(ResourceTable[[#This Row],[Focus %]]))</f>
        <v>0.8</v>
      </c>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row>
    <row r="25" customFormat="false" ht="15" hidden="false" customHeight="false" outlineLevel="0" collapsed="false">
      <c r="B25" s="23"/>
      <c r="C25" s="23"/>
      <c r="D25" s="23"/>
      <c r="E25" s="23"/>
      <c r="F25" s="64"/>
      <c r="G25" s="7"/>
      <c r="H25" s="7"/>
      <c r="I25" s="64"/>
      <c r="J25" s="23"/>
      <c r="K2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c r="N25" s="92" t="n">
        <f aca="false">IF(ResourceTable[[#This Row],[Focus %]]="",FocusFactor,N(ResourceTable[[#This Row],[Focus %]]))</f>
        <v>0.8</v>
      </c>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row>
    <row r="26" customFormat="false" ht="15" hidden="false" customHeight="false" outlineLevel="0" collapsed="false">
      <c r="B26" s="23"/>
      <c r="C26" s="23"/>
      <c r="D26" s="23"/>
      <c r="E26" s="23"/>
      <c r="F26" s="64"/>
      <c r="G26" s="7"/>
      <c r="H26" s="7"/>
      <c r="I26" s="64"/>
      <c r="J26" s="23"/>
      <c r="K2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c r="N26" s="92" t="n">
        <f aca="false">IF(ResourceTable[[#This Row],[Focus %]]="",FocusFactor,N(ResourceTable[[#This Row],[Focus %]]))</f>
        <v>0.8</v>
      </c>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row>
    <row r="27" customFormat="false" ht="15" hidden="false" customHeight="false" outlineLevel="0" collapsed="false">
      <c r="B27" s="23"/>
      <c r="C27" s="23"/>
      <c r="D27" s="23"/>
      <c r="E27" s="23"/>
      <c r="F27" s="64"/>
      <c r="G27" s="7"/>
      <c r="H27" s="7"/>
      <c r="I27" s="64"/>
      <c r="J27" s="23"/>
      <c r="K2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c r="N27" s="92" t="n">
        <f aca="false">IF(ResourceTable[[#This Row],[Focus %]]="",FocusFactor,N(ResourceTable[[#This Row],[Focus %]]))</f>
        <v>0.8</v>
      </c>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row>
    <row r="28" customFormat="false" ht="15" hidden="false" customHeight="false" outlineLevel="0" collapsed="false">
      <c r="B28" s="23"/>
      <c r="C28" s="23"/>
      <c r="D28" s="23"/>
      <c r="E28" s="23"/>
      <c r="F28" s="64"/>
      <c r="G28" s="7"/>
      <c r="H28" s="7"/>
      <c r="I28" s="64"/>
      <c r="J28" s="23"/>
      <c r="K2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c r="N28" s="92" t="n">
        <f aca="false">IF(ResourceTable[[#This Row],[Focus %]]="",FocusFactor,N(ResourceTable[[#This Row],[Focus %]]))</f>
        <v>0.8</v>
      </c>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row>
    <row r="29" customFormat="false" ht="15" hidden="false" customHeight="false" outlineLevel="0" collapsed="false">
      <c r="B29" s="23"/>
      <c r="C29" s="23"/>
      <c r="D29" s="23"/>
      <c r="E29" s="23"/>
      <c r="F29" s="64"/>
      <c r="G29" s="7"/>
      <c r="H29" s="7"/>
      <c r="I29" s="64"/>
      <c r="J29" s="23"/>
      <c r="K2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c r="N29" s="92" t="n">
        <f aca="false">IF(ResourceTable[[#This Row],[Focus %]]="",FocusFactor,N(ResourceTable[[#This Row],[Focus %]]))</f>
        <v>0.8</v>
      </c>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row>
    <row r="30" customFormat="false" ht="15" hidden="false" customHeight="false" outlineLevel="0" collapsed="false">
      <c r="B30" s="23"/>
      <c r="C30" s="23"/>
      <c r="D30" s="23"/>
      <c r="E30" s="23"/>
      <c r="F30" s="64"/>
      <c r="G30" s="7"/>
      <c r="H30" s="7"/>
      <c r="I30" s="64"/>
      <c r="J30" s="23"/>
      <c r="K3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c r="N30" s="92" t="n">
        <f aca="false">IF(ResourceTable[[#This Row],[Focus %]]="",FocusFactor,N(ResourceTable[[#This Row],[Focus %]]))</f>
        <v>0.8</v>
      </c>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row>
    <row r="31" customFormat="false" ht="15" hidden="false" customHeight="false" outlineLevel="0" collapsed="false">
      <c r="B31" s="23"/>
      <c r="C31" s="23"/>
      <c r="D31" s="23"/>
      <c r="E31" s="23"/>
      <c r="F31" s="64"/>
      <c r="G31" s="7"/>
      <c r="H31" s="7"/>
      <c r="I31" s="64"/>
      <c r="J31" s="23"/>
      <c r="K3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c r="N31" s="92" t="n">
        <f aca="false">IF(ResourceTable[[#This Row],[Focus %]]="",FocusFactor,N(ResourceTable[[#This Row],[Focus %]]))</f>
        <v>0.8</v>
      </c>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row>
    <row r="32" customFormat="false" ht="15" hidden="false" customHeight="false" outlineLevel="0" collapsed="false">
      <c r="B32" s="23"/>
      <c r="C32" s="23"/>
      <c r="D32" s="23"/>
      <c r="E32" s="23"/>
      <c r="F32" s="64"/>
      <c r="G32" s="7"/>
      <c r="H32" s="7"/>
      <c r="I32" s="64"/>
      <c r="J32" s="23"/>
      <c r="K3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c r="N32" s="92" t="n">
        <f aca="false">IF(ResourceTable[[#This Row],[Focus %]]="",FocusFactor,N(ResourceTable[[#This Row],[Focus %]]))</f>
        <v>0.8</v>
      </c>
      <c r="O32" s="23"/>
      <c r="P32" s="23"/>
      <c r="Q32" s="23"/>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row>
    <row r="33" customFormat="false" ht="15" hidden="false" customHeight="false" outlineLevel="0" collapsed="false">
      <c r="B33" s="23"/>
      <c r="C33" s="23"/>
      <c r="D33" s="23"/>
      <c r="E33" s="23"/>
      <c r="F33" s="64"/>
      <c r="G33" s="7"/>
      <c r="H33" s="7"/>
      <c r="I33" s="64"/>
      <c r="J33" s="23"/>
      <c r="K3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c r="N33" s="92" t="n">
        <f aca="false">IF(ResourceTable[[#This Row],[Focus %]]="",FocusFactor,N(ResourceTable[[#This Row],[Focus %]]))</f>
        <v>0.8</v>
      </c>
      <c r="O33" s="23"/>
      <c r="P33" s="23"/>
      <c r="Q33" s="23"/>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row>
    <row r="34" customFormat="false" ht="15" hidden="false" customHeight="false" outlineLevel="0" collapsed="false">
      <c r="B34" s="23"/>
      <c r="C34" s="23"/>
      <c r="D34" s="23"/>
      <c r="E34" s="23"/>
      <c r="F34" s="64"/>
      <c r="G34" s="7"/>
      <c r="H34" s="7"/>
      <c r="I34" s="64"/>
      <c r="J34" s="23"/>
      <c r="K3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c r="N34" s="92" t="n">
        <f aca="false">IF(ResourceTable[[#This Row],[Focus %]]="",FocusFactor,N(ResourceTable[[#This Row],[Focus %]]))</f>
        <v>0.8</v>
      </c>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row>
    <row r="35" customFormat="false" ht="15" hidden="false" customHeight="false" outlineLevel="0" collapsed="false">
      <c r="B35" s="23"/>
      <c r="C35" s="23"/>
      <c r="D35" s="23"/>
      <c r="E35" s="23"/>
      <c r="F35" s="64"/>
      <c r="G35" s="7"/>
      <c r="H35" s="7"/>
      <c r="I35" s="64"/>
      <c r="J35" s="23"/>
      <c r="K3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c r="N35" s="92" t="n">
        <f aca="false">IF(ResourceTable[[#This Row],[Focus %]]="",FocusFactor,N(ResourceTable[[#This Row],[Focus %]]))</f>
        <v>0.8</v>
      </c>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row>
    <row r="36" customFormat="false" ht="15" hidden="false" customHeight="false" outlineLevel="0" collapsed="false">
      <c r="B36" s="23"/>
      <c r="C36" s="23"/>
      <c r="D36" s="23"/>
      <c r="E36" s="23"/>
      <c r="F36" s="64"/>
      <c r="G36" s="7"/>
      <c r="H36" s="7"/>
      <c r="I36" s="64"/>
      <c r="J36" s="23"/>
      <c r="K3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c r="N36" s="92" t="n">
        <f aca="false">IF(ResourceTable[[#This Row],[Focus %]]="",FocusFactor,N(ResourceTable[[#This Row],[Focus %]]))</f>
        <v>0.8</v>
      </c>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row>
    <row r="37" customFormat="false" ht="15" hidden="false" customHeight="false" outlineLevel="0" collapsed="false">
      <c r="B37" s="23"/>
      <c r="C37" s="23"/>
      <c r="D37" s="23"/>
      <c r="E37" s="23"/>
      <c r="F37" s="64"/>
      <c r="G37" s="7"/>
      <c r="H37" s="7"/>
      <c r="I37" s="64"/>
      <c r="J37" s="23"/>
      <c r="K3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c r="N37" s="92" t="n">
        <f aca="false">IF(ResourceTable[[#This Row],[Focus %]]="",FocusFactor,N(ResourceTable[[#This Row],[Focus %]]))</f>
        <v>0.8</v>
      </c>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row>
    <row r="38" customFormat="false" ht="15" hidden="false" customHeight="false" outlineLevel="0" collapsed="false">
      <c r="B38" s="23"/>
      <c r="C38" s="23"/>
      <c r="D38" s="23"/>
      <c r="E38" s="23"/>
      <c r="F38" s="64"/>
      <c r="G38" s="7"/>
      <c r="H38" s="7"/>
      <c r="I38" s="64"/>
      <c r="J38" s="23"/>
      <c r="K3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c r="N38" s="92" t="n">
        <f aca="false">IF(ResourceTable[[#This Row],[Focus %]]="",FocusFactor,N(ResourceTable[[#This Row],[Focus %]]))</f>
        <v>0.8</v>
      </c>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row>
    <row r="39" customFormat="false" ht="15" hidden="false" customHeight="false" outlineLevel="0" collapsed="false">
      <c r="B39" s="23"/>
      <c r="C39" s="23"/>
      <c r="D39" s="23"/>
      <c r="E39" s="23"/>
      <c r="F39" s="64"/>
      <c r="G39" s="7"/>
      <c r="H39" s="7"/>
      <c r="I39" s="64"/>
      <c r="J39" s="23"/>
      <c r="K3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c r="N39" s="92" t="n">
        <f aca="false">IF(ResourceTable[[#This Row],[Focus %]]="",FocusFactor,N(ResourceTable[[#This Row],[Focus %]]))</f>
        <v>0.8</v>
      </c>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row>
    <row r="40" customFormat="false" ht="15" hidden="false" customHeight="false" outlineLevel="0" collapsed="false">
      <c r="B40" s="23"/>
      <c r="C40" s="23"/>
      <c r="D40" s="23"/>
      <c r="E40" s="23"/>
      <c r="F40" s="64"/>
      <c r="G40" s="7"/>
      <c r="H40" s="7"/>
      <c r="I40" s="64"/>
      <c r="J40" s="23"/>
      <c r="K4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c r="N40" s="92" t="n">
        <f aca="false">IF(ResourceTable[[#This Row],[Focus %]]="",FocusFactor,N(ResourceTable[[#This Row],[Focus %]]))</f>
        <v>0.8</v>
      </c>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row>
    <row r="41" customFormat="false" ht="15" hidden="false" customHeight="false" outlineLevel="0" collapsed="false">
      <c r="B41" s="23"/>
      <c r="C41" s="23"/>
      <c r="D41" s="23"/>
      <c r="E41" s="23"/>
      <c r="F41" s="64"/>
      <c r="G41" s="7"/>
      <c r="H41" s="7"/>
      <c r="I41" s="64"/>
      <c r="J41" s="23"/>
      <c r="K4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c r="N41" s="92" t="n">
        <f aca="false">IF(ResourceTable[[#This Row],[Focus %]]="",FocusFactor,N(ResourceTable[[#This Row],[Focus %]]))</f>
        <v>0.8</v>
      </c>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row>
    <row r="42" customFormat="false" ht="15" hidden="false" customHeight="false" outlineLevel="0" collapsed="false">
      <c r="B42" s="23"/>
      <c r="C42" s="23"/>
      <c r="D42" s="23"/>
      <c r="E42" s="23"/>
      <c r="F42" s="64"/>
      <c r="G42" s="7"/>
      <c r="H42" s="7"/>
      <c r="I42" s="64"/>
      <c r="J42" s="23"/>
      <c r="K4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c r="N42" s="92" t="n">
        <f aca="false">IF(ResourceTable[[#This Row],[Focus %]]="",FocusFactor,N(ResourceTable[[#This Row],[Focus %]]))</f>
        <v>0.8</v>
      </c>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row>
    <row r="43" customFormat="false" ht="15" hidden="false" customHeight="false" outlineLevel="0" collapsed="false">
      <c r="B43" s="23"/>
      <c r="C43" s="23"/>
      <c r="D43" s="23"/>
      <c r="E43" s="23"/>
      <c r="F43" s="64"/>
      <c r="G43" s="7"/>
      <c r="H43" s="7"/>
      <c r="I43" s="64"/>
      <c r="J43" s="23"/>
      <c r="K4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c r="N43" s="92" t="n">
        <f aca="false">IF(ResourceTable[[#This Row],[Focus %]]="",FocusFactor,N(ResourceTable[[#This Row],[Focus %]]))</f>
        <v>0.8</v>
      </c>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row>
    <row r="44" customFormat="false" ht="15" hidden="false" customHeight="false" outlineLevel="0" collapsed="false">
      <c r="B44" s="23"/>
      <c r="C44" s="23"/>
      <c r="D44" s="23"/>
      <c r="E44" s="23"/>
      <c r="F44" s="64"/>
      <c r="G44" s="7"/>
      <c r="H44" s="7"/>
      <c r="I44" s="64"/>
      <c r="J44" s="23"/>
      <c r="K4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c r="N44" s="92" t="n">
        <f aca="false">IF(ResourceTable[[#This Row],[Focus %]]="",FocusFactor,N(ResourceTable[[#This Row],[Focus %]]))</f>
        <v>0.8</v>
      </c>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row>
    <row r="45" customFormat="false" ht="15" hidden="false" customHeight="false" outlineLevel="0" collapsed="false">
      <c r="B45" s="23"/>
      <c r="C45" s="23"/>
      <c r="D45" s="23"/>
      <c r="E45" s="23"/>
      <c r="F45" s="64"/>
      <c r="G45" s="7"/>
      <c r="H45" s="7"/>
      <c r="I45" s="64"/>
      <c r="J45" s="23"/>
      <c r="K4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c r="N45" s="92" t="n">
        <f aca="false">IF(ResourceTable[[#This Row],[Focus %]]="",FocusFactor,N(ResourceTable[[#This Row],[Focus %]]))</f>
        <v>0.8</v>
      </c>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row>
    <row r="46" customFormat="false" ht="15" hidden="false" customHeight="false" outlineLevel="0" collapsed="false">
      <c r="B46" s="23"/>
      <c r="C46" s="23"/>
      <c r="D46" s="23"/>
      <c r="E46" s="23"/>
      <c r="F46" s="64"/>
      <c r="G46" s="7"/>
      <c r="H46" s="7"/>
      <c r="I46" s="64"/>
      <c r="J46" s="23"/>
      <c r="K46"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c r="N46" s="92" t="n">
        <f aca="false">IF(ResourceTable[[#This Row],[Focus %]]="",FocusFactor,N(ResourceTable[[#This Row],[Focus %]]))</f>
        <v>0.8</v>
      </c>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row>
    <row r="47" customFormat="false" ht="15" hidden="false" customHeight="false" outlineLevel="0" collapsed="false">
      <c r="B47" s="23"/>
      <c r="C47" s="23"/>
      <c r="D47" s="23"/>
      <c r="E47" s="23"/>
      <c r="F47" s="64"/>
      <c r="G47" s="7"/>
      <c r="H47" s="7"/>
      <c r="I47" s="64"/>
      <c r="J47" s="23"/>
      <c r="K47"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c r="N47" s="92" t="n">
        <f aca="false">IF(ResourceTable[[#This Row],[Focus %]]="",FocusFactor,N(ResourceTable[[#This Row],[Focus %]]))</f>
        <v>0.8</v>
      </c>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row>
    <row r="48" customFormat="false" ht="15" hidden="false" customHeight="false" outlineLevel="0" collapsed="false">
      <c r="B48" s="23"/>
      <c r="C48" s="23"/>
      <c r="D48" s="23"/>
      <c r="E48" s="23"/>
      <c r="F48" s="64"/>
      <c r="G48" s="7"/>
      <c r="H48" s="7"/>
      <c r="I48" s="64"/>
      <c r="J48" s="23"/>
      <c r="K48"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c r="N48" s="92" t="n">
        <f aca="false">IF(ResourceTable[[#This Row],[Focus %]]="",FocusFactor,N(ResourceTable[[#This Row],[Focus %]]))</f>
        <v>0.8</v>
      </c>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row>
    <row r="49" customFormat="false" ht="15" hidden="false" customHeight="false" outlineLevel="0" collapsed="false">
      <c r="B49" s="23"/>
      <c r="C49" s="23"/>
      <c r="D49" s="23"/>
      <c r="E49" s="23"/>
      <c r="F49" s="64"/>
      <c r="G49" s="7"/>
      <c r="H49" s="7"/>
      <c r="I49" s="64"/>
      <c r="J49" s="23"/>
      <c r="K49"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c r="N49" s="92" t="n">
        <f aca="false">IF(ResourceTable[[#This Row],[Focus %]]="",FocusFactor,N(ResourceTable[[#This Row],[Focus %]]))</f>
        <v>0.8</v>
      </c>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row>
    <row r="50" customFormat="false" ht="15" hidden="false" customHeight="false" outlineLevel="0" collapsed="false">
      <c r="B50" s="23"/>
      <c r="C50" s="23"/>
      <c r="D50" s="23"/>
      <c r="E50" s="23"/>
      <c r="F50" s="64"/>
      <c r="G50" s="7"/>
      <c r="H50" s="7"/>
      <c r="I50" s="64"/>
      <c r="J50" s="23"/>
      <c r="K50"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c r="N50" s="92" t="n">
        <f aca="false">IF(ResourceTable[[#This Row],[Focus %]]="",FocusFactor,N(ResourceTable[[#This Row],[Focus %]]))</f>
        <v>0.8</v>
      </c>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row>
    <row r="51" customFormat="false" ht="15" hidden="false" customHeight="false" outlineLevel="0" collapsed="false">
      <c r="B51" s="23"/>
      <c r="C51" s="23"/>
      <c r="D51" s="23"/>
      <c r="E51" s="23"/>
      <c r="F51" s="64"/>
      <c r="G51" s="7"/>
      <c r="H51" s="7"/>
      <c r="I51" s="64"/>
      <c r="J51" s="23"/>
      <c r="K51"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c r="N51" s="92" t="n">
        <f aca="false">IF(ResourceTable[[#This Row],[Focus %]]="",FocusFactor,N(ResourceTable[[#This Row],[Focus %]]))</f>
        <v>0.8</v>
      </c>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row>
    <row r="52" customFormat="false" ht="15" hidden="false" customHeight="false" outlineLevel="0" collapsed="false">
      <c r="B52" s="23"/>
      <c r="C52" s="23"/>
      <c r="D52" s="23"/>
      <c r="E52" s="23"/>
      <c r="F52" s="64"/>
      <c r="G52" s="7"/>
      <c r="H52" s="7"/>
      <c r="I52" s="64"/>
      <c r="J52" s="23"/>
      <c r="K52"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c r="N52" s="92" t="n">
        <f aca="false">IF(ResourceTable[[#This Row],[Focus %]]="",FocusFactor,N(ResourceTable[[#This Row],[Focus %]]))</f>
        <v>0.8</v>
      </c>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row>
    <row r="53" customFormat="false" ht="15" hidden="false" customHeight="false" outlineLevel="0" collapsed="false">
      <c r="B53" s="23"/>
      <c r="C53" s="23"/>
      <c r="D53" s="23"/>
      <c r="E53" s="23"/>
      <c r="F53" s="64"/>
      <c r="G53" s="7"/>
      <c r="H53" s="7"/>
      <c r="I53" s="64"/>
      <c r="J53" s="23"/>
      <c r="K53"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c r="N53" s="92" t="n">
        <f aca="false">IF(ResourceTable[[#This Row],[Focus %]]="",FocusFactor,N(ResourceTable[[#This Row],[Focus %]]))</f>
        <v>0.8</v>
      </c>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row>
    <row r="54" customFormat="false" ht="15" hidden="false" customHeight="false" outlineLevel="0" collapsed="false">
      <c r="B54" s="23"/>
      <c r="C54" s="23"/>
      <c r="D54" s="23"/>
      <c r="E54" s="23"/>
      <c r="F54" s="64"/>
      <c r="G54" s="7"/>
      <c r="H54" s="7"/>
      <c r="I54" s="64"/>
      <c r="J54" s="23"/>
      <c r="K54"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c r="N54" s="92" t="n">
        <f aca="false">IF(ResourceTable[[#This Row],[Focus %]]="",FocusFactor,N(ResourceTable[[#This Row],[Focus %]]))</f>
        <v>0.8</v>
      </c>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row>
    <row r="55" customFormat="false" ht="15" hidden="false" customHeight="false" outlineLevel="0" collapsed="false">
      <c r="B55" s="23"/>
      <c r="C55" s="23"/>
      <c r="D55" s="23"/>
      <c r="E55" s="23"/>
      <c r="F55" s="64"/>
      <c r="G55" s="7"/>
      <c r="H55" s="7"/>
      <c r="I55" s="64"/>
      <c r="J55" s="23"/>
      <c r="K55" s="68"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5"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c r="N55" s="92" t="n">
        <f aca="false">IF(ResourceTable[[#This Row],[Focus %]]="",FocusFactor,N(ResourceTable[[#This Row],[Focus %]]))</f>
        <v>0.8</v>
      </c>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row>
    <row r="58" customFormat="false" ht="15" hidden="false" customHeight="false" outlineLevel="0" collapsed="false">
      <c r="B58" s="28" t="s">
        <v>703</v>
      </c>
    </row>
    <row r="60" customFormat="false" ht="23.85" hidden="false" customHeight="false" outlineLevel="0" collapsed="false">
      <c r="B60" s="18" t="s">
        <v>704</v>
      </c>
      <c r="C60" s="18" t="s">
        <v>705</v>
      </c>
      <c r="D60" s="18" t="s">
        <v>706</v>
      </c>
      <c r="E60" s="18" t="s">
        <v>707</v>
      </c>
      <c r="F60" s="18" t="s">
        <v>708</v>
      </c>
      <c r="G60" s="18" t="s">
        <v>709</v>
      </c>
      <c r="H60" s="18" t="s">
        <v>710</v>
      </c>
      <c r="I60" s="18" t="s">
        <v>711</v>
      </c>
      <c r="J60" s="18" t="s">
        <v>712</v>
      </c>
      <c r="K60" s="18" t="s">
        <v>713</v>
      </c>
      <c r="L60" s="18" t="s">
        <v>714</v>
      </c>
      <c r="M60" s="18" t="s">
        <v>715</v>
      </c>
      <c r="N60" s="18" t="s">
        <v>716</v>
      </c>
      <c r="O60" s="18" t="s">
        <v>717</v>
      </c>
      <c r="P60" s="18" t="s">
        <v>718</v>
      </c>
      <c r="Q60" s="18" t="s">
        <v>719</v>
      </c>
      <c r="R60" s="18" t="s">
        <v>720</v>
      </c>
      <c r="S60" s="18" t="s">
        <v>721</v>
      </c>
      <c r="T60" s="18" t="s">
        <v>722</v>
      </c>
      <c r="U60" s="18" t="s">
        <v>723</v>
      </c>
      <c r="V60" s="18" t="s">
        <v>724</v>
      </c>
      <c r="W60" s="18" t="s">
        <v>725</v>
      </c>
      <c r="X60" s="18" t="s">
        <v>726</v>
      </c>
      <c r="Y60" s="18" t="s">
        <v>727</v>
      </c>
      <c r="Z60" s="18" t="s">
        <v>728</v>
      </c>
      <c r="AA60" s="18" t="s">
        <v>729</v>
      </c>
      <c r="AB60" s="18" t="s">
        <v>730</v>
      </c>
      <c r="AC60" s="18" t="s">
        <v>731</v>
      </c>
      <c r="AD60" s="18" t="s">
        <v>732</v>
      </c>
      <c r="AE60" s="18" t="s">
        <v>733</v>
      </c>
      <c r="AF60" s="18" t="s">
        <v>734</v>
      </c>
      <c r="AG60" s="18" t="s">
        <v>735</v>
      </c>
      <c r="AH60" s="18" t="s">
        <v>736</v>
      </c>
      <c r="AI60" s="17" t="s">
        <v>737</v>
      </c>
      <c r="AJ60" s="41" t="s">
        <v>738</v>
      </c>
    </row>
    <row r="61" customFormat="false" ht="15" hidden="false" customHeight="false" outlineLevel="0" collapsed="false">
      <c r="B61" s="23" t="s">
        <v>619</v>
      </c>
      <c r="C61" s="23" t="s">
        <v>652</v>
      </c>
      <c r="D61" s="22"/>
      <c r="E61" s="22"/>
      <c r="F61" s="22"/>
      <c r="G61" s="22"/>
      <c r="H61" s="22"/>
      <c r="I61" s="22"/>
      <c r="J61" s="22"/>
      <c r="K61" s="22"/>
      <c r="L61" s="22"/>
      <c r="M61" s="22"/>
      <c r="N61" s="22"/>
      <c r="O61" s="22"/>
      <c r="P61" s="22"/>
      <c r="Q61" s="22"/>
      <c r="R61" s="22"/>
      <c r="S61" s="22" t="n">
        <v>1</v>
      </c>
      <c r="T61" s="22" t="n">
        <v>0.5</v>
      </c>
      <c r="U61" s="22" t="n">
        <v>1</v>
      </c>
      <c r="V61" s="22" t="n">
        <v>1</v>
      </c>
      <c r="W61" s="22" t="n">
        <v>1</v>
      </c>
      <c r="X61" s="22"/>
      <c r="Y61" s="22"/>
      <c r="Z61" s="22" t="n">
        <v>1</v>
      </c>
      <c r="AA61" s="22" t="n">
        <v>1</v>
      </c>
      <c r="AB61" s="22" t="n">
        <v>1</v>
      </c>
      <c r="AC61" s="22" t="n">
        <v>1</v>
      </c>
      <c r="AD61" s="22" t="n">
        <v>1</v>
      </c>
      <c r="AE61" s="22"/>
      <c r="AF61" s="22"/>
      <c r="AG61" s="22"/>
      <c r="AH61" s="22"/>
      <c r="AI6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16, 17(0.5), 18, 19, 20, 23, 24, 25, 26, 27</v>
      </c>
      <c r="AJ61" s="42" t="str">
        <f aca="false">LeaveDays[[#This Row],[Resource]]&amp;"|"&amp;LeaveDays[[#This Row],[Month]]</f>
        <v>Casey Kim|Nov-26</v>
      </c>
    </row>
    <row r="62" customFormat="false" ht="15" hidden="false" customHeight="false" outlineLevel="0" collapsed="false">
      <c r="B62" s="23" t="s">
        <v>692</v>
      </c>
      <c r="C62" s="23" t="s">
        <v>651</v>
      </c>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t="n">
        <v>1</v>
      </c>
      <c r="AH62" s="22"/>
      <c r="AI6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30</v>
      </c>
      <c r="AJ62" s="42" t="str">
        <f aca="false">LeaveDays[[#This Row],[Resource]]&amp;"|"&amp;LeaveDays[[#This Row],[Month]]</f>
        <v>Jordan Lee|Oct-26</v>
      </c>
    </row>
    <row r="63" customFormat="false" ht="15" hidden="false" customHeight="false" outlineLevel="0" collapsed="false">
      <c r="B63" s="23" t="s">
        <v>692</v>
      </c>
      <c r="C63" s="23" t="s">
        <v>653</v>
      </c>
      <c r="D63" s="22"/>
      <c r="E63" s="22"/>
      <c r="F63" s="22"/>
      <c r="G63" s="22"/>
      <c r="H63" s="22"/>
      <c r="I63" s="22"/>
      <c r="J63" s="22"/>
      <c r="K63" s="22"/>
      <c r="L63" s="22"/>
      <c r="M63" s="22"/>
      <c r="N63" s="22"/>
      <c r="O63" s="22"/>
      <c r="P63" s="22"/>
      <c r="Q63" s="22"/>
      <c r="R63" s="22"/>
      <c r="S63" s="22"/>
      <c r="T63" s="22"/>
      <c r="U63" s="22"/>
      <c r="V63" s="22"/>
      <c r="W63" s="22"/>
      <c r="X63" s="22" t="n">
        <v>1</v>
      </c>
      <c r="Y63" s="22" t="n">
        <v>1</v>
      </c>
      <c r="Z63" s="22" t="n">
        <v>0.5</v>
      </c>
      <c r="AA63" s="22"/>
      <c r="AB63" s="22"/>
      <c r="AC63" s="22"/>
      <c r="AD63" s="22"/>
      <c r="AE63" s="22"/>
      <c r="AF63" s="22"/>
      <c r="AG63" s="22"/>
      <c r="AH63" s="22"/>
      <c r="AI6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21, 22, 23(0.5)</v>
      </c>
      <c r="AJ63" s="42" t="str">
        <f aca="false">LeaveDays[[#This Row],[Resource]]&amp;"|"&amp;LeaveDays[[#This Row],[Month]]</f>
        <v>Jordan Lee|Dec-26</v>
      </c>
    </row>
    <row r="64" customFormat="false" ht="15" hidden="false" customHeight="false" outlineLevel="0" collapsed="false">
      <c r="B64" s="23"/>
      <c r="C64" s="23"/>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42" t="str">
        <f aca="false">LeaveDays[[#This Row],[Resource]]&amp;"|"&amp;LeaveDays[[#This Row],[Month]]</f>
        <v>|</v>
      </c>
    </row>
    <row r="65" customFormat="false" ht="15" hidden="false" customHeight="false" outlineLevel="0" collapsed="false">
      <c r="B65" s="23"/>
      <c r="C65" s="23"/>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42" t="str">
        <f aca="false">LeaveDays[[#This Row],[Resource]]&amp;"|"&amp;LeaveDays[[#This Row],[Month]]</f>
        <v>|</v>
      </c>
    </row>
    <row r="66" customFormat="false" ht="15" hidden="false" customHeight="false" outlineLevel="0" collapsed="false">
      <c r="B66" s="23"/>
      <c r="C66" s="23"/>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42" t="str">
        <f aca="false">LeaveDays[[#This Row],[Resource]]&amp;"|"&amp;LeaveDays[[#This Row],[Month]]</f>
        <v>|</v>
      </c>
    </row>
    <row r="67" customFormat="false" ht="15" hidden="false" customHeight="false" outlineLevel="0" collapsed="false">
      <c r="B67" s="23"/>
      <c r="C67" s="23"/>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42" t="str">
        <f aca="false">LeaveDays[[#This Row],[Resource]]&amp;"|"&amp;LeaveDays[[#This Row],[Month]]</f>
        <v>|</v>
      </c>
    </row>
    <row r="68" customFormat="false" ht="15" hidden="false" customHeight="false" outlineLevel="0" collapsed="false">
      <c r="B68" s="23"/>
      <c r="C68" s="23"/>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42" t="str">
        <f aca="false">LeaveDays[[#This Row],[Resource]]&amp;"|"&amp;LeaveDays[[#This Row],[Month]]</f>
        <v>|</v>
      </c>
    </row>
    <row r="69" customFormat="false" ht="15" hidden="false" customHeight="false" outlineLevel="0" collapsed="false">
      <c r="B69" s="23"/>
      <c r="C69" s="23"/>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42" t="str">
        <f aca="false">LeaveDays[[#This Row],[Resource]]&amp;"|"&amp;LeaveDays[[#This Row],[Month]]</f>
        <v>|</v>
      </c>
    </row>
    <row r="70" customFormat="false" ht="15" hidden="false" customHeight="false" outlineLevel="0" collapsed="false">
      <c r="B70" s="23"/>
      <c r="C70" s="23"/>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42" t="str">
        <f aca="false">LeaveDays[[#This Row],[Resource]]&amp;"|"&amp;LeaveDays[[#This Row],[Month]]</f>
        <v>|</v>
      </c>
    </row>
    <row r="71" customFormat="false" ht="15" hidden="false" customHeight="false" outlineLevel="0" collapsed="false">
      <c r="B71" s="23"/>
      <c r="C71" s="23"/>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42" t="str">
        <f aca="false">LeaveDays[[#This Row],[Resource]]&amp;"|"&amp;LeaveDays[[#This Row],[Month]]</f>
        <v>|</v>
      </c>
    </row>
    <row r="72" customFormat="false" ht="15" hidden="false" customHeight="false" outlineLevel="0" collapsed="false">
      <c r="B72" s="23"/>
      <c r="C72" s="23"/>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42" t="str">
        <f aca="false">LeaveDays[[#This Row],[Resource]]&amp;"|"&amp;LeaveDays[[#This Row],[Month]]</f>
        <v>|</v>
      </c>
    </row>
    <row r="73" customFormat="false" ht="15" hidden="false" customHeight="false" outlineLevel="0" collapsed="false">
      <c r="B73" s="23"/>
      <c r="C73" s="23"/>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42" t="str">
        <f aca="false">LeaveDays[[#This Row],[Resource]]&amp;"|"&amp;LeaveDays[[#This Row],[Month]]</f>
        <v>|</v>
      </c>
    </row>
    <row r="74" customFormat="false" ht="15" hidden="false" customHeight="false" outlineLevel="0" collapsed="false">
      <c r="B74" s="23"/>
      <c r="C74" s="23"/>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42" t="str">
        <f aca="false">LeaveDays[[#This Row],[Resource]]&amp;"|"&amp;LeaveDays[[#This Row],[Month]]</f>
        <v>|</v>
      </c>
    </row>
    <row r="75" customFormat="false" ht="15" hidden="false" customHeight="false" outlineLevel="0" collapsed="false">
      <c r="B75" s="23"/>
      <c r="C75" s="23"/>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42" t="str">
        <f aca="false">LeaveDays[[#This Row],[Resource]]&amp;"|"&amp;LeaveDays[[#This Row],[Month]]</f>
        <v>|</v>
      </c>
    </row>
    <row r="76" customFormat="false" ht="15" hidden="false" customHeight="false" outlineLevel="0" collapsed="false">
      <c r="B76" s="23"/>
      <c r="C76" s="23"/>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42" t="str">
        <f aca="false">LeaveDays[[#This Row],[Resource]]&amp;"|"&amp;LeaveDays[[#This Row],[Month]]</f>
        <v>|</v>
      </c>
    </row>
    <row r="77" customFormat="false" ht="15" hidden="false" customHeight="false" outlineLevel="0" collapsed="false">
      <c r="B77" s="23"/>
      <c r="C77" s="23"/>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42" t="str">
        <f aca="false">LeaveDays[[#This Row],[Resource]]&amp;"|"&amp;LeaveDays[[#This Row],[Month]]</f>
        <v>|</v>
      </c>
    </row>
    <row r="78" customFormat="false" ht="15" hidden="false" customHeight="false" outlineLevel="0" collapsed="false">
      <c r="B78" s="23"/>
      <c r="C78" s="23"/>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42" t="str">
        <f aca="false">LeaveDays[[#This Row],[Resource]]&amp;"|"&amp;LeaveDays[[#This Row],[Month]]</f>
        <v>|</v>
      </c>
    </row>
    <row r="79" customFormat="false" ht="15" hidden="false" customHeight="false" outlineLevel="0" collapsed="false">
      <c r="B79" s="23"/>
      <c r="C79" s="23"/>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42" t="str">
        <f aca="false">LeaveDays[[#This Row],[Resource]]&amp;"|"&amp;LeaveDays[[#This Row],[Month]]</f>
        <v>|</v>
      </c>
    </row>
    <row r="80" customFormat="false" ht="15" hidden="false" customHeight="false" outlineLevel="0" collapsed="false">
      <c r="B80" s="23"/>
      <c r="C80" s="23"/>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42" t="str">
        <f aca="false">LeaveDays[[#This Row],[Resource]]&amp;"|"&amp;LeaveDays[[#This Row],[Month]]</f>
        <v>|</v>
      </c>
    </row>
    <row r="81" customFormat="false" ht="15" hidden="false" customHeight="false" outlineLevel="0" collapsed="false">
      <c r="B81" s="23"/>
      <c r="C81" s="23"/>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42" t="str">
        <f aca="false">LeaveDays[[#This Row],[Resource]]&amp;"|"&amp;LeaveDays[[#This Row],[Month]]</f>
        <v>|</v>
      </c>
    </row>
    <row r="82" customFormat="false" ht="15" hidden="false" customHeight="false" outlineLevel="0" collapsed="false">
      <c r="B82" s="23"/>
      <c r="C82" s="23"/>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42" t="str">
        <f aca="false">LeaveDays[[#This Row],[Resource]]&amp;"|"&amp;LeaveDays[[#This Row],[Month]]</f>
        <v>|</v>
      </c>
    </row>
    <row r="83" customFormat="false" ht="15" hidden="false" customHeight="false" outlineLevel="0" collapsed="false">
      <c r="B83" s="23"/>
      <c r="C83" s="23"/>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42" t="str">
        <f aca="false">LeaveDays[[#This Row],[Resource]]&amp;"|"&amp;LeaveDays[[#This Row],[Month]]</f>
        <v>|</v>
      </c>
    </row>
    <row r="84" customFormat="false" ht="15" hidden="false" customHeight="false" outlineLevel="0" collapsed="false">
      <c r="B84" s="23"/>
      <c r="C84" s="23"/>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42" t="str">
        <f aca="false">LeaveDays[[#This Row],[Resource]]&amp;"|"&amp;LeaveDays[[#This Row],[Month]]</f>
        <v>|</v>
      </c>
    </row>
    <row r="85" customFormat="false" ht="15" hidden="false" customHeight="false" outlineLevel="0" collapsed="false">
      <c r="B85" s="23"/>
      <c r="C85" s="23"/>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42" t="str">
        <f aca="false">LeaveDays[[#This Row],[Resource]]&amp;"|"&amp;LeaveDays[[#This Row],[Month]]</f>
        <v>|</v>
      </c>
    </row>
    <row r="86" customFormat="false" ht="15" hidden="false" customHeight="false" outlineLevel="0" collapsed="false">
      <c r="B86" s="23"/>
      <c r="C86" s="23"/>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42" t="str">
        <f aca="false">LeaveDays[[#This Row],[Resource]]&amp;"|"&amp;LeaveDays[[#This Row],[Month]]</f>
        <v>|</v>
      </c>
    </row>
    <row r="87" customFormat="false" ht="15" hidden="false" customHeight="false" outlineLevel="0" collapsed="false">
      <c r="B87" s="23"/>
      <c r="C87" s="23"/>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42" t="str">
        <f aca="false">LeaveDays[[#This Row],[Resource]]&amp;"|"&amp;LeaveDays[[#This Row],[Month]]</f>
        <v>|</v>
      </c>
    </row>
    <row r="88" customFormat="false" ht="15" hidden="false" customHeight="false" outlineLevel="0" collapsed="false">
      <c r="B88" s="23"/>
      <c r="C88" s="23"/>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42" t="str">
        <f aca="false">LeaveDays[[#This Row],[Resource]]&amp;"|"&amp;LeaveDays[[#This Row],[Month]]</f>
        <v>|</v>
      </c>
    </row>
    <row r="89" customFormat="false" ht="15" hidden="false" customHeight="false" outlineLevel="0" collapsed="false">
      <c r="B89" s="23"/>
      <c r="C89" s="23"/>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42" t="str">
        <f aca="false">LeaveDays[[#This Row],[Resource]]&amp;"|"&amp;LeaveDays[[#This Row],[Month]]</f>
        <v>|</v>
      </c>
    </row>
    <row r="90" customFormat="false" ht="15" hidden="false" customHeight="false" outlineLevel="0" collapsed="false">
      <c r="B90" s="23"/>
      <c r="C90" s="23"/>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42" t="str">
        <f aca="false">LeaveDays[[#This Row],[Resource]]&amp;"|"&amp;LeaveDays[[#This Row],[Month]]</f>
        <v>|</v>
      </c>
    </row>
    <row r="91" customFormat="false" ht="15" hidden="false" customHeight="false" outlineLevel="0" collapsed="false">
      <c r="B91" s="23"/>
      <c r="C91" s="23"/>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42" t="str">
        <f aca="false">LeaveDays[[#This Row],[Resource]]&amp;"|"&amp;LeaveDays[[#This Row],[Month]]</f>
        <v>|</v>
      </c>
    </row>
    <row r="92" customFormat="false" ht="15" hidden="false" customHeight="false" outlineLevel="0" collapsed="false">
      <c r="B92" s="23"/>
      <c r="C92" s="23"/>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42" t="str">
        <f aca="false">LeaveDays[[#This Row],[Resource]]&amp;"|"&amp;LeaveDays[[#This Row],[Month]]</f>
        <v>|</v>
      </c>
    </row>
    <row r="93" customFormat="false" ht="15" hidden="false" customHeight="false" outlineLevel="0" collapsed="false">
      <c r="B93" s="23"/>
      <c r="C93" s="23"/>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42" t="str">
        <f aca="false">LeaveDays[[#This Row],[Resource]]&amp;"|"&amp;LeaveDays[[#This Row],[Month]]</f>
        <v>|</v>
      </c>
    </row>
    <row r="94" customFormat="false" ht="15" hidden="false" customHeight="false" outlineLevel="0" collapsed="false">
      <c r="B94" s="23"/>
      <c r="C94" s="23"/>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42" t="str">
        <f aca="false">LeaveDays[[#This Row],[Resource]]&amp;"|"&amp;LeaveDays[[#This Row],[Month]]</f>
        <v>|</v>
      </c>
    </row>
    <row r="95" customFormat="false" ht="15" hidden="false" customHeight="false" outlineLevel="0" collapsed="false">
      <c r="B95" s="23"/>
      <c r="C95" s="23"/>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42" t="str">
        <f aca="false">LeaveDays[[#This Row],[Resource]]&amp;"|"&amp;LeaveDays[[#This Row],[Month]]</f>
        <v>|</v>
      </c>
    </row>
    <row r="96" customFormat="false" ht="15" hidden="false" customHeight="false" outlineLevel="0" collapsed="false">
      <c r="B96" s="23"/>
      <c r="C96" s="23"/>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42" t="str">
        <f aca="false">LeaveDays[[#This Row],[Resource]]&amp;"|"&amp;LeaveDays[[#This Row],[Month]]</f>
        <v>|</v>
      </c>
    </row>
    <row r="97" customFormat="false" ht="15" hidden="false" customHeight="false" outlineLevel="0" collapsed="false">
      <c r="B97" s="23"/>
      <c r="C97" s="23"/>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42" t="str">
        <f aca="false">LeaveDays[[#This Row],[Resource]]&amp;"|"&amp;LeaveDays[[#This Row],[Month]]</f>
        <v>|</v>
      </c>
    </row>
    <row r="98" customFormat="false" ht="15" hidden="false" customHeight="false" outlineLevel="0" collapsed="false">
      <c r="B98" s="23"/>
      <c r="C98" s="23"/>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42" t="str">
        <f aca="false">LeaveDays[[#This Row],[Resource]]&amp;"|"&amp;LeaveDays[[#This Row],[Month]]</f>
        <v>|</v>
      </c>
    </row>
    <row r="99" customFormat="false" ht="15" hidden="false" customHeight="false" outlineLevel="0" collapsed="false">
      <c r="B99" s="23"/>
      <c r="C99" s="23"/>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42" t="str">
        <f aca="false">LeaveDays[[#This Row],[Resource]]&amp;"|"&amp;LeaveDays[[#This Row],[Month]]</f>
        <v>|</v>
      </c>
    </row>
    <row r="100" customFormat="false" ht="15" hidden="false" customHeight="false" outlineLevel="0" collapsed="false">
      <c r="B100" s="23"/>
      <c r="C100" s="23"/>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0" t="str">
        <f aca="false">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42" t="str">
        <f aca="false">LeaveDays[[#This Row],[Resource]]&amp;"|"&amp;LeaveDays[[#This Row],[Month]]</f>
        <v>|</v>
      </c>
    </row>
  </sheetData>
  <dataValidations count="4">
    <dataValidation allowBlank="false" errorStyle="stop" operator="between" showDropDown="false" showErrorMessage="false" showInputMessage="false" sqref="E6:E55" type="list">
      <formula1>L_ResType</formula1>
      <formula2>0</formula2>
    </dataValidation>
    <dataValidation allowBlank="false" errorStyle="stop" operator="between" prompt="Pick the person (Resources)." promptTitle="Resource" showDropDown="false" showErrorMessage="true" showInputMessage="true" sqref="B61:B100" type="list">
      <formula1>res_Name</formula1>
      <formula2>0</formula2>
    </dataValidation>
    <dataValidation allowBlank="false" errorStyle="stop" operator="between" prompt="Pick the month: one of the month columns above, e.g. Nov-26." promptTitle="Month" showDropDown="false" showErrorMessage="true" showInputMessage="true" sqref="C61:C100" type="list">
      <formula1>leave_Months</formula1>
      <formula2>0</formula2>
    </dataValidation>
    <dataValidation allowBlank="false" error="1 = a day off, 0.5 = half a day." errorStyle="stop" operator="between" prompt="1 = all day, 0.5 = half a day. Weekends and holidays don't count." promptTitle="Day off" showDropDown="false" showErrorMessage="true" showInputMessage="true" sqref="D61:AH1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2026-10-28T09:08:29Z</dcterms:created>
  <dc:creator>openpyxl</dc:creator>
  <dc:description/>
  <dc:language>en-US</dc:language>
  <cp:lastModifiedBy/>
  <dcterms:modified xsi:type="dcterms:W3CDTF">2026-10-28T09:08:32Z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